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<sst xmlns="http://schemas.openxmlformats.org/spreadsheetml/2006/main" count="90" uniqueCount="39">
  <si>
    <t>Fine Structure Energy Levels for Si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</si>
  <si>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</si>
  <si>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</si>
  <si>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</si>
  <si>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</si>
  <si>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</si>
  <si>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</si>
  <si>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</si>
  <si>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</si>
  <si>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</si>
  <si>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</si>
  <si>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</si>
  <si>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</t>
  </si>
  <si>
    <t>2P</t>
  </si>
  <si>
    <t>3s.3p2</t>
  </si>
  <si>
    <t>4P</t>
  </si>
  <si>
    <t>2D</t>
  </si>
  <si>
    <t>3s2.4s</t>
  </si>
  <si>
    <t>2S</t>
  </si>
  <si>
    <t>3s2.3d</t>
  </si>
  <si>
    <t>3s2.4p</t>
  </si>
  <si>
    <t>3s2.5s</t>
  </si>
  <si>
    <t>3s2.4d</t>
  </si>
  <si>
    <t>3s2.5p</t>
  </si>
  <si>
    <t>3s2.4f</t>
  </si>
  <si>
    <t>2F</t>
  </si>
  <si>
    <t>3s.3p(3P).3d</t>
  </si>
  <si>
    <t>3s2.6s</t>
  </si>
  <si>
    <t>3s2.5d</t>
  </si>
  <si>
    <t>3s2.6p</t>
  </si>
  <si>
    <t>A-values for fine-structure transitions in Si II</t>
  </si>
  <si>
    <t>k</t>
  </si>
  <si>
    <t>WL Vac (A)</t>
  </si>
  <si>
    <t>A (s-1)</t>
  </si>
  <si>
    <t>A2E1(s-1)</t>
  </si>
  <si>
    <t>Effective Collision Strengths for Si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</si>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</sst>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13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HYPERLINK("http://141.218.60.56/~jnz1568/getInfo.php?workbook=14_13.xlsx&amp;sheet=E0&amp;row=4&amp;col=10&amp;number=0&amp;sourceID=14","0")</f>
        <v>0</v>
      </c>
    </row>
    <row r="5" spans="1:10">
      <c r="A5" s="3">
        <v>14</v>
      </c>
      <c r="B5" s="3">
        <v>13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HYPERLINK("http://141.218.60.56/~jnz1568/getInfo.php?workbook=14_13.xlsx&amp;sheet=E0&amp;row=5&amp;col=10&amp;number=287.24&amp;sourceID=14","287.24")</f>
        <v>287.24</v>
      </c>
    </row>
    <row r="6" spans="1:10">
      <c r="A6" s="3">
        <v>14</v>
      </c>
      <c r="B6" s="3">
        <v>13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HYPERLINK("http://141.218.60.56/~jnz1568/getInfo.php?workbook=14_13.xlsx&amp;sheet=E0&amp;row=6&amp;col=10&amp;number=42824.29&amp;sourceID=14","42824.29")</f>
        <v>42824.29</v>
      </c>
    </row>
    <row r="7" spans="1:10">
      <c r="A7" s="3">
        <v>14</v>
      </c>
      <c r="B7" s="3">
        <v>13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HYPERLINK("http://141.218.60.56/~jnz1568/getInfo.php?workbook=14_13.xlsx&amp;sheet=E0&amp;row=7&amp;col=10&amp;number=42932.62&amp;sourceID=14","42932.62")</f>
        <v>42932.62</v>
      </c>
    </row>
    <row r="8" spans="1:10">
      <c r="A8" s="3">
        <v>14</v>
      </c>
      <c r="B8" s="3">
        <v>13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HYPERLINK("http://141.218.60.56/~jnz1568/getInfo.php?workbook=14_13.xlsx&amp;sheet=E0&amp;row=8&amp;col=10&amp;number=43107.91&amp;sourceID=14","43107.91")</f>
        <v>43107.91</v>
      </c>
    </row>
    <row r="9" spans="1:10">
      <c r="A9" s="3">
        <v>14</v>
      </c>
      <c r="B9" s="3">
        <v>13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HYPERLINK("http://141.218.60.56/~jnz1568/getInfo.php?workbook=14_13.xlsx&amp;sheet=E0&amp;row=9&amp;col=10&amp;number=55309.35&amp;sourceID=14","55309.35")</f>
        <v>55309.35</v>
      </c>
    </row>
    <row r="10" spans="1:10">
      <c r="A10" s="3">
        <v>14</v>
      </c>
      <c r="B10" s="3">
        <v>13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HYPERLINK("http://141.218.60.56/~jnz1568/getInfo.php?workbook=14_13.xlsx&amp;sheet=E0&amp;row=10&amp;col=10&amp;number=55325.18&amp;sourceID=14","55325.18")</f>
        <v>55325.18</v>
      </c>
    </row>
    <row r="11" spans="1:10">
      <c r="A11" s="3">
        <v>14</v>
      </c>
      <c r="B11" s="3">
        <v>13</v>
      </c>
      <c r="C11" s="3">
        <v>8</v>
      </c>
      <c r="D11" s="3" t="s">
        <v>17</v>
      </c>
      <c r="E11" s="3" t="s">
        <v>18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HYPERLINK("http://141.218.60.56/~jnz1568/getInfo.php?workbook=14_13.xlsx&amp;sheet=E0&amp;row=11&amp;col=10&amp;number=65500.47&amp;sourceID=14","65500.47")</f>
        <v>65500.47</v>
      </c>
    </row>
    <row r="12" spans="1:10">
      <c r="A12" s="3">
        <v>14</v>
      </c>
      <c r="B12" s="3">
        <v>13</v>
      </c>
      <c r="C12" s="3">
        <v>9</v>
      </c>
      <c r="D12" s="3" t="s">
        <v>14</v>
      </c>
      <c r="E12" s="3" t="s">
        <v>18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HYPERLINK("http://141.218.60.56/~jnz1568/getInfo.php?workbook=14_13.xlsx&amp;sheet=E0&amp;row=12&amp;col=10&amp;number=76665.35&amp;sourceID=14","76665.35")</f>
        <v>76665.35</v>
      </c>
    </row>
    <row r="13" spans="1:10">
      <c r="A13" s="3">
        <v>14</v>
      </c>
      <c r="B13" s="3">
        <v>13</v>
      </c>
      <c r="C13" s="3">
        <v>10</v>
      </c>
      <c r="D13" s="3" t="s">
        <v>19</v>
      </c>
      <c r="E13" s="3" t="s">
        <v>16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HYPERLINK("http://141.218.60.56/~jnz1568/getInfo.php?workbook=14_13.xlsx&amp;sheet=E0&amp;row=13&amp;col=10&amp;number=79338.5&amp;sourceID=14","79338.5")</f>
        <v>79338.5</v>
      </c>
    </row>
    <row r="14" spans="1:10">
      <c r="A14" s="3">
        <v>14</v>
      </c>
      <c r="B14" s="3">
        <v>13</v>
      </c>
      <c r="C14" s="3">
        <v>11</v>
      </c>
      <c r="D14" s="3" t="s">
        <v>19</v>
      </c>
      <c r="E14" s="3" t="s">
        <v>16</v>
      </c>
      <c r="F14" s="3">
        <v>2</v>
      </c>
      <c r="G14" s="3">
        <v>2</v>
      </c>
      <c r="H14" s="3">
        <v>0</v>
      </c>
      <c r="I14" s="3">
        <v>2.5</v>
      </c>
      <c r="J14" s="4" t="str">
        <f>HYPERLINK("http://141.218.60.56/~jnz1568/getInfo.php?workbook=14_13.xlsx&amp;sheet=E0&amp;row=14&amp;col=10&amp;number=79355.02&amp;sourceID=14","79355.02")</f>
        <v>79355.02</v>
      </c>
    </row>
    <row r="15" spans="1:10">
      <c r="A15" s="3">
        <v>14</v>
      </c>
      <c r="B15" s="3">
        <v>13</v>
      </c>
      <c r="C15" s="3">
        <v>12</v>
      </c>
      <c r="D15" s="3" t="s">
        <v>20</v>
      </c>
      <c r="E15" s="3" t="s">
        <v>13</v>
      </c>
      <c r="F15" s="3">
        <v>2</v>
      </c>
      <c r="G15" s="3">
        <v>1</v>
      </c>
      <c r="H15" s="3">
        <v>1</v>
      </c>
      <c r="I15" s="3">
        <v>0.5</v>
      </c>
      <c r="J15" s="4" t="str">
        <f>HYPERLINK("http://141.218.60.56/~jnz1568/getInfo.php?workbook=14_13.xlsx&amp;sheet=E0&amp;row=15&amp;col=10&amp;number=81191.34&amp;sourceID=14","81191.34")</f>
        <v>81191.34</v>
      </c>
    </row>
    <row r="16" spans="1:10">
      <c r="A16" s="3">
        <v>14</v>
      </c>
      <c r="B16" s="3">
        <v>13</v>
      </c>
      <c r="C16" s="3">
        <v>13</v>
      </c>
      <c r="D16" s="3" t="s">
        <v>20</v>
      </c>
      <c r="E16" s="3" t="s">
        <v>13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HYPERLINK("http://141.218.60.56/~jnz1568/getInfo.php?workbook=14_13.xlsx&amp;sheet=E0&amp;row=16&amp;col=10&amp;number=81251.32&amp;sourceID=14","81251.32")</f>
        <v>81251.32</v>
      </c>
    </row>
    <row r="17" spans="1:10">
      <c r="A17" s="3">
        <v>14</v>
      </c>
      <c r="B17" s="3">
        <v>13</v>
      </c>
      <c r="C17" s="3">
        <v>14</v>
      </c>
      <c r="D17" s="3" t="s">
        <v>14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HYPERLINK("http://141.218.60.56/~jnz1568/getInfo.php?workbook=14_13.xlsx&amp;sheet=E0&amp;row=17&amp;col=10&amp;number=83801.95&amp;sourceID=14","83801.95")</f>
        <v>83801.95</v>
      </c>
    </row>
    <row r="18" spans="1:10">
      <c r="A18" s="3">
        <v>14</v>
      </c>
      <c r="B18" s="3">
        <v>13</v>
      </c>
      <c r="C18" s="3">
        <v>15</v>
      </c>
      <c r="D18" s="3" t="s">
        <v>14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HYPERLINK("http://141.218.60.56/~jnz1568/getInfo.php?workbook=14_13.xlsx&amp;sheet=E0&amp;row=18&amp;col=10&amp;number=84004.26&amp;sourceID=14","84004.26")</f>
        <v>84004.26</v>
      </c>
    </row>
    <row r="19" spans="1:10">
      <c r="A19" s="3">
        <v>14</v>
      </c>
      <c r="B19" s="3">
        <v>13</v>
      </c>
      <c r="C19" s="3">
        <v>16</v>
      </c>
      <c r="D19" s="3" t="s">
        <v>21</v>
      </c>
      <c r="E19" s="3" t="s">
        <v>18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HYPERLINK("http://141.218.60.56/~jnz1568/getInfo.php?workbook=14_13.xlsx&amp;sheet=E0&amp;row=19&amp;col=10&amp;number=97972.09&amp;sourceID=14","97972.09")</f>
        <v>97972.09</v>
      </c>
    </row>
    <row r="20" spans="1:10">
      <c r="A20" s="3">
        <v>14</v>
      </c>
      <c r="B20" s="3">
        <v>13</v>
      </c>
      <c r="C20" s="3">
        <v>17</v>
      </c>
      <c r="D20" s="3" t="s">
        <v>22</v>
      </c>
      <c r="E20" s="3" t="s">
        <v>16</v>
      </c>
      <c r="F20" s="3">
        <v>2</v>
      </c>
      <c r="G20" s="3">
        <v>2</v>
      </c>
      <c r="H20" s="3">
        <v>0</v>
      </c>
      <c r="I20" s="3">
        <v>1.5</v>
      </c>
      <c r="J20" s="4" t="str">
        <f>HYPERLINK("http://141.218.60.56/~jnz1568/getInfo.php?workbook=14_13.xlsx&amp;sheet=E0&amp;row=20&amp;col=10&amp;number=101023.05&amp;sourceID=14","101023.05")</f>
        <v>101023.05</v>
      </c>
    </row>
    <row r="21" spans="1:10">
      <c r="A21" s="3">
        <v>14</v>
      </c>
      <c r="B21" s="3">
        <v>13</v>
      </c>
      <c r="C21" s="3">
        <v>18</v>
      </c>
      <c r="D21" s="3" t="s">
        <v>22</v>
      </c>
      <c r="E21" s="3" t="s">
        <v>16</v>
      </c>
      <c r="F21" s="3">
        <v>2</v>
      </c>
      <c r="G21" s="3">
        <v>2</v>
      </c>
      <c r="H21" s="3">
        <v>0</v>
      </c>
      <c r="I21" s="3">
        <v>2.5</v>
      </c>
      <c r="J21" s="4" t="str">
        <f>HYPERLINK("http://141.218.60.56/~jnz1568/getInfo.php?workbook=14_13.xlsx&amp;sheet=E0&amp;row=21&amp;col=10&amp;number=101024.35&amp;sourceID=14","101024.35")</f>
        <v>101024.35</v>
      </c>
    </row>
    <row r="22" spans="1:10">
      <c r="A22" s="3">
        <v>14</v>
      </c>
      <c r="B22" s="3">
        <v>13</v>
      </c>
      <c r="C22" s="3">
        <v>19</v>
      </c>
      <c r="D22" s="3" t="s">
        <v>23</v>
      </c>
      <c r="E22" s="3" t="s">
        <v>13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HYPERLINK("http://141.218.60.56/~jnz1568/getInfo.php?workbook=14_13.xlsx&amp;sheet=E0&amp;row=22&amp;col=10&amp;number=103860.74&amp;sourceID=14","103860.74")</f>
        <v>103860.74</v>
      </c>
    </row>
    <row r="23" spans="1:10">
      <c r="A23" s="3">
        <v>14</v>
      </c>
      <c r="B23" s="3">
        <v>13</v>
      </c>
      <c r="C23" s="3">
        <v>20</v>
      </c>
      <c r="D23" s="3" t="s">
        <v>23</v>
      </c>
      <c r="E23" s="3" t="s">
        <v>13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HYPERLINK("http://141.218.60.56/~jnz1568/getInfo.php?workbook=14_13.xlsx&amp;sheet=E0&amp;row=23&amp;col=10&amp;number=103885.25&amp;sourceID=14","103885.25")</f>
        <v>103885.25</v>
      </c>
    </row>
    <row r="24" spans="1:10">
      <c r="A24" s="3">
        <v>14</v>
      </c>
      <c r="B24" s="3">
        <v>13</v>
      </c>
      <c r="C24" s="3">
        <v>21</v>
      </c>
      <c r="D24" s="3" t="s">
        <v>24</v>
      </c>
      <c r="E24" s="3" t="s">
        <v>25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HYPERLINK("http://141.218.60.56/~jnz1568/getInfo.php?workbook=14_13.xlsx&amp;sheet=E0&amp;row=24&amp;col=10&amp;number=103556.16&amp;sourceID=14","103556.16")</f>
        <v>103556.16</v>
      </c>
    </row>
    <row r="25" spans="1:10">
      <c r="A25" s="3">
        <v>14</v>
      </c>
      <c r="B25" s="3">
        <v>13</v>
      </c>
      <c r="C25" s="3">
        <v>22</v>
      </c>
      <c r="D25" s="3" t="s">
        <v>24</v>
      </c>
      <c r="E25" s="3" t="s">
        <v>25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HYPERLINK("http://141.218.60.56/~jnz1568/getInfo.php?workbook=14_13.xlsx&amp;sheet=E0&amp;row=25&amp;col=10&amp;number=103556.03&amp;sourceID=14","103556.03")</f>
        <v>103556.03</v>
      </c>
    </row>
    <row r="26" spans="1:10">
      <c r="A26" s="3">
        <v>14</v>
      </c>
      <c r="B26" s="3">
        <v>13</v>
      </c>
      <c r="C26" s="3">
        <v>23</v>
      </c>
      <c r="D26" s="3" t="s">
        <v>26</v>
      </c>
      <c r="E26" s="3" t="s">
        <v>16</v>
      </c>
      <c r="F26" s="3">
        <v>2</v>
      </c>
      <c r="G26" s="3">
        <v>2</v>
      </c>
      <c r="H26" s="3">
        <v>0</v>
      </c>
      <c r="I26" s="3">
        <v>1.5</v>
      </c>
      <c r="J26" s="4" t="str">
        <f>HYPERLINK("http://141.218.60.56/~jnz1568/getInfo.php?workbook=14_13.xlsx&amp;sheet=E0&amp;row=26&amp;col=10&amp;number=108778.7&amp;sourceID=14","108778.7")</f>
        <v>108778.7</v>
      </c>
    </row>
    <row r="27" spans="1:10">
      <c r="A27" s="3">
        <v>14</v>
      </c>
      <c r="B27" s="3">
        <v>13</v>
      </c>
      <c r="C27" s="3">
        <v>24</v>
      </c>
      <c r="D27" s="3" t="s">
        <v>26</v>
      </c>
      <c r="E27" s="3" t="s">
        <v>16</v>
      </c>
      <c r="F27" s="3">
        <v>2</v>
      </c>
      <c r="G27" s="3">
        <v>2</v>
      </c>
      <c r="H27" s="3">
        <v>0</v>
      </c>
      <c r="I27" s="3">
        <v>2.5</v>
      </c>
      <c r="J27" s="4" t="str">
        <f>HYPERLINK("http://141.218.60.56/~jnz1568/getInfo.php?workbook=14_13.xlsx&amp;sheet=E0&amp;row=27&amp;col=10&amp;number=108820.6&amp;sourceID=14","108820.6")</f>
        <v>108820.6</v>
      </c>
    </row>
    <row r="28" spans="1:10">
      <c r="A28" s="3">
        <v>14</v>
      </c>
      <c r="B28" s="3">
        <v>13</v>
      </c>
      <c r="C28" s="3">
        <v>25</v>
      </c>
      <c r="D28" s="3" t="s">
        <v>27</v>
      </c>
      <c r="E28" s="3" t="s">
        <v>18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HYPERLINK("http://141.218.60.56/~jnz1568/getInfo.php?workbook=14_13.xlsx&amp;sheet=E0&amp;row=28&amp;col=10&amp;number=111184.46&amp;sourceID=14","111184.46")</f>
        <v>111184.46</v>
      </c>
    </row>
    <row r="29" spans="1:10">
      <c r="A29" s="3">
        <v>14</v>
      </c>
      <c r="B29" s="3">
        <v>13</v>
      </c>
      <c r="C29" s="3">
        <v>26</v>
      </c>
      <c r="D29" s="3" t="s">
        <v>28</v>
      </c>
      <c r="E29" s="3" t="s">
        <v>16</v>
      </c>
      <c r="F29" s="3">
        <v>2</v>
      </c>
      <c r="G29" s="3">
        <v>2</v>
      </c>
      <c r="H29" s="3">
        <v>0</v>
      </c>
      <c r="I29" s="3">
        <v>1.5</v>
      </c>
      <c r="J29" s="4" t="str">
        <f>HYPERLINK("http://141.218.60.56/~jnz1568/getInfo.php?workbook=14_13.xlsx&amp;sheet=E0&amp;row=29&amp;col=10&amp;number=112394.56&amp;sourceID=14","112394.56")</f>
        <v>112394.56</v>
      </c>
    </row>
    <row r="30" spans="1:10">
      <c r="A30" s="3">
        <v>14</v>
      </c>
      <c r="B30" s="3">
        <v>13</v>
      </c>
      <c r="C30" s="3">
        <v>27</v>
      </c>
      <c r="D30" s="3" t="s">
        <v>28</v>
      </c>
      <c r="E30" s="3" t="s">
        <v>16</v>
      </c>
      <c r="F30" s="3">
        <v>2</v>
      </c>
      <c r="G30" s="3">
        <v>2</v>
      </c>
      <c r="H30" s="3">
        <v>0</v>
      </c>
      <c r="I30" s="3">
        <v>2.5</v>
      </c>
      <c r="J30" s="4" t="str">
        <f>HYPERLINK("http://141.218.60.56/~jnz1568/getInfo.php?workbook=14_13.xlsx&amp;sheet=E0&amp;row=30&amp;col=10&amp;number=112394.72&amp;sourceID=14","112394.72")</f>
        <v>112394.72</v>
      </c>
    </row>
    <row r="31" spans="1:10">
      <c r="A31" s="3">
        <v>14</v>
      </c>
      <c r="B31" s="3">
        <v>13</v>
      </c>
      <c r="C31" s="3">
        <v>28</v>
      </c>
      <c r="D31" s="3" t="s">
        <v>29</v>
      </c>
      <c r="E31" s="3" t="s">
        <v>13</v>
      </c>
      <c r="F31" s="3">
        <v>2</v>
      </c>
      <c r="G31" s="3">
        <v>1</v>
      </c>
      <c r="H31" s="3">
        <v>1</v>
      </c>
      <c r="I31" s="3">
        <v>0.5</v>
      </c>
      <c r="J31" s="4" t="str">
        <f>HYPERLINK("http://141.218.60.56/~jnz1568/getInfo.php?workbook=14_13.xlsx&amp;sheet=E0&amp;row=31&amp;col=10&amp;number=113962.08&amp;sourceID=14","113962.08")</f>
        <v>113962.08</v>
      </c>
    </row>
    <row r="32" spans="1:10">
      <c r="A32" s="3">
        <v>14</v>
      </c>
      <c r="B32" s="3">
        <v>13</v>
      </c>
      <c r="C32" s="3">
        <v>29</v>
      </c>
      <c r="D32" s="3" t="s">
        <v>29</v>
      </c>
      <c r="E32" s="3" t="s">
        <v>13</v>
      </c>
      <c r="F32" s="3">
        <v>2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HYPERLINK("http://141.218.60.56/~jnz1568/getInfo.php?workbook=14_13.xlsx&amp;sheet=E0&amp;row=32&amp;col=10&amp;number=113976.72&amp;sourceID=14","113976.72")</f>
        <v>113976.72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30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31</v>
      </c>
      <c r="D3" s="2" t="s">
        <v>4</v>
      </c>
      <c r="E3" s="2" t="s">
        <v>32</v>
      </c>
      <c r="F3" s="2" t="s">
        <v>33</v>
      </c>
      <c r="G3" s="2" t="s">
        <v>34</v>
      </c>
    </row>
    <row r="4" spans="1:7">
      <c r="A4" s="3">
        <v>14</v>
      </c>
      <c r="B4" s="3">
        <v>13</v>
      </c>
      <c r="C4" s="3">
        <v>2</v>
      </c>
      <c r="D4" s="3">
        <v>1</v>
      </c>
      <c r="E4" s="3">
        <v>348140.938</v>
      </c>
      <c r="F4" s="4" t="str">
        <f>HYPERLINK("http://141.218.60.56/~jnz1568/getInfo.php?workbook=14_13.xlsx&amp;sheet=A0&amp;row=4&amp;col=6&amp;number=0.000217&amp;sourceID=14","0.000217")</f>
        <v>0.000217</v>
      </c>
      <c r="G4" s="4" t="str">
        <f>HYPERLINK("http://141.218.60.56/~jnz1568/getInfo.php?workbook=14_13.xlsx&amp;sheet=A0&amp;row=4&amp;col=7&amp;number=0&amp;sourceID=14","0")</f>
        <v>0</v>
      </c>
    </row>
    <row r="5" spans="1:7">
      <c r="A5" s="3">
        <v>14</v>
      </c>
      <c r="B5" s="3">
        <v>13</v>
      </c>
      <c r="C5" s="3">
        <v>3</v>
      </c>
      <c r="D5" s="3">
        <v>1</v>
      </c>
      <c r="E5" s="3">
        <v>2335.123</v>
      </c>
      <c r="F5" s="4" t="str">
        <f>HYPERLINK("http://141.218.60.56/~jnz1568/getInfo.php?workbook=14_13.xlsx&amp;sheet=A0&amp;row=5&amp;col=6&amp;number=3956&amp;sourceID=14","3956")</f>
        <v>3956</v>
      </c>
      <c r="G5" s="4" t="str">
        <f>HYPERLINK("http://141.218.60.56/~jnz1568/getInfo.php?workbook=14_13.xlsx&amp;sheet=A0&amp;row=5&amp;col=7&amp;number=0&amp;sourceID=14","0")</f>
        <v>0</v>
      </c>
    </row>
    <row r="6" spans="1:7">
      <c r="A6" s="3">
        <v>14</v>
      </c>
      <c r="B6" s="3">
        <v>13</v>
      </c>
      <c r="C6" s="3">
        <v>3</v>
      </c>
      <c r="D6" s="3">
        <v>2</v>
      </c>
      <c r="E6" s="3">
        <v>2350.892</v>
      </c>
      <c r="F6" s="4" t="str">
        <f>HYPERLINK("http://141.218.60.56/~jnz1568/getInfo.php?workbook=14_13.xlsx&amp;sheet=A0&amp;row=6&amp;col=6&amp;number=3315&amp;sourceID=14","3315")</f>
        <v>3315</v>
      </c>
      <c r="G6" s="4" t="str">
        <f>HYPERLINK("http://141.218.60.56/~jnz1568/getInfo.php?workbook=14_13.xlsx&amp;sheet=A0&amp;row=6&amp;col=7&amp;number=0&amp;sourceID=14","0")</f>
        <v>0</v>
      </c>
    </row>
    <row r="7" spans="1:7">
      <c r="A7" s="3">
        <v>14</v>
      </c>
      <c r="B7" s="3">
        <v>13</v>
      </c>
      <c r="C7" s="3">
        <v>4</v>
      </c>
      <c r="D7" s="3">
        <v>1</v>
      </c>
      <c r="E7" s="3">
        <v>2329.231</v>
      </c>
      <c r="F7" s="4" t="str">
        <f>HYPERLINK("http://141.218.60.56/~jnz1568/getInfo.php?workbook=14_13.xlsx&amp;sheet=A0&amp;row=7&amp;col=6&amp;number=22&amp;sourceID=14","22")</f>
        <v>22</v>
      </c>
      <c r="G7" s="4" t="str">
        <f>HYPERLINK("http://141.218.60.56/~jnz1568/getInfo.php?workbook=14_13.xlsx&amp;sheet=A0&amp;row=7&amp;col=7&amp;number=0&amp;sourceID=14","0")</f>
        <v>0</v>
      </c>
    </row>
    <row r="8" spans="1:7">
      <c r="A8" s="3">
        <v>14</v>
      </c>
      <c r="B8" s="3">
        <v>13</v>
      </c>
      <c r="C8" s="3">
        <v>4</v>
      </c>
      <c r="D8" s="3">
        <v>2</v>
      </c>
      <c r="E8" s="3">
        <v>2344.92</v>
      </c>
      <c r="F8" s="4" t="str">
        <f>HYPERLINK("http://141.218.60.56/~jnz1568/getInfo.php?workbook=14_13.xlsx&amp;sheet=A0&amp;row=8&amp;col=6&amp;number=1014&amp;sourceID=14","1014")</f>
        <v>1014</v>
      </c>
      <c r="G8" s="4" t="str">
        <f>HYPERLINK("http://141.218.60.56/~jnz1568/getInfo.php?workbook=14_13.xlsx&amp;sheet=A0&amp;row=8&amp;col=7&amp;number=0&amp;sourceID=14","0")</f>
        <v>0</v>
      </c>
    </row>
    <row r="9" spans="1:7">
      <c r="A9" s="3">
        <v>14</v>
      </c>
      <c r="B9" s="3">
        <v>13</v>
      </c>
      <c r="C9" s="3">
        <v>5</v>
      </c>
      <c r="D9" s="3">
        <v>2</v>
      </c>
      <c r="E9" s="3">
        <v>2335.321</v>
      </c>
      <c r="F9" s="4" t="str">
        <f>HYPERLINK("http://141.218.60.56/~jnz1568/getInfo.php?workbook=14_13.xlsx&amp;sheet=A0&amp;row=9&amp;col=6&amp;number=1827&amp;sourceID=14","1827")</f>
        <v>1827</v>
      </c>
      <c r="G9" s="4" t="str">
        <f>HYPERLINK("http://141.218.60.56/~jnz1568/getInfo.php?workbook=14_13.xlsx&amp;sheet=A0&amp;row=9&amp;col=7&amp;number=0&amp;sourceID=14","0")</f>
        <v>0</v>
      </c>
    </row>
    <row r="10" spans="1:7">
      <c r="A10" s="3">
        <v>14</v>
      </c>
      <c r="B10" s="3">
        <v>13</v>
      </c>
      <c r="C10" s="3">
        <v>6</v>
      </c>
      <c r="D10" s="3">
        <v>1</v>
      </c>
      <c r="E10" s="3">
        <v>1808.013</v>
      </c>
      <c r="F10" s="4" t="str">
        <f>HYPERLINK("http://141.218.60.56/~jnz1568/getInfo.php?workbook=14_13.xlsx&amp;sheet=A0&amp;row=10&amp;col=6&amp;number=2551000&amp;sourceID=14","2551000")</f>
        <v>2551000</v>
      </c>
      <c r="G10" s="4" t="str">
        <f>HYPERLINK("http://141.218.60.56/~jnz1568/getInfo.php?workbook=14_13.xlsx&amp;sheet=A0&amp;row=10&amp;col=7&amp;number=0&amp;sourceID=14","0")</f>
        <v>0</v>
      </c>
    </row>
    <row r="11" spans="1:7">
      <c r="A11" s="3">
        <v>14</v>
      </c>
      <c r="B11" s="3">
        <v>13</v>
      </c>
      <c r="C11" s="3">
        <v>6</v>
      </c>
      <c r="D11" s="3">
        <v>2</v>
      </c>
      <c r="E11" s="3">
        <v>1817.451</v>
      </c>
      <c r="F11" s="4" t="str">
        <f>HYPERLINK("http://141.218.60.56/~jnz1568/getInfo.php?workbook=14_13.xlsx&amp;sheet=A0&amp;row=11&amp;col=6&amp;number=343300&amp;sourceID=14","343300")</f>
        <v>343300</v>
      </c>
      <c r="G11" s="4" t="str">
        <f>HYPERLINK("http://141.218.60.56/~jnz1568/getInfo.php?workbook=14_13.xlsx&amp;sheet=A0&amp;row=11&amp;col=7&amp;number=0&amp;sourceID=14","0")</f>
        <v>0</v>
      </c>
    </row>
    <row r="12" spans="1:7">
      <c r="A12" s="3">
        <v>14</v>
      </c>
      <c r="B12" s="3">
        <v>13</v>
      </c>
      <c r="C12" s="3">
        <v>7</v>
      </c>
      <c r="D12" s="3">
        <v>2</v>
      </c>
      <c r="E12" s="3">
        <v>1816.928</v>
      </c>
      <c r="F12" s="4" t="str">
        <f>HYPERLINK("http://141.218.60.56/~jnz1568/getInfo.php?workbook=14_13.xlsx&amp;sheet=A0&amp;row=12&amp;col=6&amp;number=2654000&amp;sourceID=14","2654000")</f>
        <v>2654000</v>
      </c>
      <c r="G12" s="4" t="str">
        <f>HYPERLINK("http://141.218.60.56/~jnz1568/getInfo.php?workbook=14_13.xlsx&amp;sheet=A0&amp;row=12&amp;col=7&amp;number=0&amp;sourceID=14","0")</f>
        <v>0</v>
      </c>
    </row>
    <row r="13" spans="1:7">
      <c r="A13" s="3">
        <v>14</v>
      </c>
      <c r="B13" s="3">
        <v>13</v>
      </c>
      <c r="C13" s="3">
        <v>8</v>
      </c>
      <c r="D13" s="3">
        <v>1</v>
      </c>
      <c r="E13" s="3">
        <v>1526.707</v>
      </c>
      <c r="F13" s="4" t="str">
        <f>HYPERLINK("http://141.218.60.56/~jnz1568/getInfo.php?workbook=14_13.xlsx&amp;sheet=A0&amp;row=13&amp;col=6&amp;number=381500000&amp;sourceID=14","381500000")</f>
        <v>381500000</v>
      </c>
      <c r="G13" s="4" t="str">
        <f>HYPERLINK("http://141.218.60.56/~jnz1568/getInfo.php?workbook=14_13.xlsx&amp;sheet=A0&amp;row=13&amp;col=7&amp;number=0&amp;sourceID=14","0")</f>
        <v>0</v>
      </c>
    </row>
    <row r="14" spans="1:7">
      <c r="A14" s="3">
        <v>14</v>
      </c>
      <c r="B14" s="3">
        <v>13</v>
      </c>
      <c r="C14" s="3">
        <v>8</v>
      </c>
      <c r="D14" s="3">
        <v>2</v>
      </c>
      <c r="E14" s="3">
        <v>1533.431</v>
      </c>
      <c r="F14" s="4" t="str">
        <f>HYPERLINK("http://141.218.60.56/~jnz1568/getInfo.php?workbook=14_13.xlsx&amp;sheet=A0&amp;row=14&amp;col=6&amp;number=754400000&amp;sourceID=14","754400000")</f>
        <v>754400000</v>
      </c>
      <c r="G14" s="4" t="str">
        <f>HYPERLINK("http://141.218.60.56/~jnz1568/getInfo.php?workbook=14_13.xlsx&amp;sheet=A0&amp;row=14&amp;col=7&amp;number=0&amp;sourceID=14","0")</f>
        <v>0</v>
      </c>
    </row>
    <row r="15" spans="1:7">
      <c r="A15" s="3">
        <v>14</v>
      </c>
      <c r="B15" s="3">
        <v>13</v>
      </c>
      <c r="C15" s="3">
        <v>9</v>
      </c>
      <c r="D15" s="3">
        <v>1</v>
      </c>
      <c r="E15" s="3">
        <v>1304.37</v>
      </c>
      <c r="F15" s="4" t="str">
        <f>HYPERLINK("http://141.218.60.56/~jnz1568/getInfo.php?workbook=14_13.xlsx&amp;sheet=A0&amp;row=15&amp;col=6&amp;number=361100000&amp;sourceID=14","361100000")</f>
        <v>361100000</v>
      </c>
      <c r="G15" s="4" t="str">
        <f>HYPERLINK("http://141.218.60.56/~jnz1568/getInfo.php?workbook=14_13.xlsx&amp;sheet=A0&amp;row=15&amp;col=7&amp;number=0&amp;sourceID=14","0")</f>
        <v>0</v>
      </c>
    </row>
    <row r="16" spans="1:7">
      <c r="A16" s="3">
        <v>14</v>
      </c>
      <c r="B16" s="3">
        <v>13</v>
      </c>
      <c r="C16" s="3">
        <v>9</v>
      </c>
      <c r="D16" s="3">
        <v>2</v>
      </c>
      <c r="E16" s="3">
        <v>1309.276</v>
      </c>
      <c r="F16" s="4" t="str">
        <f>HYPERLINK("http://141.218.60.56/~jnz1568/getInfo.php?workbook=14_13.xlsx&amp;sheet=A0&amp;row=16&amp;col=6&amp;number=629600000&amp;sourceID=14","629600000")</f>
        <v>629600000</v>
      </c>
      <c r="G16" s="4" t="str">
        <f>HYPERLINK("http://141.218.60.56/~jnz1568/getInfo.php?workbook=14_13.xlsx&amp;sheet=A0&amp;row=16&amp;col=7&amp;number=0&amp;sourceID=14","0")</f>
        <v>0</v>
      </c>
    </row>
    <row r="17" spans="1:7">
      <c r="A17" s="3">
        <v>14</v>
      </c>
      <c r="B17" s="3">
        <v>13</v>
      </c>
      <c r="C17" s="3">
        <v>10</v>
      </c>
      <c r="D17" s="3">
        <v>1</v>
      </c>
      <c r="E17" s="3">
        <v>1260.422</v>
      </c>
      <c r="F17" s="4" t="str">
        <f>HYPERLINK("http://141.218.60.56/~jnz1568/getInfo.php?workbook=14_13.xlsx&amp;sheet=A0&amp;row=17&amp;col=6&amp;number=2477000000&amp;sourceID=14","2477000000")</f>
        <v>2477000000</v>
      </c>
      <c r="G17" s="4" t="str">
        <f>HYPERLINK("http://141.218.60.56/~jnz1568/getInfo.php?workbook=14_13.xlsx&amp;sheet=A0&amp;row=17&amp;col=7&amp;number=0&amp;sourceID=14","0")</f>
        <v>0</v>
      </c>
    </row>
    <row r="18" spans="1:7">
      <c r="A18" s="3">
        <v>14</v>
      </c>
      <c r="B18" s="3">
        <v>13</v>
      </c>
      <c r="C18" s="3">
        <v>10</v>
      </c>
      <c r="D18" s="3">
        <v>2</v>
      </c>
      <c r="E18" s="3">
        <v>1265.002</v>
      </c>
      <c r="F18" s="4" t="str">
        <f>HYPERLINK("http://141.218.60.56/~jnz1568/getInfo.php?workbook=14_13.xlsx&amp;sheet=A0&amp;row=18&amp;col=6&amp;number=462700000&amp;sourceID=14","462700000")</f>
        <v>462700000</v>
      </c>
      <c r="G18" s="4" t="str">
        <f>HYPERLINK("http://141.218.60.56/~jnz1568/getInfo.php?workbook=14_13.xlsx&amp;sheet=A0&amp;row=18&amp;col=7&amp;number=0&amp;sourceID=14","0")</f>
        <v>0</v>
      </c>
    </row>
    <row r="19" spans="1:7">
      <c r="A19" s="3">
        <v>14</v>
      </c>
      <c r="B19" s="3">
        <v>13</v>
      </c>
      <c r="C19" s="3">
        <v>11</v>
      </c>
      <c r="D19" s="3">
        <v>2</v>
      </c>
      <c r="E19" s="3">
        <v>1264.738</v>
      </c>
      <c r="F19" s="4" t="str">
        <f>HYPERLINK("http://141.218.60.56/~jnz1568/getInfo.php?workbook=14_13.xlsx&amp;sheet=A0&amp;row=19&amp;col=6&amp;number=2919000000&amp;sourceID=14","2919000000")</f>
        <v>2919000000</v>
      </c>
      <c r="G19" s="4" t="str">
        <f>HYPERLINK("http://141.218.60.56/~jnz1568/getInfo.php?workbook=14_13.xlsx&amp;sheet=A0&amp;row=19&amp;col=7&amp;number=0&amp;sourceID=14","0")</f>
        <v>0</v>
      </c>
    </row>
    <row r="20" spans="1:7">
      <c r="A20" s="3">
        <v>14</v>
      </c>
      <c r="B20" s="3">
        <v>13</v>
      </c>
      <c r="C20" s="3">
        <v>12</v>
      </c>
      <c r="D20" s="3">
        <v>8</v>
      </c>
      <c r="E20" s="3">
        <v>6373.131</v>
      </c>
      <c r="F20" s="4" t="str">
        <f>HYPERLINK("http://141.218.60.56/~jnz1568/getInfo.php?workbook=14_13.xlsx&amp;sheet=A0&amp;row=20&amp;col=6&amp;number=61910000&amp;sourceID=14","61910000")</f>
        <v>61910000</v>
      </c>
      <c r="G20" s="4" t="str">
        <f>HYPERLINK("http://141.218.60.56/~jnz1568/getInfo.php?workbook=14_13.xlsx&amp;sheet=A0&amp;row=20&amp;col=7&amp;number=0&amp;sourceID=14","0")</f>
        <v>0</v>
      </c>
    </row>
    <row r="21" spans="1:7">
      <c r="A21" s="3">
        <v>14</v>
      </c>
      <c r="B21" s="3">
        <v>13</v>
      </c>
      <c r="C21" s="3">
        <v>12</v>
      </c>
      <c r="D21" s="3">
        <v>9</v>
      </c>
      <c r="E21" s="3">
        <v>22094.604</v>
      </c>
      <c r="F21" s="4" t="str">
        <f>HYPERLINK("http://141.218.60.56/~jnz1568/getInfo.php?workbook=14_13.xlsx&amp;sheet=A0&amp;row=21&amp;col=6&amp;number=15580&amp;sourceID=14","15580")</f>
        <v>15580</v>
      </c>
      <c r="G21" s="4" t="str">
        <f>HYPERLINK("http://141.218.60.56/~jnz1568/getInfo.php?workbook=14_13.xlsx&amp;sheet=A0&amp;row=21&amp;col=7&amp;number=0&amp;sourceID=14","0")</f>
        <v>0</v>
      </c>
    </row>
    <row r="22" spans="1:7">
      <c r="A22" s="3">
        <v>14</v>
      </c>
      <c r="B22" s="3">
        <v>13</v>
      </c>
      <c r="C22" s="3">
        <v>12</v>
      </c>
      <c r="D22" s="3">
        <v>6</v>
      </c>
      <c r="E22" s="3">
        <v>3863.69</v>
      </c>
      <c r="F22" s="4" t="str">
        <f>HYPERLINK("http://141.218.60.56/~jnz1568/getInfo.php?workbook=14_13.xlsx&amp;sheet=A0&amp;row=22&amp;col=6&amp;number=43070000&amp;sourceID=14","43070000")</f>
        <v>43070000</v>
      </c>
      <c r="G22" s="4" t="str">
        <f>HYPERLINK("http://141.218.60.56/~jnz1568/getInfo.php?workbook=14_13.xlsx&amp;sheet=A0&amp;row=22&amp;col=7&amp;number=0&amp;sourceID=14","0")</f>
        <v>0</v>
      </c>
    </row>
    <row r="23" spans="1:7">
      <c r="A23" s="3">
        <v>14</v>
      </c>
      <c r="B23" s="3">
        <v>13</v>
      </c>
      <c r="C23" s="3">
        <v>12</v>
      </c>
      <c r="D23" s="3">
        <v>10</v>
      </c>
      <c r="E23" s="3">
        <v>53971.094</v>
      </c>
      <c r="F23" s="4" t="str">
        <f>HYPERLINK("http://141.218.60.56/~jnz1568/getInfo.php?workbook=14_13.xlsx&amp;sheet=A0&amp;row=23&amp;col=6&amp;number=76940&amp;sourceID=14","76940")</f>
        <v>76940</v>
      </c>
      <c r="G23" s="4" t="str">
        <f>HYPERLINK("http://141.218.60.56/~jnz1568/getInfo.php?workbook=14_13.xlsx&amp;sheet=A0&amp;row=23&amp;col=7&amp;number=0&amp;sourceID=14","0")</f>
        <v>0</v>
      </c>
    </row>
    <row r="24" spans="1:7">
      <c r="A24" s="3">
        <v>14</v>
      </c>
      <c r="B24" s="3">
        <v>13</v>
      </c>
      <c r="C24" s="3">
        <v>13</v>
      </c>
      <c r="D24" s="3">
        <v>8</v>
      </c>
      <c r="E24" s="3">
        <v>6348.863</v>
      </c>
      <c r="F24" s="4" t="str">
        <f>HYPERLINK("http://141.218.60.56/~jnz1568/getInfo.php?workbook=14_13.xlsx&amp;sheet=A0&amp;row=24&amp;col=6&amp;number=62630000&amp;sourceID=14","62630000")</f>
        <v>62630000</v>
      </c>
      <c r="G24" s="4" t="str">
        <f>HYPERLINK("http://141.218.60.56/~jnz1568/getInfo.php?workbook=14_13.xlsx&amp;sheet=A0&amp;row=24&amp;col=7&amp;number=0&amp;sourceID=14","0")</f>
        <v>0</v>
      </c>
    </row>
    <row r="25" spans="1:7">
      <c r="A25" s="3">
        <v>14</v>
      </c>
      <c r="B25" s="3">
        <v>13</v>
      </c>
      <c r="C25" s="3">
        <v>13</v>
      </c>
      <c r="D25" s="3">
        <v>9</v>
      </c>
      <c r="E25" s="3">
        <v>21805.645</v>
      </c>
      <c r="F25" s="4" t="str">
        <f>HYPERLINK("http://141.218.60.56/~jnz1568/getInfo.php?workbook=14_13.xlsx&amp;sheet=A0&amp;row=25&amp;col=6&amp;number=16060&amp;sourceID=14","16060")</f>
        <v>16060</v>
      </c>
      <c r="G25" s="4" t="str">
        <f>HYPERLINK("http://141.218.60.56/~jnz1568/getInfo.php?workbook=14_13.xlsx&amp;sheet=A0&amp;row=25&amp;col=7&amp;number=0&amp;sourceID=14","0")</f>
        <v>0</v>
      </c>
    </row>
    <row r="26" spans="1:7">
      <c r="A26" s="3">
        <v>14</v>
      </c>
      <c r="B26" s="3">
        <v>13</v>
      </c>
      <c r="C26" s="3">
        <v>13</v>
      </c>
      <c r="D26" s="3">
        <v>6</v>
      </c>
      <c r="E26" s="3">
        <v>3854.758</v>
      </c>
      <c r="F26" s="4" t="str">
        <f>HYPERLINK("http://141.218.60.56/~jnz1568/getInfo.php?workbook=14_13.xlsx&amp;sheet=A0&amp;row=26&amp;col=6&amp;number=4323000&amp;sourceID=14","4323000")</f>
        <v>4323000</v>
      </c>
      <c r="G26" s="4" t="str">
        <f>HYPERLINK("http://141.218.60.56/~jnz1568/getInfo.php?workbook=14_13.xlsx&amp;sheet=A0&amp;row=26&amp;col=7&amp;number=0&amp;sourceID=14","0")</f>
        <v>0</v>
      </c>
    </row>
    <row r="27" spans="1:7">
      <c r="A27" s="3">
        <v>14</v>
      </c>
      <c r="B27" s="3">
        <v>13</v>
      </c>
      <c r="C27" s="3">
        <v>13</v>
      </c>
      <c r="D27" s="3">
        <v>7</v>
      </c>
      <c r="E27" s="3">
        <v>3857.111</v>
      </c>
      <c r="F27" s="4" t="str">
        <f>HYPERLINK("http://141.218.60.56/~jnz1568/getInfo.php?workbook=14_13.xlsx&amp;sheet=A0&amp;row=27&amp;col=6&amp;number=38940000&amp;sourceID=14","38940000")</f>
        <v>38940000</v>
      </c>
      <c r="G27" s="4" t="str">
        <f>HYPERLINK("http://141.218.60.56/~jnz1568/getInfo.php?workbook=14_13.xlsx&amp;sheet=A0&amp;row=27&amp;col=7&amp;number=0&amp;sourceID=14","0")</f>
        <v>0</v>
      </c>
    </row>
    <row r="28" spans="1:7">
      <c r="A28" s="3">
        <v>14</v>
      </c>
      <c r="B28" s="3">
        <v>13</v>
      </c>
      <c r="C28" s="3">
        <v>13</v>
      </c>
      <c r="D28" s="3">
        <v>10</v>
      </c>
      <c r="E28" s="3">
        <v>52278.824</v>
      </c>
      <c r="F28" s="4" t="str">
        <f>HYPERLINK("http://141.218.60.56/~jnz1568/getInfo.php?workbook=14_13.xlsx&amp;sheet=A0&amp;row=28&amp;col=6&amp;number=8542&amp;sourceID=14","8542")</f>
        <v>8542</v>
      </c>
      <c r="G28" s="4" t="str">
        <f>HYPERLINK("http://141.218.60.56/~jnz1568/getInfo.php?workbook=14_13.xlsx&amp;sheet=A0&amp;row=28&amp;col=7&amp;number=0&amp;sourceID=14","0")</f>
        <v>0</v>
      </c>
    </row>
    <row r="29" spans="1:7">
      <c r="A29" s="3">
        <v>14</v>
      </c>
      <c r="B29" s="3">
        <v>13</v>
      </c>
      <c r="C29" s="3">
        <v>13</v>
      </c>
      <c r="D29" s="3">
        <v>11</v>
      </c>
      <c r="E29" s="3">
        <v>52734.359</v>
      </c>
      <c r="F29" s="4" t="str">
        <f>HYPERLINK("http://141.218.60.56/~jnz1568/getInfo.php?workbook=14_13.xlsx&amp;sheet=A0&amp;row=29&amp;col=6&amp;number=74470&amp;sourceID=14","74470")</f>
        <v>74470</v>
      </c>
      <c r="G29" s="4" t="str">
        <f>HYPERLINK("http://141.218.60.56/~jnz1568/getInfo.php?workbook=14_13.xlsx&amp;sheet=A0&amp;row=29&amp;col=7&amp;number=0&amp;sourceID=14","0")</f>
        <v>0</v>
      </c>
    </row>
    <row r="30" spans="1:7">
      <c r="A30" s="3">
        <v>14</v>
      </c>
      <c r="B30" s="3">
        <v>13</v>
      </c>
      <c r="C30" s="3">
        <v>14</v>
      </c>
      <c r="D30" s="3">
        <v>1</v>
      </c>
      <c r="E30" s="3">
        <v>1193.29</v>
      </c>
      <c r="F30" s="4" t="str">
        <f>HYPERLINK("http://141.218.60.56/~jnz1568/getInfo.php?workbook=14_13.xlsx&amp;sheet=A0&amp;row=30&amp;col=6&amp;number=2707000000&amp;sourceID=14","2707000000")</f>
        <v>2707000000</v>
      </c>
      <c r="G30" s="4" t="str">
        <f>HYPERLINK("http://141.218.60.56/~jnz1568/getInfo.php?workbook=14_13.xlsx&amp;sheet=A0&amp;row=30&amp;col=7&amp;number=0&amp;sourceID=14","0")</f>
        <v>0</v>
      </c>
    </row>
    <row r="31" spans="1:7">
      <c r="A31" s="3">
        <v>14</v>
      </c>
      <c r="B31" s="3">
        <v>13</v>
      </c>
      <c r="C31" s="3">
        <v>14</v>
      </c>
      <c r="D31" s="3">
        <v>2</v>
      </c>
      <c r="E31" s="3">
        <v>1197.394</v>
      </c>
      <c r="F31" s="4" t="str">
        <f>HYPERLINK("http://141.218.60.56/~jnz1568/getInfo.php?workbook=14_13.xlsx&amp;sheet=A0&amp;row=31&amp;col=6&amp;number=1405000000&amp;sourceID=14","1405000000")</f>
        <v>1405000000</v>
      </c>
      <c r="G31" s="4" t="str">
        <f>HYPERLINK("http://141.218.60.56/~jnz1568/getInfo.php?workbook=14_13.xlsx&amp;sheet=A0&amp;row=31&amp;col=7&amp;number=0&amp;sourceID=14","0")</f>
        <v>0</v>
      </c>
    </row>
    <row r="32" spans="1:7">
      <c r="A32" s="3">
        <v>14</v>
      </c>
      <c r="B32" s="3">
        <v>13</v>
      </c>
      <c r="C32" s="3">
        <v>15</v>
      </c>
      <c r="D32" s="3">
        <v>1</v>
      </c>
      <c r="E32" s="3">
        <v>1190.416</v>
      </c>
      <c r="F32" s="4" t="str">
        <f>HYPERLINK("http://141.218.60.56/~jnz1568/getInfo.php?workbook=14_13.xlsx&amp;sheet=A0&amp;row=32&amp;col=6&amp;number=670700000&amp;sourceID=14","670700000")</f>
        <v>670700000</v>
      </c>
      <c r="G32" s="4" t="str">
        <f>HYPERLINK("http://141.218.60.56/~jnz1568/getInfo.php?workbook=14_13.xlsx&amp;sheet=A0&amp;row=32&amp;col=7&amp;number=0&amp;sourceID=14","0")</f>
        <v>0</v>
      </c>
    </row>
    <row r="33" spans="1:7">
      <c r="A33" s="3">
        <v>14</v>
      </c>
      <c r="B33" s="3">
        <v>13</v>
      </c>
      <c r="C33" s="3">
        <v>15</v>
      </c>
      <c r="D33" s="3">
        <v>2</v>
      </c>
      <c r="E33" s="3">
        <v>1194.5</v>
      </c>
      <c r="F33" s="4" t="str">
        <f>HYPERLINK("http://141.218.60.56/~jnz1568/getInfo.php?workbook=14_13.xlsx&amp;sheet=A0&amp;row=33&amp;col=6&amp;number=3455000000&amp;sourceID=14","3455000000")</f>
        <v>3455000000</v>
      </c>
      <c r="G33" s="4" t="str">
        <f>HYPERLINK("http://141.218.60.56/~jnz1568/getInfo.php?workbook=14_13.xlsx&amp;sheet=A0&amp;row=33&amp;col=7&amp;number=0&amp;sourceID=14","0")</f>
        <v>0</v>
      </c>
    </row>
    <row r="34" spans="1:7">
      <c r="A34" s="3">
        <v>14</v>
      </c>
      <c r="B34" s="3">
        <v>13</v>
      </c>
      <c r="C34" s="3">
        <v>16</v>
      </c>
      <c r="D34" s="3">
        <v>1</v>
      </c>
      <c r="E34" s="3">
        <v>1020.699</v>
      </c>
      <c r="F34" s="4" t="str">
        <f>HYPERLINK("http://141.218.60.56/~jnz1568/getInfo.php?workbook=14_13.xlsx&amp;sheet=A0&amp;row=34&amp;col=6&amp;number=96620000&amp;sourceID=14","96620000")</f>
        <v>96620000</v>
      </c>
      <c r="G34" s="4" t="str">
        <f>HYPERLINK("http://141.218.60.56/~jnz1568/getInfo.php?workbook=14_13.xlsx&amp;sheet=A0&amp;row=34&amp;col=7&amp;number=0&amp;sourceID=14","0")</f>
        <v>0</v>
      </c>
    </row>
    <row r="35" spans="1:7">
      <c r="A35" s="3">
        <v>14</v>
      </c>
      <c r="B35" s="3">
        <v>13</v>
      </c>
      <c r="C35" s="3">
        <v>16</v>
      </c>
      <c r="D35" s="3">
        <v>2</v>
      </c>
      <c r="E35" s="3">
        <v>1023.7</v>
      </c>
      <c r="F35" s="4" t="str">
        <f>HYPERLINK("http://141.218.60.56/~jnz1568/getInfo.php?workbook=14_13.xlsx&amp;sheet=A0&amp;row=35&amp;col=6&amp;number=193500000&amp;sourceID=14","193500000")</f>
        <v>193500000</v>
      </c>
      <c r="G35" s="4" t="str">
        <f>HYPERLINK("http://141.218.60.56/~jnz1568/getInfo.php?workbook=14_13.xlsx&amp;sheet=A0&amp;row=35&amp;col=7&amp;number=0&amp;sourceID=14","0")</f>
        <v>0</v>
      </c>
    </row>
    <row r="36" spans="1:7">
      <c r="A36" s="3">
        <v>14</v>
      </c>
      <c r="B36" s="3">
        <v>13</v>
      </c>
      <c r="C36" s="3">
        <v>16</v>
      </c>
      <c r="D36" s="3">
        <v>12</v>
      </c>
      <c r="E36" s="3">
        <v>5959.209</v>
      </c>
      <c r="F36" s="4" t="str">
        <f>HYPERLINK("http://141.218.60.56/~jnz1568/getInfo.php?workbook=14_13.xlsx&amp;sheet=A0&amp;row=36&amp;col=6&amp;number=44510000&amp;sourceID=14","44510000")</f>
        <v>44510000</v>
      </c>
      <c r="G36" s="4" t="str">
        <f>HYPERLINK("http://141.218.60.56/~jnz1568/getInfo.php?workbook=14_13.xlsx&amp;sheet=A0&amp;row=36&amp;col=7&amp;number=0&amp;sourceID=14","0")</f>
        <v>0</v>
      </c>
    </row>
    <row r="37" spans="1:7">
      <c r="A37" s="3">
        <v>14</v>
      </c>
      <c r="B37" s="3">
        <v>13</v>
      </c>
      <c r="C37" s="3">
        <v>16</v>
      </c>
      <c r="D37" s="3">
        <v>13</v>
      </c>
      <c r="E37" s="3">
        <v>5980.585</v>
      </c>
      <c r="F37" s="4" t="str">
        <f>HYPERLINK("http://141.218.60.56/~jnz1568/getInfo.php?workbook=14_13.xlsx&amp;sheet=A0&amp;row=37&amp;col=6&amp;number=88770000&amp;sourceID=14","88770000")</f>
        <v>88770000</v>
      </c>
      <c r="G37" s="4" t="str">
        <f>HYPERLINK("http://141.218.60.56/~jnz1568/getInfo.php?workbook=14_13.xlsx&amp;sheet=A0&amp;row=37&amp;col=7&amp;number=0&amp;sourceID=14","0")</f>
        <v>0</v>
      </c>
    </row>
    <row r="38" spans="1:7">
      <c r="A38" s="3">
        <v>14</v>
      </c>
      <c r="B38" s="3">
        <v>13</v>
      </c>
      <c r="C38" s="3">
        <v>17</v>
      </c>
      <c r="D38" s="3">
        <v>1</v>
      </c>
      <c r="E38" s="3">
        <v>989.873</v>
      </c>
      <c r="F38" s="4" t="str">
        <f>HYPERLINK("http://141.218.60.56/~jnz1568/getInfo.php?workbook=14_13.xlsx&amp;sheet=A0&amp;row=38&amp;col=6&amp;number=578600000&amp;sourceID=14","578600000")</f>
        <v>578600000</v>
      </c>
      <c r="G38" s="4" t="str">
        <f>HYPERLINK("http://141.218.60.56/~jnz1568/getInfo.php?workbook=14_13.xlsx&amp;sheet=A0&amp;row=38&amp;col=7&amp;number=0&amp;sourceID=14","0")</f>
        <v>0</v>
      </c>
    </row>
    <row r="39" spans="1:7">
      <c r="A39" s="3">
        <v>14</v>
      </c>
      <c r="B39" s="3">
        <v>13</v>
      </c>
      <c r="C39" s="3">
        <v>17</v>
      </c>
      <c r="D39" s="3">
        <v>2</v>
      </c>
      <c r="E39" s="3">
        <v>992.696</v>
      </c>
      <c r="F39" s="4" t="str">
        <f>HYPERLINK("http://141.218.60.56/~jnz1568/getInfo.php?workbook=14_13.xlsx&amp;sheet=A0&amp;row=39&amp;col=6&amp;number=118400000&amp;sourceID=14","118400000")</f>
        <v>118400000</v>
      </c>
      <c r="G39" s="4" t="str">
        <f>HYPERLINK("http://141.218.60.56/~jnz1568/getInfo.php?workbook=14_13.xlsx&amp;sheet=A0&amp;row=39&amp;col=7&amp;number=0&amp;sourceID=14","0")</f>
        <v>0</v>
      </c>
    </row>
    <row r="40" spans="1:7">
      <c r="A40" s="3">
        <v>14</v>
      </c>
      <c r="B40" s="3">
        <v>13</v>
      </c>
      <c r="C40" s="3">
        <v>17</v>
      </c>
      <c r="D40" s="3">
        <v>12</v>
      </c>
      <c r="E40" s="3">
        <v>5042.431</v>
      </c>
      <c r="F40" s="4" t="str">
        <f>HYPERLINK("http://141.218.60.56/~jnz1568/getInfo.php?workbook=14_13.xlsx&amp;sheet=A0&amp;row=40&amp;col=6&amp;number=119200000&amp;sourceID=14","119200000")</f>
        <v>119200000</v>
      </c>
      <c r="G40" s="4" t="str">
        <f>HYPERLINK("http://141.218.60.56/~jnz1568/getInfo.php?workbook=14_13.xlsx&amp;sheet=A0&amp;row=40&amp;col=7&amp;number=0&amp;sourceID=14","0")</f>
        <v>0</v>
      </c>
    </row>
    <row r="41" spans="1:7">
      <c r="A41" s="3">
        <v>14</v>
      </c>
      <c r="B41" s="3">
        <v>13</v>
      </c>
      <c r="C41" s="3">
        <v>17</v>
      </c>
      <c r="D41" s="3">
        <v>13</v>
      </c>
      <c r="E41" s="3">
        <v>5057.727</v>
      </c>
      <c r="F41" s="4" t="str">
        <f>HYPERLINK("http://141.218.60.56/~jnz1568/getInfo.php?workbook=14_13.xlsx&amp;sheet=A0&amp;row=41&amp;col=6&amp;number=23750000&amp;sourceID=14","23750000")</f>
        <v>23750000</v>
      </c>
      <c r="G41" s="4" t="str">
        <f>HYPERLINK("http://141.218.60.56/~jnz1568/getInfo.php?workbook=14_13.xlsx&amp;sheet=A0&amp;row=41&amp;col=7&amp;number=0&amp;sourceID=14","0")</f>
        <v>0</v>
      </c>
    </row>
    <row r="42" spans="1:7">
      <c r="A42" s="3">
        <v>14</v>
      </c>
      <c r="B42" s="3">
        <v>13</v>
      </c>
      <c r="C42" s="3">
        <v>18</v>
      </c>
      <c r="D42" s="3">
        <v>2</v>
      </c>
      <c r="E42" s="3">
        <v>992.683</v>
      </c>
      <c r="F42" s="4" t="str">
        <f>HYPERLINK("http://141.218.60.56/~jnz1568/getInfo.php?workbook=14_13.xlsx&amp;sheet=A0&amp;row=42&amp;col=6&amp;number=685900000&amp;sourceID=14","685900000")</f>
        <v>685900000</v>
      </c>
      <c r="G42" s="4" t="str">
        <f>HYPERLINK("http://141.218.60.56/~jnz1568/getInfo.php?workbook=14_13.xlsx&amp;sheet=A0&amp;row=42&amp;col=7&amp;number=0&amp;sourceID=14","0")</f>
        <v>0</v>
      </c>
    </row>
    <row r="43" spans="1:7">
      <c r="A43" s="3">
        <v>14</v>
      </c>
      <c r="B43" s="3">
        <v>13</v>
      </c>
      <c r="C43" s="3">
        <v>18</v>
      </c>
      <c r="D43" s="3">
        <v>13</v>
      </c>
      <c r="E43" s="3">
        <v>5057.394</v>
      </c>
      <c r="F43" s="4" t="str">
        <f>HYPERLINK("http://141.218.60.56/~jnz1568/getInfo.php?workbook=14_13.xlsx&amp;sheet=A0&amp;row=43&amp;col=6&amp;number=142400000&amp;sourceID=14","142400000")</f>
        <v>142400000</v>
      </c>
      <c r="G43" s="4" t="str">
        <f>HYPERLINK("http://141.218.60.56/~jnz1568/getInfo.php?workbook=14_13.xlsx&amp;sheet=A0&amp;row=43&amp;col=7&amp;number=0&amp;sourceID=14","0")</f>
        <v>0</v>
      </c>
    </row>
    <row r="44" spans="1:7">
      <c r="A44" s="3">
        <v>14</v>
      </c>
      <c r="B44" s="3">
        <v>13</v>
      </c>
      <c r="C44" s="3">
        <v>19</v>
      </c>
      <c r="D44" s="3">
        <v>16</v>
      </c>
      <c r="E44" s="3">
        <v>16981.824</v>
      </c>
      <c r="F44" s="4" t="str">
        <f>HYPERLINK("http://141.218.60.56/~jnz1568/getInfo.php?workbook=14_13.xlsx&amp;sheet=A0&amp;row=44&amp;col=6&amp;number=12540000&amp;sourceID=14","12540000")</f>
        <v>12540000</v>
      </c>
      <c r="G44" s="4" t="str">
        <f>HYPERLINK("http://141.218.60.56/~jnz1568/getInfo.php?workbook=14_13.xlsx&amp;sheet=A0&amp;row=44&amp;col=7&amp;number=0&amp;sourceID=14","0")</f>
        <v>0</v>
      </c>
    </row>
    <row r="45" spans="1:7">
      <c r="A45" s="3">
        <v>14</v>
      </c>
      <c r="B45" s="3">
        <v>13</v>
      </c>
      <c r="C45" s="3">
        <v>19</v>
      </c>
      <c r="D45" s="3">
        <v>6</v>
      </c>
      <c r="E45" s="3">
        <v>2059.673</v>
      </c>
      <c r="F45" s="4" t="str">
        <f>HYPERLINK("http://141.218.60.56/~jnz1568/getInfo.php?workbook=14_13.xlsx&amp;sheet=A0&amp;row=45&amp;col=6&amp;number=32390000&amp;sourceID=14","32390000")</f>
        <v>32390000</v>
      </c>
      <c r="G45" s="4" t="str">
        <f>HYPERLINK("http://141.218.60.56/~jnz1568/getInfo.php?workbook=14_13.xlsx&amp;sheet=A0&amp;row=45&amp;col=7&amp;number=0&amp;sourceID=14","0")</f>
        <v>0</v>
      </c>
    </row>
    <row r="46" spans="1:7">
      <c r="A46" s="3">
        <v>14</v>
      </c>
      <c r="B46" s="3">
        <v>13</v>
      </c>
      <c r="C46" s="3">
        <v>19</v>
      </c>
      <c r="D46" s="3">
        <v>10</v>
      </c>
      <c r="E46" s="3">
        <v>4077.931</v>
      </c>
      <c r="F46" s="4" t="str">
        <f>HYPERLINK("http://141.218.60.56/~jnz1568/getInfo.php?workbook=14_13.xlsx&amp;sheet=A0&amp;row=46&amp;col=6&amp;number=5527000&amp;sourceID=14","5527000")</f>
        <v>5527000</v>
      </c>
      <c r="G46" s="4" t="str">
        <f>HYPERLINK("http://141.218.60.56/~jnz1568/getInfo.php?workbook=14_13.xlsx&amp;sheet=A0&amp;row=46&amp;col=7&amp;number=0&amp;sourceID=14","0")</f>
        <v>0</v>
      </c>
    </row>
    <row r="47" spans="1:7">
      <c r="A47" s="3">
        <v>14</v>
      </c>
      <c r="B47" s="3">
        <v>13</v>
      </c>
      <c r="C47" s="3">
        <v>19</v>
      </c>
      <c r="D47" s="3">
        <v>17</v>
      </c>
      <c r="E47" s="3">
        <v>35239.863</v>
      </c>
      <c r="F47" s="4" t="str">
        <f>HYPERLINK("http://141.218.60.56/~jnz1568/getInfo.php?workbook=14_13.xlsx&amp;sheet=A0&amp;row=47&amp;col=6&amp;number=2062000&amp;sourceID=14","2062000")</f>
        <v>2062000</v>
      </c>
      <c r="G47" s="4" t="str">
        <f>HYPERLINK("http://141.218.60.56/~jnz1568/getInfo.php?workbook=14_13.xlsx&amp;sheet=A0&amp;row=47&amp;col=7&amp;number=0&amp;sourceID=14","0")</f>
        <v>0</v>
      </c>
    </row>
    <row r="48" spans="1:7">
      <c r="A48" s="3">
        <v>14</v>
      </c>
      <c r="B48" s="3">
        <v>13</v>
      </c>
      <c r="C48" s="3">
        <v>19</v>
      </c>
      <c r="D48" s="3">
        <v>8</v>
      </c>
      <c r="E48" s="3">
        <v>2606.864</v>
      </c>
      <c r="F48" s="4" t="str">
        <f>HYPERLINK("http://141.218.60.56/~jnz1568/getInfo.php?workbook=14_13.xlsx&amp;sheet=A0&amp;row=48&amp;col=6&amp;number=1327000&amp;sourceID=14","1327000")</f>
        <v>1327000</v>
      </c>
      <c r="G48" s="4" t="str">
        <f>HYPERLINK("http://141.218.60.56/~jnz1568/getInfo.php?workbook=14_13.xlsx&amp;sheet=A0&amp;row=48&amp;col=7&amp;number=0&amp;sourceID=14","0")</f>
        <v>0</v>
      </c>
    </row>
    <row r="49" spans="1:7">
      <c r="A49" s="3">
        <v>14</v>
      </c>
      <c r="B49" s="3">
        <v>13</v>
      </c>
      <c r="C49" s="3">
        <v>19</v>
      </c>
      <c r="D49" s="3">
        <v>9</v>
      </c>
      <c r="E49" s="3">
        <v>3677.094</v>
      </c>
      <c r="F49" s="4" t="str">
        <f>HYPERLINK("http://141.218.60.56/~jnz1568/getInfo.php?workbook=14_13.xlsx&amp;sheet=A0&amp;row=49&amp;col=6&amp;number=64080&amp;sourceID=14","64080")</f>
        <v>64080</v>
      </c>
      <c r="G49" s="4" t="str">
        <f>HYPERLINK("http://141.218.60.56/~jnz1568/getInfo.php?workbook=14_13.xlsx&amp;sheet=A0&amp;row=49&amp;col=7&amp;number=0&amp;sourceID=14","0")</f>
        <v>0</v>
      </c>
    </row>
    <row r="50" spans="1:7">
      <c r="A50" s="3">
        <v>14</v>
      </c>
      <c r="B50" s="3">
        <v>13</v>
      </c>
      <c r="C50" s="3">
        <v>20</v>
      </c>
      <c r="D50" s="3">
        <v>16</v>
      </c>
      <c r="E50" s="3">
        <v>16911.441</v>
      </c>
      <c r="F50" s="4" t="str">
        <f>HYPERLINK("http://141.218.60.56/~jnz1568/getInfo.php?workbook=14_13.xlsx&amp;sheet=A0&amp;row=50&amp;col=6&amp;number=12710000&amp;sourceID=14","12710000")</f>
        <v>12710000</v>
      </c>
      <c r="G50" s="4" t="str">
        <f>HYPERLINK("http://141.218.60.56/~jnz1568/getInfo.php?workbook=14_13.xlsx&amp;sheet=A0&amp;row=50&amp;col=7&amp;number=0&amp;sourceID=14","0")</f>
        <v>0</v>
      </c>
    </row>
    <row r="51" spans="1:7">
      <c r="A51" s="3">
        <v>14</v>
      </c>
      <c r="B51" s="3">
        <v>13</v>
      </c>
      <c r="C51" s="3">
        <v>20</v>
      </c>
      <c r="D51" s="3">
        <v>6</v>
      </c>
      <c r="E51" s="3">
        <v>2058.634</v>
      </c>
      <c r="F51" s="4" t="str">
        <f>HYPERLINK("http://141.218.60.56/~jnz1568/getInfo.php?workbook=14_13.xlsx&amp;sheet=A0&amp;row=51&amp;col=6&amp;number=3242000&amp;sourceID=14","3242000")</f>
        <v>3242000</v>
      </c>
      <c r="G51" s="4" t="str">
        <f>HYPERLINK("http://141.218.60.56/~jnz1568/getInfo.php?workbook=14_13.xlsx&amp;sheet=A0&amp;row=51&amp;col=7&amp;number=0&amp;sourceID=14","0")</f>
        <v>0</v>
      </c>
    </row>
    <row r="52" spans="1:7">
      <c r="A52" s="3">
        <v>14</v>
      </c>
      <c r="B52" s="3">
        <v>13</v>
      </c>
      <c r="C52" s="3">
        <v>20</v>
      </c>
      <c r="D52" s="3">
        <v>7</v>
      </c>
      <c r="E52" s="3">
        <v>2059.305</v>
      </c>
      <c r="F52" s="4" t="str">
        <f>HYPERLINK("http://141.218.60.56/~jnz1568/getInfo.php?workbook=14_13.xlsx&amp;sheet=A0&amp;row=52&amp;col=6&amp;number=29250000&amp;sourceID=14","29250000")</f>
        <v>29250000</v>
      </c>
      <c r="G52" s="4" t="str">
        <f>HYPERLINK("http://141.218.60.56/~jnz1568/getInfo.php?workbook=14_13.xlsx&amp;sheet=A0&amp;row=52&amp;col=7&amp;number=0&amp;sourceID=14","0")</f>
        <v>0</v>
      </c>
    </row>
    <row r="53" spans="1:7">
      <c r="A53" s="3">
        <v>14</v>
      </c>
      <c r="B53" s="3">
        <v>13</v>
      </c>
      <c r="C53" s="3">
        <v>20</v>
      </c>
      <c r="D53" s="3">
        <v>10</v>
      </c>
      <c r="E53" s="3">
        <v>4073.859</v>
      </c>
      <c r="F53" s="4" t="str">
        <f>HYPERLINK("http://141.218.60.56/~jnz1568/getInfo.php?workbook=14_13.xlsx&amp;sheet=A0&amp;row=53&amp;col=6&amp;number=538500&amp;sourceID=14","538500")</f>
        <v>538500</v>
      </c>
      <c r="G53" s="4" t="str">
        <f>HYPERLINK("http://141.218.60.56/~jnz1568/getInfo.php?workbook=14_13.xlsx&amp;sheet=A0&amp;row=53&amp;col=7&amp;number=0&amp;sourceID=14","0")</f>
        <v>0</v>
      </c>
    </row>
    <row r="54" spans="1:7">
      <c r="A54" s="3">
        <v>14</v>
      </c>
      <c r="B54" s="3">
        <v>13</v>
      </c>
      <c r="C54" s="3">
        <v>20</v>
      </c>
      <c r="D54" s="3">
        <v>11</v>
      </c>
      <c r="E54" s="3">
        <v>4076.603</v>
      </c>
      <c r="F54" s="4" t="str">
        <f>HYPERLINK("http://141.218.60.56/~jnz1568/getInfo.php?workbook=14_13.xlsx&amp;sheet=A0&amp;row=54&amp;col=6&amp;number=4901000&amp;sourceID=14","4901000")</f>
        <v>4901000</v>
      </c>
      <c r="G54" s="4" t="str">
        <f>HYPERLINK("http://141.218.60.56/~jnz1568/getInfo.php?workbook=14_13.xlsx&amp;sheet=A0&amp;row=54&amp;col=7&amp;number=0&amp;sourceID=14","0")</f>
        <v>0</v>
      </c>
    </row>
    <row r="55" spans="1:7">
      <c r="A55" s="3">
        <v>14</v>
      </c>
      <c r="B55" s="3">
        <v>13</v>
      </c>
      <c r="C55" s="3">
        <v>20</v>
      </c>
      <c r="D55" s="3">
        <v>17</v>
      </c>
      <c r="E55" s="3">
        <v>34938.121</v>
      </c>
      <c r="F55" s="4" t="str">
        <f>HYPERLINK("http://141.218.60.56/~jnz1568/getInfo.php?workbook=14_13.xlsx&amp;sheet=A0&amp;row=55&amp;col=6&amp;number=211500&amp;sourceID=14","211500")</f>
        <v>211500</v>
      </c>
      <c r="G55" s="4" t="str">
        <f>HYPERLINK("http://141.218.60.56/~jnz1568/getInfo.php?workbook=14_13.xlsx&amp;sheet=A0&amp;row=55&amp;col=7&amp;number=0&amp;sourceID=14","0")</f>
        <v>0</v>
      </c>
    </row>
    <row r="56" spans="1:7">
      <c r="A56" s="3">
        <v>14</v>
      </c>
      <c r="B56" s="3">
        <v>13</v>
      </c>
      <c r="C56" s="3">
        <v>20</v>
      </c>
      <c r="D56" s="3">
        <v>18</v>
      </c>
      <c r="E56" s="3">
        <v>34954.055</v>
      </c>
      <c r="F56" s="4" t="str">
        <f>HYPERLINK("http://141.218.60.56/~jnz1568/getInfo.php?workbook=14_13.xlsx&amp;sheet=A0&amp;row=56&amp;col=6&amp;number=1900000&amp;sourceID=14","1900000")</f>
        <v>1900000</v>
      </c>
      <c r="G56" s="4" t="str">
        <f>HYPERLINK("http://141.218.60.56/~jnz1568/getInfo.php?workbook=14_13.xlsx&amp;sheet=A0&amp;row=56&amp;col=7&amp;number=0&amp;sourceID=14","0")</f>
        <v>0</v>
      </c>
    </row>
    <row r="57" spans="1:7">
      <c r="A57" s="3">
        <v>14</v>
      </c>
      <c r="B57" s="3">
        <v>13</v>
      </c>
      <c r="C57" s="3">
        <v>20</v>
      </c>
      <c r="D57" s="3">
        <v>8</v>
      </c>
      <c r="E57" s="3">
        <v>2605.199</v>
      </c>
      <c r="F57" s="4" t="str">
        <f>HYPERLINK("http://141.218.60.56/~jnz1568/getInfo.php?workbook=14_13.xlsx&amp;sheet=A0&amp;row=57&amp;col=6&amp;number=1330000&amp;sourceID=14","1330000")</f>
        <v>1330000</v>
      </c>
      <c r="G57" s="4" t="str">
        <f>HYPERLINK("http://141.218.60.56/~jnz1568/getInfo.php?workbook=14_13.xlsx&amp;sheet=A0&amp;row=57&amp;col=7&amp;number=0&amp;sourceID=14","0")</f>
        <v>0</v>
      </c>
    </row>
    <row r="58" spans="1:7">
      <c r="A58" s="3">
        <v>14</v>
      </c>
      <c r="B58" s="3">
        <v>13</v>
      </c>
      <c r="C58" s="3">
        <v>20</v>
      </c>
      <c r="D58" s="3">
        <v>9</v>
      </c>
      <c r="E58" s="3">
        <v>3673.783</v>
      </c>
      <c r="F58" s="4" t="str">
        <f>HYPERLINK("http://141.218.60.56/~jnz1568/getInfo.php?workbook=14_13.xlsx&amp;sheet=A0&amp;row=58&amp;col=6&amp;number=64250&amp;sourceID=14","64250")</f>
        <v>64250</v>
      </c>
      <c r="G58" s="4" t="str">
        <f>HYPERLINK("http://141.218.60.56/~jnz1568/getInfo.php?workbook=14_13.xlsx&amp;sheet=A0&amp;row=58&amp;col=7&amp;number=0&amp;sourceID=14","0")</f>
        <v>0</v>
      </c>
    </row>
    <row r="59" spans="1:7">
      <c r="A59" s="3">
        <v>14</v>
      </c>
      <c r="B59" s="3">
        <v>13</v>
      </c>
      <c r="C59" s="3">
        <v>21</v>
      </c>
      <c r="D59" s="3">
        <v>6</v>
      </c>
      <c r="E59" s="3">
        <v>2072.676</v>
      </c>
      <c r="F59" s="4" t="str">
        <f>HYPERLINK("http://141.218.60.56/~jnz1568/getInfo.php?workbook=14_13.xlsx&amp;sheet=A0&amp;row=59&amp;col=6&amp;number=132100000&amp;sourceID=14","132100000")</f>
        <v>132100000</v>
      </c>
      <c r="G59" s="4" t="str">
        <f>HYPERLINK("http://141.218.60.56/~jnz1568/getInfo.php?workbook=14_13.xlsx&amp;sheet=A0&amp;row=59&amp;col=7&amp;number=0&amp;sourceID=14","0")</f>
        <v>0</v>
      </c>
    </row>
    <row r="60" spans="1:7">
      <c r="A60" s="3">
        <v>14</v>
      </c>
      <c r="B60" s="3">
        <v>13</v>
      </c>
      <c r="C60" s="3">
        <v>21</v>
      </c>
      <c r="D60" s="3">
        <v>7</v>
      </c>
      <c r="E60" s="3">
        <v>2073.356</v>
      </c>
      <c r="F60" s="4" t="str">
        <f>HYPERLINK("http://141.218.60.56/~jnz1568/getInfo.php?workbook=14_13.xlsx&amp;sheet=A0&amp;row=60&amp;col=6&amp;number=9424000&amp;sourceID=14","9424000")</f>
        <v>9424000</v>
      </c>
      <c r="G60" s="4" t="str">
        <f>HYPERLINK("http://141.218.60.56/~jnz1568/getInfo.php?workbook=14_13.xlsx&amp;sheet=A0&amp;row=60&amp;col=7&amp;number=0&amp;sourceID=14","0")</f>
        <v>0</v>
      </c>
    </row>
    <row r="61" spans="1:7">
      <c r="A61" s="3">
        <v>14</v>
      </c>
      <c r="B61" s="3">
        <v>13</v>
      </c>
      <c r="C61" s="3">
        <v>21</v>
      </c>
      <c r="D61" s="3">
        <v>10</v>
      </c>
      <c r="E61" s="3">
        <v>4129.219</v>
      </c>
      <c r="F61" s="4" t="str">
        <f>HYPERLINK("http://141.218.60.56/~jnz1568/getInfo.php?workbook=14_13.xlsx&amp;sheet=A0&amp;row=61&amp;col=6&amp;number=145600000&amp;sourceID=14","145600000")</f>
        <v>145600000</v>
      </c>
      <c r="G61" s="4" t="str">
        <f>HYPERLINK("http://141.218.60.56/~jnz1568/getInfo.php?workbook=14_13.xlsx&amp;sheet=A0&amp;row=61&amp;col=7&amp;number=0&amp;sourceID=14","0")</f>
        <v>0</v>
      </c>
    </row>
    <row r="62" spans="1:7">
      <c r="A62" s="3">
        <v>14</v>
      </c>
      <c r="B62" s="3">
        <v>13</v>
      </c>
      <c r="C62" s="3">
        <v>21</v>
      </c>
      <c r="D62" s="3">
        <v>11</v>
      </c>
      <c r="E62" s="3">
        <v>4132.038</v>
      </c>
      <c r="F62" s="4" t="str">
        <f>HYPERLINK("http://141.218.60.56/~jnz1568/getInfo.php?workbook=14_13.xlsx&amp;sheet=A0&amp;row=62&amp;col=6&amp;number=10380000&amp;sourceID=14","10380000")</f>
        <v>10380000</v>
      </c>
      <c r="G62" s="4" t="str">
        <f>HYPERLINK("http://141.218.60.56/~jnz1568/getInfo.php?workbook=14_13.xlsx&amp;sheet=A0&amp;row=62&amp;col=7&amp;number=0&amp;sourceID=14","0")</f>
        <v>0</v>
      </c>
    </row>
    <row r="63" spans="1:7">
      <c r="A63" s="3">
        <v>14</v>
      </c>
      <c r="B63" s="3">
        <v>13</v>
      </c>
      <c r="C63" s="3">
        <v>21</v>
      </c>
      <c r="D63" s="3">
        <v>18</v>
      </c>
      <c r="E63" s="3">
        <v>39497.52</v>
      </c>
      <c r="F63" s="4" t="str">
        <f>HYPERLINK("http://141.218.60.56/~jnz1568/getInfo.php?workbook=14_13.xlsx&amp;sheet=A0&amp;row=63&amp;col=6&amp;number=566100&amp;sourceID=14","566100")</f>
        <v>566100</v>
      </c>
      <c r="G63" s="4" t="str">
        <f>HYPERLINK("http://141.218.60.56/~jnz1568/getInfo.php?workbook=14_13.xlsx&amp;sheet=A0&amp;row=63&amp;col=7&amp;number=0&amp;sourceID=14","0")</f>
        <v>0</v>
      </c>
    </row>
    <row r="64" spans="1:7">
      <c r="A64" s="3">
        <v>14</v>
      </c>
      <c r="B64" s="3">
        <v>13</v>
      </c>
      <c r="C64" s="3">
        <v>21</v>
      </c>
      <c r="D64" s="3">
        <v>17</v>
      </c>
      <c r="E64" s="3">
        <v>39477.176</v>
      </c>
      <c r="F64" s="4" t="str">
        <f>HYPERLINK("http://141.218.60.56/~jnz1568/getInfo.php?workbook=14_13.xlsx&amp;sheet=A0&amp;row=64&amp;col=6&amp;number=794100&amp;sourceID=14","794100")</f>
        <v>794100</v>
      </c>
      <c r="G64" s="4" t="str">
        <f>HYPERLINK("http://141.218.60.56/~jnz1568/getInfo.php?workbook=14_13.xlsx&amp;sheet=A0&amp;row=64&amp;col=7&amp;number=0&amp;sourceID=14","0")</f>
        <v>0</v>
      </c>
    </row>
    <row r="65" spans="1:7">
      <c r="A65" s="3">
        <v>14</v>
      </c>
      <c r="B65" s="3">
        <v>13</v>
      </c>
      <c r="C65" s="3">
        <v>22</v>
      </c>
      <c r="D65" s="3">
        <v>7</v>
      </c>
      <c r="E65" s="3">
        <v>2073.362</v>
      </c>
      <c r="F65" s="4" t="str">
        <f>HYPERLINK("http://141.218.60.56/~jnz1568/getInfo.php?workbook=14_13.xlsx&amp;sheet=A0&amp;row=65&amp;col=6&amp;number=141400000&amp;sourceID=14","141400000")</f>
        <v>141400000</v>
      </c>
      <c r="G65" s="4" t="str">
        <f>HYPERLINK("http://141.218.60.56/~jnz1568/getInfo.php?workbook=14_13.xlsx&amp;sheet=A0&amp;row=65&amp;col=7&amp;number=0&amp;sourceID=14","0")</f>
        <v>0</v>
      </c>
    </row>
    <row r="66" spans="1:7">
      <c r="A66" s="3">
        <v>14</v>
      </c>
      <c r="B66" s="3">
        <v>13</v>
      </c>
      <c r="C66" s="3">
        <v>22</v>
      </c>
      <c r="D66" s="3">
        <v>11</v>
      </c>
      <c r="E66" s="3">
        <v>4132.059</v>
      </c>
      <c r="F66" s="4" t="str">
        <f>HYPERLINK("http://141.218.60.56/~jnz1568/getInfo.php?workbook=14_13.xlsx&amp;sheet=A0&amp;row=66&amp;col=6&amp;number=155700000&amp;sourceID=14","155700000")</f>
        <v>155700000</v>
      </c>
      <c r="G66" s="4" t="str">
        <f>HYPERLINK("http://141.218.60.56/~jnz1568/getInfo.php?workbook=14_13.xlsx&amp;sheet=A0&amp;row=66&amp;col=7&amp;number=0&amp;sourceID=14","0")</f>
        <v>0</v>
      </c>
    </row>
    <row r="67" spans="1:7">
      <c r="A67" s="3">
        <v>14</v>
      </c>
      <c r="B67" s="3">
        <v>13</v>
      </c>
      <c r="C67" s="3">
        <v>22</v>
      </c>
      <c r="D67" s="3">
        <v>18</v>
      </c>
      <c r="E67" s="3">
        <v>39499.469</v>
      </c>
      <c r="F67" s="4" t="str">
        <f>HYPERLINK("http://141.218.60.56/~jnz1568/getInfo.php?workbook=14_13.xlsx&amp;sheet=A0&amp;row=67&amp;col=6&amp;number=849400&amp;sourceID=14","849400")</f>
        <v>849400</v>
      </c>
      <c r="G67" s="4" t="str">
        <f>HYPERLINK("http://141.218.60.56/~jnz1568/getInfo.php?workbook=14_13.xlsx&amp;sheet=A0&amp;row=67&amp;col=7&amp;number=0&amp;sourceID=14","0")</f>
        <v>0</v>
      </c>
    </row>
    <row r="68" spans="1:7">
      <c r="A68" s="3">
        <v>14</v>
      </c>
      <c r="B68" s="3">
        <v>13</v>
      </c>
      <c r="C68" s="3">
        <v>23</v>
      </c>
      <c r="D68" s="3">
        <v>7</v>
      </c>
      <c r="E68" s="3">
        <v>1870.784</v>
      </c>
      <c r="F68" s="4" t="str">
        <f>HYPERLINK("http://141.218.60.56/~jnz1568/getInfo.php?workbook=14_13.xlsx&amp;sheet=A0&amp;row=68&amp;col=6&amp;number=488600&amp;sourceID=14","488600")</f>
        <v>488600</v>
      </c>
      <c r="G68" s="4" t="str">
        <f>HYPERLINK("http://141.218.60.56/~jnz1568/getInfo.php?workbook=14_13.xlsx&amp;sheet=A0&amp;row=68&amp;col=7&amp;number=0&amp;sourceID=14","0")</f>
        <v>0</v>
      </c>
    </row>
    <row r="69" spans="1:7">
      <c r="A69" s="3">
        <v>14</v>
      </c>
      <c r="B69" s="3">
        <v>13</v>
      </c>
      <c r="C69" s="3">
        <v>23</v>
      </c>
      <c r="D69" s="3">
        <v>6</v>
      </c>
      <c r="E69" s="3">
        <v>1870.23</v>
      </c>
      <c r="F69" s="4" t="str">
        <f>HYPERLINK("http://141.218.60.56/~jnz1568/getInfo.php?workbook=14_13.xlsx&amp;sheet=A0&amp;row=69&amp;col=6&amp;number=4401000&amp;sourceID=14","4401000")</f>
        <v>4401000</v>
      </c>
      <c r="G69" s="4" t="str">
        <f>HYPERLINK("http://141.218.60.56/~jnz1568/getInfo.php?workbook=14_13.xlsx&amp;sheet=A0&amp;row=69&amp;col=7&amp;number=0&amp;sourceID=14","0")</f>
        <v>0</v>
      </c>
    </row>
    <row r="70" spans="1:7">
      <c r="A70" s="3">
        <v>14</v>
      </c>
      <c r="B70" s="3">
        <v>13</v>
      </c>
      <c r="C70" s="3">
        <v>23</v>
      </c>
      <c r="D70" s="3">
        <v>11</v>
      </c>
      <c r="E70" s="3">
        <v>3398.623</v>
      </c>
      <c r="F70" s="4" t="str">
        <f>HYPERLINK("http://141.218.60.56/~jnz1568/getInfo.php?workbook=14_13.xlsx&amp;sheet=A0&amp;row=70&amp;col=6&amp;number=710.3&amp;sourceID=14","710.3")</f>
        <v>710.3</v>
      </c>
      <c r="G70" s="4" t="str">
        <f>HYPERLINK("http://141.218.60.56/~jnz1568/getInfo.php?workbook=14_13.xlsx&amp;sheet=A0&amp;row=70&amp;col=7&amp;number=0&amp;sourceID=14","0")</f>
        <v>0</v>
      </c>
    </row>
    <row r="71" spans="1:7">
      <c r="A71" s="3">
        <v>14</v>
      </c>
      <c r="B71" s="3">
        <v>13</v>
      </c>
      <c r="C71" s="3">
        <v>23</v>
      </c>
      <c r="D71" s="3">
        <v>10</v>
      </c>
      <c r="E71" s="3">
        <v>3396.716</v>
      </c>
      <c r="F71" s="4" t="str">
        <f>HYPERLINK("http://141.218.60.56/~jnz1568/getInfo.php?workbook=14_13.xlsx&amp;sheet=A0&amp;row=71&amp;col=6&amp;number=6405&amp;sourceID=14","6405")</f>
        <v>6405</v>
      </c>
      <c r="G71" s="4" t="str">
        <f>HYPERLINK("http://141.218.60.56/~jnz1568/getInfo.php?workbook=14_13.xlsx&amp;sheet=A0&amp;row=71&amp;col=7&amp;number=0&amp;sourceID=14","0")</f>
        <v>0</v>
      </c>
    </row>
    <row r="72" spans="1:7">
      <c r="A72" s="3">
        <v>14</v>
      </c>
      <c r="B72" s="3">
        <v>13</v>
      </c>
      <c r="C72" s="3">
        <v>23</v>
      </c>
      <c r="D72" s="3">
        <v>18</v>
      </c>
      <c r="E72" s="3">
        <v>12895.985</v>
      </c>
      <c r="F72" s="4" t="str">
        <f>HYPERLINK("http://141.218.60.56/~jnz1568/getInfo.php?workbook=14_13.xlsx&amp;sheet=A0&amp;row=72&amp;col=6&amp;number=38.95&amp;sourceID=14","38.95")</f>
        <v>38.95</v>
      </c>
      <c r="G72" s="4" t="str">
        <f>HYPERLINK("http://141.218.60.56/~jnz1568/getInfo.php?workbook=14_13.xlsx&amp;sheet=A0&amp;row=72&amp;col=7&amp;number=0&amp;sourceID=14","0")</f>
        <v>0</v>
      </c>
    </row>
    <row r="73" spans="1:7">
      <c r="A73" s="3">
        <v>14</v>
      </c>
      <c r="B73" s="3">
        <v>13</v>
      </c>
      <c r="C73" s="3">
        <v>23</v>
      </c>
      <c r="D73" s="3">
        <v>17</v>
      </c>
      <c r="E73" s="3">
        <v>12893.815</v>
      </c>
      <c r="F73" s="4" t="str">
        <f>HYPERLINK("http://141.218.60.56/~jnz1568/getInfo.php?workbook=14_13.xlsx&amp;sheet=A0&amp;row=73&amp;col=6&amp;number=350.8&amp;sourceID=14","350.8")</f>
        <v>350.8</v>
      </c>
      <c r="G73" s="4" t="str">
        <f>HYPERLINK("http://141.218.60.56/~jnz1568/getInfo.php?workbook=14_13.xlsx&amp;sheet=A0&amp;row=73&amp;col=7&amp;number=0&amp;sourceID=14","0")</f>
        <v>0</v>
      </c>
    </row>
    <row r="74" spans="1:7">
      <c r="A74" s="3">
        <v>14</v>
      </c>
      <c r="B74" s="3">
        <v>13</v>
      </c>
      <c r="C74" s="3">
        <v>23</v>
      </c>
      <c r="D74" s="3">
        <v>15</v>
      </c>
      <c r="E74" s="3">
        <v>4036.417</v>
      </c>
      <c r="F74" s="4" t="str">
        <f>HYPERLINK("http://141.218.60.56/~jnz1568/getInfo.php?workbook=14_13.xlsx&amp;sheet=A0&amp;row=74&amp;col=6&amp;number=255.2&amp;sourceID=14","255.2")</f>
        <v>255.2</v>
      </c>
      <c r="G74" s="4" t="str">
        <f>HYPERLINK("http://141.218.60.56/~jnz1568/getInfo.php?workbook=14_13.xlsx&amp;sheet=A0&amp;row=74&amp;col=7&amp;number=0&amp;sourceID=14","0")</f>
        <v>0</v>
      </c>
    </row>
    <row r="75" spans="1:7">
      <c r="A75" s="3">
        <v>14</v>
      </c>
      <c r="B75" s="3">
        <v>13</v>
      </c>
      <c r="C75" s="3">
        <v>23</v>
      </c>
      <c r="D75" s="3">
        <v>14</v>
      </c>
      <c r="E75" s="3">
        <v>4003.723</v>
      </c>
      <c r="F75" s="4" t="str">
        <f>HYPERLINK("http://141.218.60.56/~jnz1568/getInfo.php?workbook=14_13.xlsx&amp;sheet=A0&amp;row=75&amp;col=6&amp;number=1307&amp;sourceID=14","1307")</f>
        <v>1307</v>
      </c>
      <c r="G75" s="4" t="str">
        <f>HYPERLINK("http://141.218.60.56/~jnz1568/getInfo.php?workbook=14_13.xlsx&amp;sheet=A0&amp;row=75&amp;col=7&amp;number=0&amp;sourceID=14","0")</f>
        <v>0</v>
      </c>
    </row>
    <row r="76" spans="1:7">
      <c r="A76" s="3">
        <v>14</v>
      </c>
      <c r="B76" s="3">
        <v>13</v>
      </c>
      <c r="C76" s="3">
        <v>24</v>
      </c>
      <c r="D76" s="3">
        <v>7</v>
      </c>
      <c r="E76" s="3">
        <v>1869.319</v>
      </c>
      <c r="F76" s="4" t="str">
        <f>HYPERLINK("http://141.218.60.56/~jnz1568/getInfo.php?workbook=14_13.xlsx&amp;sheet=A0&amp;row=76&amp;col=6&amp;number=4570000&amp;sourceID=14","4570000")</f>
        <v>4570000</v>
      </c>
      <c r="G76" s="4" t="str">
        <f>HYPERLINK("http://141.218.60.56/~jnz1568/getInfo.php?workbook=14_13.xlsx&amp;sheet=A0&amp;row=76&amp;col=7&amp;number=0&amp;sourceID=14","0")</f>
        <v>0</v>
      </c>
    </row>
    <row r="77" spans="1:7">
      <c r="A77" s="3">
        <v>14</v>
      </c>
      <c r="B77" s="3">
        <v>13</v>
      </c>
      <c r="C77" s="3">
        <v>24</v>
      </c>
      <c r="D77" s="3">
        <v>6</v>
      </c>
      <c r="E77" s="3">
        <v>1868.766</v>
      </c>
      <c r="F77" s="4" t="str">
        <f>HYPERLINK("http://141.218.60.56/~jnz1568/getInfo.php?workbook=14_13.xlsx&amp;sheet=A0&amp;row=77&amp;col=6&amp;number=326700&amp;sourceID=14","326700")</f>
        <v>326700</v>
      </c>
      <c r="G77" s="4" t="str">
        <f>HYPERLINK("http://141.218.60.56/~jnz1568/getInfo.php?workbook=14_13.xlsx&amp;sheet=A0&amp;row=77&amp;col=7&amp;number=0&amp;sourceID=14","0")</f>
        <v>0</v>
      </c>
    </row>
    <row r="78" spans="1:7">
      <c r="A78" s="3">
        <v>14</v>
      </c>
      <c r="B78" s="3">
        <v>13</v>
      </c>
      <c r="C78" s="3">
        <v>24</v>
      </c>
      <c r="D78" s="3">
        <v>11</v>
      </c>
      <c r="E78" s="3">
        <v>3393.791</v>
      </c>
      <c r="F78" s="4" t="str">
        <f>HYPERLINK("http://141.218.60.56/~jnz1568/getInfo.php?workbook=14_13.xlsx&amp;sheet=A0&amp;row=78&amp;col=6&amp;number=6660&amp;sourceID=14","6660")</f>
        <v>6660</v>
      </c>
      <c r="G78" s="4" t="str">
        <f>HYPERLINK("http://141.218.60.56/~jnz1568/getInfo.php?workbook=14_13.xlsx&amp;sheet=A0&amp;row=78&amp;col=7&amp;number=0&amp;sourceID=14","0")</f>
        <v>0</v>
      </c>
    </row>
    <row r="79" spans="1:7">
      <c r="A79" s="3">
        <v>14</v>
      </c>
      <c r="B79" s="3">
        <v>13</v>
      </c>
      <c r="C79" s="3">
        <v>24</v>
      </c>
      <c r="D79" s="3">
        <v>10</v>
      </c>
      <c r="E79" s="3">
        <v>3391.888</v>
      </c>
      <c r="F79" s="4" t="str">
        <f>HYPERLINK("http://141.218.60.56/~jnz1568/getInfo.php?workbook=14_13.xlsx&amp;sheet=A0&amp;row=79&amp;col=6&amp;number=476.2&amp;sourceID=14","476.2")</f>
        <v>476.2</v>
      </c>
      <c r="G79" s="4" t="str">
        <f>HYPERLINK("http://141.218.60.56/~jnz1568/getInfo.php?workbook=14_13.xlsx&amp;sheet=A0&amp;row=79&amp;col=7&amp;number=0&amp;sourceID=14","0")</f>
        <v>0</v>
      </c>
    </row>
    <row r="80" spans="1:7">
      <c r="A80" s="3">
        <v>14</v>
      </c>
      <c r="B80" s="3">
        <v>13</v>
      </c>
      <c r="C80" s="3">
        <v>24</v>
      </c>
      <c r="D80" s="3">
        <v>18</v>
      </c>
      <c r="E80" s="3">
        <v>12826.679</v>
      </c>
      <c r="F80" s="4" t="str">
        <f>HYPERLINK("http://141.218.60.56/~jnz1568/getInfo.php?workbook=14_13.xlsx&amp;sheet=A0&amp;row=80&amp;col=6&amp;number=369.5&amp;sourceID=14","369.5")</f>
        <v>369.5</v>
      </c>
      <c r="G80" s="4" t="str">
        <f>HYPERLINK("http://141.218.60.56/~jnz1568/getInfo.php?workbook=14_13.xlsx&amp;sheet=A0&amp;row=80&amp;col=7&amp;number=0&amp;sourceID=14","0")</f>
        <v>0</v>
      </c>
    </row>
    <row r="81" spans="1:7">
      <c r="A81" s="3">
        <v>14</v>
      </c>
      <c r="B81" s="3">
        <v>13</v>
      </c>
      <c r="C81" s="3">
        <v>24</v>
      </c>
      <c r="D81" s="3">
        <v>17</v>
      </c>
      <c r="E81" s="3">
        <v>12824.533</v>
      </c>
      <c r="F81" s="4" t="str">
        <f>HYPERLINK("http://141.218.60.56/~jnz1568/getInfo.php?workbook=14_13.xlsx&amp;sheet=A0&amp;row=81&amp;col=6&amp;number=26.41&amp;sourceID=14","26.41")</f>
        <v>26.41</v>
      </c>
      <c r="G81" s="4" t="str">
        <f>HYPERLINK("http://141.218.60.56/~jnz1568/getInfo.php?workbook=14_13.xlsx&amp;sheet=A0&amp;row=81&amp;col=7&amp;number=0&amp;sourceID=14","0")</f>
        <v>0</v>
      </c>
    </row>
    <row r="82" spans="1:7">
      <c r="A82" s="3">
        <v>14</v>
      </c>
      <c r="B82" s="3">
        <v>13</v>
      </c>
      <c r="C82" s="3">
        <v>24</v>
      </c>
      <c r="D82" s="3">
        <v>15</v>
      </c>
      <c r="E82" s="3">
        <v>4029.602</v>
      </c>
      <c r="F82" s="4" t="str">
        <f>HYPERLINK("http://141.218.60.56/~jnz1568/getInfo.php?workbook=14_13.xlsx&amp;sheet=A0&amp;row=82&amp;col=6&amp;number=1539&amp;sourceID=14","1539")</f>
        <v>1539</v>
      </c>
      <c r="G82" s="4" t="str">
        <f>HYPERLINK("http://141.218.60.56/~jnz1568/getInfo.php?workbook=14_13.xlsx&amp;sheet=A0&amp;row=82&amp;col=7&amp;number=0&amp;sourceID=14","0")</f>
        <v>0</v>
      </c>
    </row>
    <row r="83" spans="1:7">
      <c r="A83" s="3">
        <v>14</v>
      </c>
      <c r="B83" s="3">
        <v>13</v>
      </c>
      <c r="C83" s="3">
        <v>25</v>
      </c>
      <c r="D83" s="3">
        <v>1</v>
      </c>
      <c r="E83" s="3">
        <v>899.406</v>
      </c>
      <c r="F83" s="4" t="str">
        <f>HYPERLINK("http://141.218.60.56/~jnz1568/getInfo.php?workbook=14_13.xlsx&amp;sheet=A0&amp;row=83&amp;col=6&amp;number=44440000&amp;sourceID=14","44440000")</f>
        <v>44440000</v>
      </c>
      <c r="G83" s="4" t="str">
        <f>HYPERLINK("http://141.218.60.56/~jnz1568/getInfo.php?workbook=14_13.xlsx&amp;sheet=A0&amp;row=83&amp;col=7&amp;number=0&amp;sourceID=14","0")</f>
        <v>0</v>
      </c>
    </row>
    <row r="84" spans="1:7">
      <c r="A84" s="3">
        <v>14</v>
      </c>
      <c r="B84" s="3">
        <v>13</v>
      </c>
      <c r="C84" s="3">
        <v>25</v>
      </c>
      <c r="D84" s="3">
        <v>2</v>
      </c>
      <c r="E84" s="3">
        <v>901.736</v>
      </c>
      <c r="F84" s="4" t="str">
        <f>HYPERLINK("http://141.218.60.56/~jnz1568/getInfo.php?workbook=14_13.xlsx&amp;sheet=A0&amp;row=84&amp;col=6&amp;number=89250000&amp;sourceID=14","89250000")</f>
        <v>89250000</v>
      </c>
      <c r="G84" s="4" t="str">
        <f>HYPERLINK("http://141.218.60.56/~jnz1568/getInfo.php?workbook=14_13.xlsx&amp;sheet=A0&amp;row=84&amp;col=7&amp;number=0&amp;sourceID=14","0")</f>
        <v>0</v>
      </c>
    </row>
    <row r="85" spans="1:7">
      <c r="A85" s="3">
        <v>14</v>
      </c>
      <c r="B85" s="3">
        <v>13</v>
      </c>
      <c r="C85" s="3">
        <v>25</v>
      </c>
      <c r="D85" s="3">
        <v>12</v>
      </c>
      <c r="E85" s="3">
        <v>3334.098</v>
      </c>
      <c r="F85" s="4" t="str">
        <f>HYPERLINK("http://141.218.60.56/~jnz1568/getInfo.php?workbook=14_13.xlsx&amp;sheet=A0&amp;row=85&amp;col=6&amp;number=17040000&amp;sourceID=14","17040000")</f>
        <v>17040000</v>
      </c>
      <c r="G85" s="4" t="str">
        <f>HYPERLINK("http://141.218.60.56/~jnz1568/getInfo.php?workbook=14_13.xlsx&amp;sheet=A0&amp;row=85&amp;col=7&amp;number=0&amp;sourceID=14","0")</f>
        <v>0</v>
      </c>
    </row>
    <row r="86" spans="1:7">
      <c r="A86" s="3">
        <v>14</v>
      </c>
      <c r="B86" s="3">
        <v>13</v>
      </c>
      <c r="C86" s="3">
        <v>25</v>
      </c>
      <c r="D86" s="3">
        <v>13</v>
      </c>
      <c r="E86" s="3">
        <v>3340.779</v>
      </c>
      <c r="F86" s="4" t="str">
        <f>HYPERLINK("http://141.218.60.56/~jnz1568/getInfo.php?workbook=14_13.xlsx&amp;sheet=A0&amp;row=86&amp;col=6&amp;number=33950000&amp;sourceID=14","33950000")</f>
        <v>33950000</v>
      </c>
      <c r="G86" s="4" t="str">
        <f>HYPERLINK("http://141.218.60.56/~jnz1568/getInfo.php?workbook=14_13.xlsx&amp;sheet=A0&amp;row=86&amp;col=7&amp;number=0&amp;sourceID=14","0")</f>
        <v>0</v>
      </c>
    </row>
    <row r="87" spans="1:7">
      <c r="A87" s="3">
        <v>14</v>
      </c>
      <c r="B87" s="3">
        <v>13</v>
      </c>
      <c r="C87" s="3">
        <v>25</v>
      </c>
      <c r="D87" s="3">
        <v>19</v>
      </c>
      <c r="E87" s="3">
        <v>13654.265</v>
      </c>
      <c r="F87" s="4" t="str">
        <f>HYPERLINK("http://141.218.60.56/~jnz1568/getInfo.php?workbook=14_13.xlsx&amp;sheet=A0&amp;row=87&amp;col=6&amp;number=12060000&amp;sourceID=14","12060000")</f>
        <v>12060000</v>
      </c>
      <c r="G87" s="4" t="str">
        <f>HYPERLINK("http://141.218.60.56/~jnz1568/getInfo.php?workbook=14_13.xlsx&amp;sheet=A0&amp;row=87&amp;col=7&amp;number=0&amp;sourceID=14","0")</f>
        <v>0</v>
      </c>
    </row>
    <row r="88" spans="1:7">
      <c r="A88" s="3">
        <v>14</v>
      </c>
      <c r="B88" s="3">
        <v>13</v>
      </c>
      <c r="C88" s="3">
        <v>25</v>
      </c>
      <c r="D88" s="3">
        <v>20</v>
      </c>
      <c r="E88" s="3">
        <v>13700.111</v>
      </c>
      <c r="F88" s="4" t="str">
        <f>HYPERLINK("http://141.218.60.56/~jnz1568/getInfo.php?workbook=14_13.xlsx&amp;sheet=A0&amp;row=88&amp;col=6&amp;number=27220000&amp;sourceID=14","27220000")</f>
        <v>27220000</v>
      </c>
      <c r="G88" s="4" t="str">
        <f>HYPERLINK("http://141.218.60.56/~jnz1568/getInfo.php?workbook=14_13.xlsx&amp;sheet=A0&amp;row=88&amp;col=7&amp;number=0&amp;sourceID=14","0")</f>
        <v>0</v>
      </c>
    </row>
    <row r="89" spans="1:7">
      <c r="A89" s="3">
        <v>14</v>
      </c>
      <c r="B89" s="3">
        <v>13</v>
      </c>
      <c r="C89" s="3">
        <v>26</v>
      </c>
      <c r="D89" s="3">
        <v>1</v>
      </c>
      <c r="E89" s="3">
        <v>889.723</v>
      </c>
      <c r="F89" s="4" t="str">
        <f>HYPERLINK("http://141.218.60.56/~jnz1568/getInfo.php?workbook=14_13.xlsx&amp;sheet=A0&amp;row=89&amp;col=6&amp;number=175700000&amp;sourceID=14","175700000")</f>
        <v>175700000</v>
      </c>
      <c r="G89" s="4" t="str">
        <f>HYPERLINK("http://141.218.60.56/~jnz1568/getInfo.php?workbook=14_13.xlsx&amp;sheet=A0&amp;row=89&amp;col=7&amp;number=0&amp;sourceID=14","0")</f>
        <v>0</v>
      </c>
    </row>
    <row r="90" spans="1:7">
      <c r="A90" s="3">
        <v>14</v>
      </c>
      <c r="B90" s="3">
        <v>13</v>
      </c>
      <c r="C90" s="3">
        <v>26</v>
      </c>
      <c r="D90" s="3">
        <v>2</v>
      </c>
      <c r="E90" s="3">
        <v>892.002</v>
      </c>
      <c r="F90" s="4" t="str">
        <f>HYPERLINK("http://141.218.60.56/~jnz1568/getInfo.php?workbook=14_13.xlsx&amp;sheet=A0&amp;row=90&amp;col=6&amp;number=35040000&amp;sourceID=14","35040000")</f>
        <v>35040000</v>
      </c>
      <c r="G90" s="4" t="str">
        <f>HYPERLINK("http://141.218.60.56/~jnz1568/getInfo.php?workbook=14_13.xlsx&amp;sheet=A0&amp;row=90&amp;col=7&amp;number=0&amp;sourceID=14","0")</f>
        <v>0</v>
      </c>
    </row>
    <row r="91" spans="1:7">
      <c r="A91" s="3">
        <v>14</v>
      </c>
      <c r="B91" s="3">
        <v>13</v>
      </c>
      <c r="C91" s="3">
        <v>26</v>
      </c>
      <c r="D91" s="3">
        <v>12</v>
      </c>
      <c r="E91" s="3">
        <v>3204.798</v>
      </c>
      <c r="F91" s="4" t="str">
        <f>HYPERLINK("http://141.218.60.56/~jnz1568/getInfo.php?workbook=14_13.xlsx&amp;sheet=A0&amp;row=91&amp;col=6&amp;number=34420000&amp;sourceID=14","34420000")</f>
        <v>34420000</v>
      </c>
      <c r="G91" s="4" t="str">
        <f>HYPERLINK("http://141.218.60.56/~jnz1568/getInfo.php?workbook=14_13.xlsx&amp;sheet=A0&amp;row=91&amp;col=7&amp;number=0&amp;sourceID=14","0")</f>
        <v>0</v>
      </c>
    </row>
    <row r="92" spans="1:7">
      <c r="A92" s="3">
        <v>14</v>
      </c>
      <c r="B92" s="3">
        <v>13</v>
      </c>
      <c r="C92" s="3">
        <v>26</v>
      </c>
      <c r="D92" s="3">
        <v>13</v>
      </c>
      <c r="E92" s="3">
        <v>3210.969</v>
      </c>
      <c r="F92" s="4" t="str">
        <f>HYPERLINK("http://141.218.60.56/~jnz1568/getInfo.php?workbook=14_13.xlsx&amp;sheet=A0&amp;row=92&amp;col=6&amp;number=6728000&amp;sourceID=14","6728000")</f>
        <v>6728000</v>
      </c>
      <c r="G92" s="4" t="str">
        <f>HYPERLINK("http://141.218.60.56/~jnz1568/getInfo.php?workbook=14_13.xlsx&amp;sheet=A0&amp;row=92&amp;col=7&amp;number=0&amp;sourceID=14","0")</f>
        <v>0</v>
      </c>
    </row>
    <row r="93" spans="1:7">
      <c r="A93" s="3">
        <v>14</v>
      </c>
      <c r="B93" s="3">
        <v>13</v>
      </c>
      <c r="C93" s="3">
        <v>26</v>
      </c>
      <c r="D93" s="3">
        <v>19</v>
      </c>
      <c r="E93" s="3">
        <v>11718.081</v>
      </c>
      <c r="F93" s="4" t="str">
        <f>HYPERLINK("http://141.218.60.56/~jnz1568/getInfo.php?workbook=14_13.xlsx&amp;sheet=A0&amp;row=93&amp;col=6&amp;number=27690000&amp;sourceID=14","27690000")</f>
        <v>27690000</v>
      </c>
      <c r="G93" s="4" t="str">
        <f>HYPERLINK("http://141.218.60.56/~jnz1568/getInfo.php?workbook=14_13.xlsx&amp;sheet=A0&amp;row=93&amp;col=7&amp;number=0&amp;sourceID=14","0")</f>
        <v>0</v>
      </c>
    </row>
    <row r="94" spans="1:7">
      <c r="A94" s="3">
        <v>14</v>
      </c>
      <c r="B94" s="3">
        <v>13</v>
      </c>
      <c r="C94" s="3">
        <v>26</v>
      </c>
      <c r="D94" s="3">
        <v>20</v>
      </c>
      <c r="E94" s="3">
        <v>11751.831</v>
      </c>
      <c r="F94" s="4" t="str">
        <f>HYPERLINK("http://141.218.60.56/~jnz1568/getInfo.php?workbook=14_13.xlsx&amp;sheet=A0&amp;row=94&amp;col=6&amp;number=5506000&amp;sourceID=14","5506000")</f>
        <v>5506000</v>
      </c>
      <c r="G94" s="4" t="str">
        <f>HYPERLINK("http://141.218.60.56/~jnz1568/getInfo.php?workbook=14_13.xlsx&amp;sheet=A0&amp;row=94&amp;col=7&amp;number=0&amp;sourceID=14","0")</f>
        <v>0</v>
      </c>
    </row>
    <row r="95" spans="1:7">
      <c r="A95" s="3">
        <v>14</v>
      </c>
      <c r="B95" s="3">
        <v>13</v>
      </c>
      <c r="C95" s="3">
        <v>26</v>
      </c>
      <c r="D95" s="3">
        <v>23</v>
      </c>
      <c r="E95" s="3">
        <v>27655.943</v>
      </c>
      <c r="F95" s="4" t="str">
        <f>HYPERLINK("http://141.218.60.56/~jnz1568/getInfo.php?workbook=14_13.xlsx&amp;sheet=A0&amp;row=95&amp;col=6&amp;number=59.01&amp;sourceID=14","59.01")</f>
        <v>59.01</v>
      </c>
      <c r="G95" s="4" t="str">
        <f>HYPERLINK("http://141.218.60.56/~jnz1568/getInfo.php?workbook=14_13.xlsx&amp;sheet=A0&amp;row=95&amp;col=7&amp;number=0&amp;sourceID=14","0")</f>
        <v>0</v>
      </c>
    </row>
    <row r="96" spans="1:7">
      <c r="A96" s="3">
        <v>14</v>
      </c>
      <c r="B96" s="3">
        <v>13</v>
      </c>
      <c r="C96" s="3">
        <v>26</v>
      </c>
      <c r="D96" s="3">
        <v>21</v>
      </c>
      <c r="E96" s="3">
        <v>11314.257</v>
      </c>
      <c r="F96" s="4" t="str">
        <f>HYPERLINK("http://141.218.60.56/~jnz1568/getInfo.php?workbook=14_13.xlsx&amp;sheet=A0&amp;row=96&amp;col=6&amp;number=310900&amp;sourceID=14","310900")</f>
        <v>310900</v>
      </c>
      <c r="G96" s="4" t="str">
        <f>HYPERLINK("http://141.218.60.56/~jnz1568/getInfo.php?workbook=14_13.xlsx&amp;sheet=A0&amp;row=96&amp;col=7&amp;number=0&amp;sourceID=14","0")</f>
        <v>0</v>
      </c>
    </row>
    <row r="97" spans="1:7">
      <c r="A97" s="3">
        <v>14</v>
      </c>
      <c r="B97" s="3">
        <v>13</v>
      </c>
      <c r="C97" s="3">
        <v>27</v>
      </c>
      <c r="D97" s="3">
        <v>2</v>
      </c>
      <c r="E97" s="3">
        <v>892.001</v>
      </c>
      <c r="F97" s="4" t="str">
        <f>HYPERLINK("http://141.218.60.56/~jnz1568/getInfo.php?workbook=14_13.xlsx&amp;sheet=A0&amp;row=97&amp;col=6&amp;number=209000000&amp;sourceID=14","209000000")</f>
        <v>209000000</v>
      </c>
      <c r="G97" s="4" t="str">
        <f>HYPERLINK("http://141.218.60.56/~jnz1568/getInfo.php?workbook=14_13.xlsx&amp;sheet=A0&amp;row=97&amp;col=7&amp;number=0&amp;sourceID=14","0")</f>
        <v>0</v>
      </c>
    </row>
    <row r="98" spans="1:7">
      <c r="A98" s="3">
        <v>14</v>
      </c>
      <c r="B98" s="3">
        <v>13</v>
      </c>
      <c r="C98" s="3">
        <v>27</v>
      </c>
      <c r="D98" s="3">
        <v>13</v>
      </c>
      <c r="E98" s="3">
        <v>3210.953</v>
      </c>
      <c r="F98" s="4" t="str">
        <f>HYPERLINK("http://141.218.60.56/~jnz1568/getInfo.php?workbook=14_13.xlsx&amp;sheet=A0&amp;row=98&amp;col=6&amp;number=40280000&amp;sourceID=14","40280000")</f>
        <v>40280000</v>
      </c>
      <c r="G98" s="4" t="str">
        <f>HYPERLINK("http://141.218.60.56/~jnz1568/getInfo.php?workbook=14_13.xlsx&amp;sheet=A0&amp;row=98&amp;col=7&amp;number=0&amp;sourceID=14","0")</f>
        <v>0</v>
      </c>
    </row>
    <row r="99" spans="1:7">
      <c r="A99" s="3">
        <v>14</v>
      </c>
      <c r="B99" s="3">
        <v>13</v>
      </c>
      <c r="C99" s="3">
        <v>27</v>
      </c>
      <c r="D99" s="3">
        <v>20</v>
      </c>
      <c r="E99" s="3">
        <v>11751.615</v>
      </c>
      <c r="F99" s="4" t="str">
        <f>HYPERLINK("http://141.218.60.56/~jnz1568/getInfo.php?workbook=14_13.xlsx&amp;sheet=A0&amp;row=99&amp;col=6&amp;number=33160000&amp;sourceID=14","33160000")</f>
        <v>33160000</v>
      </c>
      <c r="G99" s="4" t="str">
        <f>HYPERLINK("http://141.218.60.56/~jnz1568/getInfo.php?workbook=14_13.xlsx&amp;sheet=A0&amp;row=99&amp;col=7&amp;number=0&amp;sourceID=14","0")</f>
        <v>0</v>
      </c>
    </row>
    <row r="100" spans="1:7">
      <c r="A100" s="3">
        <v>14</v>
      </c>
      <c r="B100" s="3">
        <v>13</v>
      </c>
      <c r="C100" s="3">
        <v>27</v>
      </c>
      <c r="D100" s="3">
        <v>24</v>
      </c>
      <c r="E100" s="3">
        <v>27978.938</v>
      </c>
      <c r="F100" s="4" t="str">
        <f>HYPERLINK("http://141.218.60.56/~jnz1568/getInfo.php?workbook=14_13.xlsx&amp;sheet=A0&amp;row=100&amp;col=6&amp;number=59.11&amp;sourceID=14","59.11")</f>
        <v>59.11</v>
      </c>
      <c r="G100" s="4" t="str">
        <f>HYPERLINK("http://141.218.60.56/~jnz1568/getInfo.php?workbook=14_13.xlsx&amp;sheet=A0&amp;row=100&amp;col=7&amp;number=0&amp;sourceID=14","0")</f>
        <v>0</v>
      </c>
    </row>
    <row r="101" spans="1:7">
      <c r="A101" s="3">
        <v>14</v>
      </c>
      <c r="B101" s="3">
        <v>13</v>
      </c>
      <c r="C101" s="3">
        <v>27</v>
      </c>
      <c r="D101" s="3">
        <v>22</v>
      </c>
      <c r="E101" s="3">
        <v>11313.897</v>
      </c>
      <c r="F101" s="4" t="str">
        <f>HYPERLINK("http://141.218.60.56/~jnz1568/getInfo.php?workbook=14_13.xlsx&amp;sheet=A0&amp;row=101&amp;col=6&amp;number=2961000&amp;sourceID=14","2961000")</f>
        <v>2961000</v>
      </c>
      <c r="G101" s="4" t="str">
        <f>HYPERLINK("http://141.218.60.56/~jnz1568/getInfo.php?workbook=14_13.xlsx&amp;sheet=A0&amp;row=101&amp;col=7&amp;number=0&amp;sourceID=14","0")</f>
        <v>0</v>
      </c>
    </row>
    <row r="102" spans="1:7">
      <c r="A102" s="3">
        <v>14</v>
      </c>
      <c r="B102" s="3">
        <v>13</v>
      </c>
      <c r="C102" s="3">
        <v>27</v>
      </c>
      <c r="D102" s="3">
        <v>21</v>
      </c>
      <c r="E102" s="3">
        <v>11314.057</v>
      </c>
      <c r="F102" s="4" t="str">
        <f>HYPERLINK("http://141.218.60.56/~jnz1568/getInfo.php?workbook=14_13.xlsx&amp;sheet=A0&amp;row=102&amp;col=6&amp;number=148000&amp;sourceID=14","148000")</f>
        <v>148000</v>
      </c>
      <c r="G102" s="4" t="str">
        <f>HYPERLINK("http://141.218.60.56/~jnz1568/getInfo.php?workbook=14_13.xlsx&amp;sheet=A0&amp;row=102&amp;col=7&amp;number=0&amp;sourceID=14","0")</f>
        <v>0</v>
      </c>
    </row>
    <row r="103" spans="1:7">
      <c r="A103" s="3">
        <v>14</v>
      </c>
      <c r="B103" s="3">
        <v>13</v>
      </c>
      <c r="C103" s="3">
        <v>28</v>
      </c>
      <c r="D103" s="3">
        <v>8</v>
      </c>
      <c r="E103" s="3">
        <v>2063.489</v>
      </c>
      <c r="F103" s="4" t="str">
        <f>HYPERLINK("http://141.218.60.56/~jnz1568/getInfo.php?workbook=14_13.xlsx&amp;sheet=A0&amp;row=103&amp;col=6&amp;number=4591000&amp;sourceID=14","4591000")</f>
        <v>4591000</v>
      </c>
      <c r="G103" s="4" t="str">
        <f>HYPERLINK("http://141.218.60.56/~jnz1568/getInfo.php?workbook=14_13.xlsx&amp;sheet=A0&amp;row=103&amp;col=7&amp;number=0&amp;sourceID=14","0")</f>
        <v>0</v>
      </c>
    </row>
    <row r="104" spans="1:7">
      <c r="A104" s="3">
        <v>14</v>
      </c>
      <c r="B104" s="3">
        <v>13</v>
      </c>
      <c r="C104" s="3">
        <v>28</v>
      </c>
      <c r="D104" s="3">
        <v>16</v>
      </c>
      <c r="E104" s="3">
        <v>6253.915</v>
      </c>
      <c r="F104" s="4" t="str">
        <f>HYPERLINK("http://141.218.60.56/~jnz1568/getInfo.php?workbook=14_13.xlsx&amp;sheet=A0&amp;row=104&amp;col=6&amp;number=16920&amp;sourceID=14","16920")</f>
        <v>16920</v>
      </c>
      <c r="G104" s="4" t="str">
        <f>HYPERLINK("http://141.218.60.56/~jnz1568/getInfo.php?workbook=14_13.xlsx&amp;sheet=A0&amp;row=104&amp;col=7&amp;number=0&amp;sourceID=14","0")</f>
        <v>0</v>
      </c>
    </row>
    <row r="105" spans="1:7">
      <c r="A105" s="3">
        <v>14</v>
      </c>
      <c r="B105" s="3">
        <v>13</v>
      </c>
      <c r="C105" s="3">
        <v>28</v>
      </c>
      <c r="D105" s="3">
        <v>25</v>
      </c>
      <c r="E105" s="3">
        <v>36002.082</v>
      </c>
      <c r="F105" s="4" t="str">
        <f>HYPERLINK("http://141.218.60.56/~jnz1568/getInfo.php?workbook=14_13.xlsx&amp;sheet=A0&amp;row=105&amp;col=6&amp;number=3465000&amp;sourceID=14","3465000")</f>
        <v>3465000</v>
      </c>
      <c r="G105" s="4" t="str">
        <f>HYPERLINK("http://141.218.60.56/~jnz1568/getInfo.php?workbook=14_13.xlsx&amp;sheet=A0&amp;row=105&amp;col=7&amp;number=0&amp;sourceID=14","0")</f>
        <v>0</v>
      </c>
    </row>
    <row r="106" spans="1:7">
      <c r="A106" s="3">
        <v>14</v>
      </c>
      <c r="B106" s="3">
        <v>13</v>
      </c>
      <c r="C106" s="3">
        <v>28</v>
      </c>
      <c r="D106" s="3">
        <v>9</v>
      </c>
      <c r="E106" s="3">
        <v>2681.2</v>
      </c>
      <c r="F106" s="4" t="str">
        <f>HYPERLINK("http://141.218.60.56/~jnz1568/getInfo.php?workbook=14_13.xlsx&amp;sheet=A0&amp;row=106&amp;col=6&amp;number=178600&amp;sourceID=14","178600")</f>
        <v>178600</v>
      </c>
      <c r="G106" s="4" t="str">
        <f>HYPERLINK("http://141.218.60.56/~jnz1568/getInfo.php?workbook=14_13.xlsx&amp;sheet=A0&amp;row=106&amp;col=7&amp;number=0&amp;sourceID=14","0")</f>
        <v>0</v>
      </c>
    </row>
    <row r="107" spans="1:7">
      <c r="A107" s="3">
        <v>14</v>
      </c>
      <c r="B107" s="3">
        <v>13</v>
      </c>
      <c r="C107" s="3">
        <v>28</v>
      </c>
      <c r="D107" s="3">
        <v>15</v>
      </c>
      <c r="E107" s="3">
        <v>3338.027</v>
      </c>
      <c r="F107" s="4" t="str">
        <f>HYPERLINK("http://141.218.60.56/~jnz1568/getInfo.php?workbook=14_13.xlsx&amp;sheet=A0&amp;row=107&amp;col=6&amp;number=363800&amp;sourceID=14","363800")</f>
        <v>363800</v>
      </c>
      <c r="G107" s="4" t="str">
        <f>HYPERLINK("http://141.218.60.56/~jnz1568/getInfo.php?workbook=14_13.xlsx&amp;sheet=A0&amp;row=107&amp;col=7&amp;number=0&amp;sourceID=14","0")</f>
        <v>0</v>
      </c>
    </row>
    <row r="108" spans="1:7">
      <c r="A108" s="3">
        <v>14</v>
      </c>
      <c r="B108" s="3">
        <v>13</v>
      </c>
      <c r="C108" s="3">
        <v>28</v>
      </c>
      <c r="D108" s="3">
        <v>14</v>
      </c>
      <c r="E108" s="3">
        <v>3315.636</v>
      </c>
      <c r="F108" s="4" t="str">
        <f>HYPERLINK("http://141.218.60.56/~jnz1568/getInfo.php?workbook=14_13.xlsx&amp;sheet=A0&amp;row=108&amp;col=6&amp;number=742600&amp;sourceID=14","742600")</f>
        <v>742600</v>
      </c>
      <c r="G108" s="4" t="str">
        <f>HYPERLINK("http://141.218.60.56/~jnz1568/getInfo.php?workbook=14_13.xlsx&amp;sheet=A0&amp;row=108&amp;col=7&amp;number=0&amp;sourceID=14","0")</f>
        <v>0</v>
      </c>
    </row>
    <row r="109" spans="1:7">
      <c r="A109" s="3">
        <v>14</v>
      </c>
      <c r="B109" s="3">
        <v>13</v>
      </c>
      <c r="C109" s="3">
        <v>28</v>
      </c>
      <c r="D109" s="3">
        <v>6</v>
      </c>
      <c r="E109" s="3">
        <v>1704.951</v>
      </c>
      <c r="F109" s="4" t="str">
        <f>HYPERLINK("http://141.218.60.56/~jnz1568/getInfo.php?workbook=14_13.xlsx&amp;sheet=A0&amp;row=109&amp;col=6&amp;number=38150000&amp;sourceID=14","38150000")</f>
        <v>38150000</v>
      </c>
      <c r="G109" s="4" t="str">
        <f>HYPERLINK("http://141.218.60.56/~jnz1568/getInfo.php?workbook=14_13.xlsx&amp;sheet=A0&amp;row=109&amp;col=7&amp;number=0&amp;sourceID=14","0")</f>
        <v>0</v>
      </c>
    </row>
    <row r="110" spans="1:7">
      <c r="A110" s="3">
        <v>14</v>
      </c>
      <c r="B110" s="3">
        <v>13</v>
      </c>
      <c r="C110" s="3">
        <v>28</v>
      </c>
      <c r="D110" s="3">
        <v>10</v>
      </c>
      <c r="E110" s="3">
        <v>2888.205</v>
      </c>
      <c r="F110" s="4" t="str">
        <f>HYPERLINK("http://141.218.60.56/~jnz1568/getInfo.php?workbook=14_13.xlsx&amp;sheet=A0&amp;row=110&amp;col=6&amp;number=7646000&amp;sourceID=14","7646000")</f>
        <v>7646000</v>
      </c>
      <c r="G110" s="4" t="str">
        <f>HYPERLINK("http://141.218.60.56/~jnz1568/getInfo.php?workbook=14_13.xlsx&amp;sheet=A0&amp;row=110&amp;col=7&amp;number=0&amp;sourceID=14","0")</f>
        <v>0</v>
      </c>
    </row>
    <row r="111" spans="1:7">
      <c r="A111" s="3">
        <v>14</v>
      </c>
      <c r="B111" s="3">
        <v>13</v>
      </c>
      <c r="C111" s="3">
        <v>28</v>
      </c>
      <c r="D111" s="3">
        <v>17</v>
      </c>
      <c r="E111" s="3">
        <v>7728.554</v>
      </c>
      <c r="F111" s="4" t="str">
        <f>HYPERLINK("http://141.218.60.56/~jnz1568/getInfo.php?workbook=14_13.xlsx&amp;sheet=A0&amp;row=111&amp;col=6&amp;number=162500&amp;sourceID=14","162500")</f>
        <v>162500</v>
      </c>
      <c r="G111" s="4" t="str">
        <f>HYPERLINK("http://141.218.60.56/~jnz1568/getInfo.php?workbook=14_13.xlsx&amp;sheet=A0&amp;row=111&amp;col=7&amp;number=0&amp;sourceID=14","0")</f>
        <v>0</v>
      </c>
    </row>
    <row r="112" spans="1:7">
      <c r="A112" s="3">
        <v>14</v>
      </c>
      <c r="B112" s="3">
        <v>13</v>
      </c>
      <c r="C112" s="3">
        <v>28</v>
      </c>
      <c r="D112" s="3">
        <v>26</v>
      </c>
      <c r="E112" s="3">
        <v>63795.219</v>
      </c>
      <c r="F112" s="4" t="str">
        <f>HYPERLINK("http://141.218.60.56/~jnz1568/getInfo.php?workbook=14_13.xlsx&amp;sheet=A0&amp;row=112&amp;col=6&amp;number=1021000&amp;sourceID=14","1021000")</f>
        <v>1021000</v>
      </c>
      <c r="G112" s="4" t="str">
        <f>HYPERLINK("http://141.218.60.56/~jnz1568/getInfo.php?workbook=14_13.xlsx&amp;sheet=A0&amp;row=112&amp;col=7&amp;number=0&amp;sourceID=14","0")</f>
        <v>0</v>
      </c>
    </row>
    <row r="113" spans="1:7">
      <c r="A113" s="3">
        <v>14</v>
      </c>
      <c r="B113" s="3">
        <v>13</v>
      </c>
      <c r="C113" s="3">
        <v>29</v>
      </c>
      <c r="D113" s="3">
        <v>8</v>
      </c>
      <c r="E113" s="3">
        <v>2062.866</v>
      </c>
      <c r="F113" s="4" t="str">
        <f>HYPERLINK("http://141.218.60.56/~jnz1568/getInfo.php?workbook=14_13.xlsx&amp;sheet=A0&amp;row=113&amp;col=6&amp;number=4596000&amp;sourceID=14","4596000")</f>
        <v>4596000</v>
      </c>
      <c r="G113" s="4" t="str">
        <f>HYPERLINK("http://141.218.60.56/~jnz1568/getInfo.php?workbook=14_13.xlsx&amp;sheet=A0&amp;row=113&amp;col=7&amp;number=0&amp;sourceID=14","0")</f>
        <v>0</v>
      </c>
    </row>
    <row r="114" spans="1:7">
      <c r="A114" s="3">
        <v>14</v>
      </c>
      <c r="B114" s="3">
        <v>13</v>
      </c>
      <c r="C114" s="3">
        <v>29</v>
      </c>
      <c r="D114" s="3">
        <v>16</v>
      </c>
      <c r="E114" s="3">
        <v>6248.194</v>
      </c>
      <c r="F114" s="4" t="str">
        <f>HYPERLINK("http://141.218.60.56/~jnz1568/getInfo.php?workbook=14_13.xlsx&amp;sheet=A0&amp;row=114&amp;col=6&amp;number=16970&amp;sourceID=14","16970")</f>
        <v>16970</v>
      </c>
      <c r="G114" s="4" t="str">
        <f>HYPERLINK("http://141.218.60.56/~jnz1568/getInfo.php?workbook=14_13.xlsx&amp;sheet=A0&amp;row=114&amp;col=7&amp;number=0&amp;sourceID=14","0")</f>
        <v>0</v>
      </c>
    </row>
    <row r="115" spans="1:7">
      <c r="A115" s="3">
        <v>14</v>
      </c>
      <c r="B115" s="3">
        <v>13</v>
      </c>
      <c r="C115" s="3">
        <v>29</v>
      </c>
      <c r="D115" s="3">
        <v>25</v>
      </c>
      <c r="E115" s="3">
        <v>35813.312</v>
      </c>
      <c r="F115" s="4" t="str">
        <f>HYPERLINK("http://141.218.60.56/~jnz1568/getInfo.php?workbook=14_13.xlsx&amp;sheet=A0&amp;row=115&amp;col=6&amp;number=3521000&amp;sourceID=14","3521000")</f>
        <v>3521000</v>
      </c>
      <c r="G115" s="4" t="str">
        <f>HYPERLINK("http://141.218.60.56/~jnz1568/getInfo.php?workbook=14_13.xlsx&amp;sheet=A0&amp;row=115&amp;col=7&amp;number=0&amp;sourceID=14","0")</f>
        <v>0</v>
      </c>
    </row>
    <row r="116" spans="1:7">
      <c r="A116" s="3">
        <v>14</v>
      </c>
      <c r="B116" s="3">
        <v>13</v>
      </c>
      <c r="C116" s="3">
        <v>29</v>
      </c>
      <c r="D116" s="3">
        <v>9</v>
      </c>
      <c r="E116" s="3">
        <v>2680.148</v>
      </c>
      <c r="F116" s="4" t="str">
        <f>HYPERLINK("http://141.218.60.56/~jnz1568/getInfo.php?workbook=14_13.xlsx&amp;sheet=A0&amp;row=116&amp;col=6&amp;number=178800&amp;sourceID=14","178800")</f>
        <v>178800</v>
      </c>
      <c r="G116" s="4" t="str">
        <f>HYPERLINK("http://141.218.60.56/~jnz1568/getInfo.php?workbook=14_13.xlsx&amp;sheet=A0&amp;row=116&amp;col=7&amp;number=0&amp;sourceID=14","0")</f>
        <v>0</v>
      </c>
    </row>
    <row r="117" spans="1:7">
      <c r="A117" s="3">
        <v>14</v>
      </c>
      <c r="B117" s="3">
        <v>13</v>
      </c>
      <c r="C117" s="3">
        <v>29</v>
      </c>
      <c r="D117" s="3">
        <v>15</v>
      </c>
      <c r="E117" s="3">
        <v>3336.396</v>
      </c>
      <c r="F117" s="4" t="str">
        <f>HYPERLINK("http://141.218.60.56/~jnz1568/getInfo.php?workbook=14_13.xlsx&amp;sheet=A0&amp;row=117&amp;col=6&amp;number=910800&amp;sourceID=14","910800")</f>
        <v>910800</v>
      </c>
      <c r="G117" s="4" t="str">
        <f>HYPERLINK("http://141.218.60.56/~jnz1568/getInfo.php?workbook=14_13.xlsx&amp;sheet=A0&amp;row=117&amp;col=7&amp;number=0&amp;sourceID=14","0")</f>
        <v>0</v>
      </c>
    </row>
    <row r="118" spans="1:7">
      <c r="A118" s="3">
        <v>14</v>
      </c>
      <c r="B118" s="3">
        <v>13</v>
      </c>
      <c r="C118" s="3">
        <v>29</v>
      </c>
      <c r="D118" s="3">
        <v>14</v>
      </c>
      <c r="E118" s="3">
        <v>3314.027</v>
      </c>
      <c r="F118" s="4" t="str">
        <f>HYPERLINK("http://141.218.60.56/~jnz1568/getInfo.php?workbook=14_13.xlsx&amp;sheet=A0&amp;row=118&amp;col=6&amp;number=185900&amp;sourceID=14","185900")</f>
        <v>185900</v>
      </c>
      <c r="G118" s="4" t="str">
        <f>HYPERLINK("http://141.218.60.56/~jnz1568/getInfo.php?workbook=14_13.xlsx&amp;sheet=A0&amp;row=118&amp;col=7&amp;number=0&amp;sourceID=14","0")</f>
        <v>0</v>
      </c>
    </row>
    <row r="119" spans="1:7">
      <c r="A119" s="3">
        <v>14</v>
      </c>
      <c r="B119" s="3">
        <v>13</v>
      </c>
      <c r="C119" s="3">
        <v>29</v>
      </c>
      <c r="D119" s="3">
        <v>7</v>
      </c>
      <c r="E119" s="3">
        <v>1704.985</v>
      </c>
      <c r="F119" s="4" t="str">
        <f>HYPERLINK("http://141.218.60.56/~jnz1568/getInfo.php?workbook=14_13.xlsx&amp;sheet=A0&amp;row=119&amp;col=6&amp;number=34330000&amp;sourceID=14","34330000")</f>
        <v>34330000</v>
      </c>
      <c r="G119" s="4" t="str">
        <f>HYPERLINK("http://141.218.60.56/~jnz1568/getInfo.php?workbook=14_13.xlsx&amp;sheet=A0&amp;row=119&amp;col=7&amp;number=0&amp;sourceID=14","0")</f>
        <v>0</v>
      </c>
    </row>
    <row r="120" spans="1:7">
      <c r="A120" s="3">
        <v>14</v>
      </c>
      <c r="B120" s="3">
        <v>13</v>
      </c>
      <c r="C120" s="3">
        <v>29</v>
      </c>
      <c r="D120" s="3">
        <v>6</v>
      </c>
      <c r="E120" s="3">
        <v>1704.525</v>
      </c>
      <c r="F120" s="4" t="str">
        <f>HYPERLINK("http://141.218.60.56/~jnz1568/getInfo.php?workbook=14_13.xlsx&amp;sheet=A0&amp;row=120&amp;col=6&amp;number=3818000&amp;sourceID=14","3818000")</f>
        <v>3818000</v>
      </c>
      <c r="G120" s="4" t="str">
        <f>HYPERLINK("http://141.218.60.56/~jnz1568/getInfo.php?workbook=14_13.xlsx&amp;sheet=A0&amp;row=120&amp;col=7&amp;number=0&amp;sourceID=14","0")</f>
        <v>0</v>
      </c>
    </row>
    <row r="121" spans="1:7">
      <c r="A121" s="3">
        <v>14</v>
      </c>
      <c r="B121" s="3">
        <v>13</v>
      </c>
      <c r="C121" s="3">
        <v>29</v>
      </c>
      <c r="D121" s="3">
        <v>11</v>
      </c>
      <c r="E121" s="3">
        <v>2888.362</v>
      </c>
      <c r="F121" s="4" t="str">
        <f>HYPERLINK("http://141.218.60.56/~jnz1568/getInfo.php?workbook=14_13.xlsx&amp;sheet=A0&amp;row=121&amp;col=6&amp;number=6880000&amp;sourceID=14","6880000")</f>
        <v>6880000</v>
      </c>
      <c r="G121" s="4" t="str">
        <f>HYPERLINK("http://141.218.60.56/~jnz1568/getInfo.php?workbook=14_13.xlsx&amp;sheet=A0&amp;row=121&amp;col=7&amp;number=0&amp;sourceID=14","0")</f>
        <v>0</v>
      </c>
    </row>
    <row r="122" spans="1:7">
      <c r="A122" s="3">
        <v>14</v>
      </c>
      <c r="B122" s="3">
        <v>13</v>
      </c>
      <c r="C122" s="3">
        <v>29</v>
      </c>
      <c r="D122" s="3">
        <v>10</v>
      </c>
      <c r="E122" s="3">
        <v>2886.984</v>
      </c>
      <c r="F122" s="4" t="str">
        <f>HYPERLINK("http://141.218.60.56/~jnz1568/getInfo.php?workbook=14_13.xlsx&amp;sheet=A0&amp;row=122&amp;col=6&amp;number=765600&amp;sourceID=14","765600")</f>
        <v>765600</v>
      </c>
      <c r="G122" s="4" t="str">
        <f>HYPERLINK("http://141.218.60.56/~jnz1568/getInfo.php?workbook=14_13.xlsx&amp;sheet=A0&amp;row=122&amp;col=7&amp;number=0&amp;sourceID=14","0")</f>
        <v>0</v>
      </c>
    </row>
    <row r="123" spans="1:7">
      <c r="A123" s="3">
        <v>14</v>
      </c>
      <c r="B123" s="3">
        <v>13</v>
      </c>
      <c r="C123" s="3">
        <v>29</v>
      </c>
      <c r="D123" s="3">
        <v>18</v>
      </c>
      <c r="E123" s="3">
        <v>7720.596</v>
      </c>
      <c r="F123" s="4" t="str">
        <f>HYPERLINK("http://141.218.60.56/~jnz1568/getInfo.php?workbook=14_13.xlsx&amp;sheet=A0&amp;row=123&amp;col=6&amp;number=146700&amp;sourceID=14","146700")</f>
        <v>146700</v>
      </c>
      <c r="G123" s="4" t="str">
        <f>HYPERLINK("http://141.218.60.56/~jnz1568/getInfo.php?workbook=14_13.xlsx&amp;sheet=A0&amp;row=123&amp;col=7&amp;number=0&amp;sourceID=14","0")</f>
        <v>0</v>
      </c>
    </row>
    <row r="124" spans="1:7">
      <c r="A124" s="3">
        <v>14</v>
      </c>
      <c r="B124" s="3">
        <v>13</v>
      </c>
      <c r="C124" s="3">
        <v>29</v>
      </c>
      <c r="D124" s="3">
        <v>17</v>
      </c>
      <c r="E124" s="3">
        <v>7719.819</v>
      </c>
      <c r="F124" s="4" t="str">
        <f>HYPERLINK("http://141.218.60.56/~jnz1568/getInfo.php?workbook=14_13.xlsx&amp;sheet=A0&amp;row=124&amp;col=6&amp;number=16310&amp;sourceID=14","16310")</f>
        <v>16310</v>
      </c>
      <c r="G124" s="4" t="str">
        <f>HYPERLINK("http://141.218.60.56/~jnz1568/getInfo.php?workbook=14_13.xlsx&amp;sheet=A0&amp;row=124&amp;col=7&amp;number=0&amp;sourceID=14","0")</f>
        <v>0</v>
      </c>
    </row>
    <row r="125" spans="1:7">
      <c r="A125" s="3">
        <v>14</v>
      </c>
      <c r="B125" s="3">
        <v>13</v>
      </c>
      <c r="C125" s="3">
        <v>29</v>
      </c>
      <c r="D125" s="3">
        <v>27</v>
      </c>
      <c r="E125" s="3">
        <v>63211.125</v>
      </c>
      <c r="F125" s="4" t="str">
        <f>HYPERLINK("http://141.218.60.56/~jnz1568/getInfo.php?workbook=14_13.xlsx&amp;sheet=A0&amp;row=125&amp;col=6&amp;number=944200&amp;sourceID=14","944200")</f>
        <v>944200</v>
      </c>
      <c r="G125" s="4" t="str">
        <f>HYPERLINK("http://141.218.60.56/~jnz1568/getInfo.php?workbook=14_13.xlsx&amp;sheet=A0&amp;row=125&amp;col=7&amp;number=0&amp;sourceID=14","0")</f>
        <v>0</v>
      </c>
    </row>
    <row r="126" spans="1:7">
      <c r="A126" s="3">
        <v>14</v>
      </c>
      <c r="B126" s="3">
        <v>13</v>
      </c>
      <c r="C126" s="3">
        <v>29</v>
      </c>
      <c r="D126" s="3">
        <v>26</v>
      </c>
      <c r="E126" s="3">
        <v>63204.883</v>
      </c>
      <c r="F126" s="4" t="str">
        <f>HYPERLINK("http://141.218.60.56/~jnz1568/getInfo.php?workbook=14_13.xlsx&amp;sheet=A0&amp;row=126&amp;col=6&amp;number=105000&amp;sourceID=14","105000")</f>
        <v>105000</v>
      </c>
      <c r="G126" s="4" t="str">
        <f>HYPERLINK("http://141.218.60.56/~jnz1568/getInfo.php?workbook=14_13.xlsx&amp;sheet=A0&amp;row=126&amp;col=7&amp;number=0&amp;sourceID=14","0")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31</v>
      </c>
      <c r="D3" s="2" t="s">
        <v>4</v>
      </c>
      <c r="E3" s="2" t="s">
        <v>36</v>
      </c>
      <c r="F3" s="2" t="s">
        <v>37</v>
      </c>
      <c r="G3" s="2" t="s">
        <v>38</v>
      </c>
    </row>
    <row r="4" spans="1:7">
      <c r="A4" s="3">
        <v>14</v>
      </c>
      <c r="B4" s="3">
        <v>13</v>
      </c>
      <c r="C4" s="3">
        <v>1</v>
      </c>
      <c r="D4" s="3">
        <v>2</v>
      </c>
      <c r="E4" s="3">
        <v>1</v>
      </c>
      <c r="F4" s="4" t="str">
        <f>HYPERLINK("http://141.218.60.56/~jnz1568/getInfo.php?workbook=14_13.xlsx&amp;sheet=U0&amp;row=4&amp;col=6&amp;number=3&amp;sourceID=14","3")</f>
        <v>3</v>
      </c>
      <c r="G4" s="4" t="str">
        <f>HYPERLINK("http://141.218.60.56/~jnz1568/getInfo.php?workbook=14_13.xlsx&amp;sheet=U0&amp;row=4&amp;col=7&amp;number=6.42&amp;sourceID=14","6.42")</f>
        <v>6.42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HYPERLINK("http://141.218.60.56/~jnz1568/getInfo.php?workbook=14_13.xlsx&amp;sheet=U0&amp;row=5&amp;col=6&amp;number=3.1&amp;sourceID=14","3.1")</f>
        <v>3.1</v>
      </c>
      <c r="G5" s="4" t="str">
        <f>HYPERLINK("http://141.218.60.56/~jnz1568/getInfo.php?workbook=14_13.xlsx&amp;sheet=U0&amp;row=5&amp;col=7&amp;number=6.4&amp;sourceID=14","6.4")</f>
        <v>6.4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HYPERLINK("http://141.218.60.56/~jnz1568/getInfo.php?workbook=14_13.xlsx&amp;sheet=U0&amp;row=6&amp;col=6&amp;number=3.2&amp;sourceID=14","3.2")</f>
        <v>3.2</v>
      </c>
      <c r="G6" s="4" t="str">
        <f>HYPERLINK("http://141.218.60.56/~jnz1568/getInfo.php?workbook=14_13.xlsx&amp;sheet=U0&amp;row=6&amp;col=7&amp;number=6.38&amp;sourceID=14","6.38")</f>
        <v>6.38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HYPERLINK("http://141.218.60.56/~jnz1568/getInfo.php?workbook=14_13.xlsx&amp;sheet=U0&amp;row=7&amp;col=6&amp;number=3.3&amp;sourceID=14","3.3")</f>
        <v>3.3</v>
      </c>
      <c r="G7" s="4" t="str">
        <f>HYPERLINK("http://141.218.60.56/~jnz1568/getInfo.php?workbook=14_13.xlsx&amp;sheet=U0&amp;row=7&amp;col=7&amp;number=6.35&amp;sourceID=14","6.35")</f>
        <v>6.35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HYPERLINK("http://141.218.60.56/~jnz1568/getInfo.php?workbook=14_13.xlsx&amp;sheet=U0&amp;row=8&amp;col=6&amp;number=3.4&amp;sourceID=14","3.4")</f>
        <v>3.4</v>
      </c>
      <c r="G8" s="4" t="str">
        <f>HYPERLINK("http://141.218.60.56/~jnz1568/getInfo.php?workbook=14_13.xlsx&amp;sheet=U0&amp;row=8&amp;col=7&amp;number=6.31&amp;sourceID=14","6.31")</f>
        <v>6.31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HYPERLINK("http://141.218.60.56/~jnz1568/getInfo.php?workbook=14_13.xlsx&amp;sheet=U0&amp;row=9&amp;col=6&amp;number=3.5&amp;sourceID=14","3.5")</f>
        <v>3.5</v>
      </c>
      <c r="G9" s="4" t="str">
        <f>HYPERLINK("http://141.218.60.56/~jnz1568/getInfo.php?workbook=14_13.xlsx&amp;sheet=U0&amp;row=9&amp;col=7&amp;number=6.27&amp;sourceID=14","6.27")</f>
        <v>6.27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HYPERLINK("http://141.218.60.56/~jnz1568/getInfo.php?workbook=14_13.xlsx&amp;sheet=U0&amp;row=10&amp;col=6&amp;number=3.6&amp;sourceID=14","3.6")</f>
        <v>3.6</v>
      </c>
      <c r="G10" s="4" t="str">
        <f>HYPERLINK("http://141.218.60.56/~jnz1568/getInfo.php?workbook=14_13.xlsx&amp;sheet=U0&amp;row=10&amp;col=7&amp;number=6.23&amp;sourceID=14","6.23")</f>
        <v>6.23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HYPERLINK("http://141.218.60.56/~jnz1568/getInfo.php?workbook=14_13.xlsx&amp;sheet=U0&amp;row=11&amp;col=6&amp;number=3.7&amp;sourceID=14","3.7")</f>
        <v>3.7</v>
      </c>
      <c r="G11" s="4" t="str">
        <f>HYPERLINK("http://141.218.60.56/~jnz1568/getInfo.php?workbook=14_13.xlsx&amp;sheet=U0&amp;row=11&amp;col=7&amp;number=6.19&amp;sourceID=14","6.19")</f>
        <v>6.19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HYPERLINK("http://141.218.60.56/~jnz1568/getInfo.php?workbook=14_13.xlsx&amp;sheet=U0&amp;row=12&amp;col=6&amp;number=3.8&amp;sourceID=14","3.8")</f>
        <v>3.8</v>
      </c>
      <c r="G12" s="4" t="str">
        <f>HYPERLINK("http://141.218.60.56/~jnz1568/getInfo.php?workbook=14_13.xlsx&amp;sheet=U0&amp;row=12&amp;col=7&amp;number=6.15&amp;sourceID=14","6.15")</f>
        <v>6.15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HYPERLINK("http://141.218.60.56/~jnz1568/getInfo.php?workbook=14_13.xlsx&amp;sheet=U0&amp;row=13&amp;col=6&amp;number=3.9&amp;sourceID=14","3.9")</f>
        <v>3.9</v>
      </c>
      <c r="G13" s="4" t="str">
        <f>HYPERLINK("http://141.218.60.56/~jnz1568/getInfo.php?workbook=14_13.xlsx&amp;sheet=U0&amp;row=13&amp;col=7&amp;number=6.12&amp;sourceID=14","6.12")</f>
        <v>6.12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HYPERLINK("http://141.218.60.56/~jnz1568/getInfo.php?workbook=14_13.xlsx&amp;sheet=U0&amp;row=14&amp;col=6&amp;number=4&amp;sourceID=14","4")</f>
        <v>4</v>
      </c>
      <c r="G14" s="4" t="str">
        <f>HYPERLINK("http://141.218.60.56/~jnz1568/getInfo.php?workbook=14_13.xlsx&amp;sheet=U0&amp;row=14&amp;col=7&amp;number=6.09&amp;sourceID=14","6.09")</f>
        <v>6.09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HYPERLINK("http://141.218.60.56/~jnz1568/getInfo.php?workbook=14_13.xlsx&amp;sheet=U0&amp;row=15&amp;col=6&amp;number=4.1&amp;sourceID=14","4.1")</f>
        <v>4.1</v>
      </c>
      <c r="G15" s="4" t="str">
        <f>HYPERLINK("http://141.218.60.56/~jnz1568/getInfo.php?workbook=14_13.xlsx&amp;sheet=U0&amp;row=15&amp;col=7&amp;number=6.06&amp;sourceID=14","6.06")</f>
        <v>6.06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HYPERLINK("http://141.218.60.56/~jnz1568/getInfo.php?workbook=14_13.xlsx&amp;sheet=U0&amp;row=16&amp;col=6&amp;number=4.2&amp;sourceID=14","4.2")</f>
        <v>4.2</v>
      </c>
      <c r="G16" s="4" t="str">
        <f>HYPERLINK("http://141.218.60.56/~jnz1568/getInfo.php?workbook=14_13.xlsx&amp;sheet=U0&amp;row=16&amp;col=7&amp;number=6.02&amp;sourceID=14","6.02")</f>
        <v>6.02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HYPERLINK("http://141.218.60.56/~jnz1568/getInfo.php?workbook=14_13.xlsx&amp;sheet=U0&amp;row=17&amp;col=6&amp;number=4.3&amp;sourceID=14","4.3")</f>
        <v>4.3</v>
      </c>
      <c r="G17" s="4" t="str">
        <f>HYPERLINK("http://141.218.60.56/~jnz1568/getInfo.php?workbook=14_13.xlsx&amp;sheet=U0&amp;row=17&amp;col=7&amp;number=5.97&amp;sourceID=14","5.97")</f>
        <v>5.97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HYPERLINK("http://141.218.60.56/~jnz1568/getInfo.php?workbook=14_13.xlsx&amp;sheet=U0&amp;row=18&amp;col=6&amp;number=4.4&amp;sourceID=14","4.4")</f>
        <v>4.4</v>
      </c>
      <c r="G18" s="4" t="str">
        <f>HYPERLINK("http://141.218.60.56/~jnz1568/getInfo.php?workbook=14_13.xlsx&amp;sheet=U0&amp;row=18&amp;col=7&amp;number=5.89&amp;sourceID=14","5.89")</f>
        <v>5.89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HYPERLINK("http://141.218.60.56/~jnz1568/getInfo.php?workbook=14_13.xlsx&amp;sheet=U0&amp;row=19&amp;col=6&amp;number=4.5&amp;sourceID=14","4.5")</f>
        <v>4.5</v>
      </c>
      <c r="G19" s="4" t="str">
        <f>HYPERLINK("http://141.218.60.56/~jnz1568/getInfo.php?workbook=14_13.xlsx&amp;sheet=U0&amp;row=19&amp;col=7&amp;number=5.77&amp;sourceID=14","5.77")</f>
        <v>5.77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HYPERLINK("http://141.218.60.56/~jnz1568/getInfo.php?workbook=14_13.xlsx&amp;sheet=U0&amp;row=20&amp;col=6&amp;number=4.6&amp;sourceID=14","4.6")</f>
        <v>4.6</v>
      </c>
      <c r="G20" s="4" t="str">
        <f>HYPERLINK("http://141.218.60.56/~jnz1568/getInfo.php?workbook=14_13.xlsx&amp;sheet=U0&amp;row=20&amp;col=7&amp;number=5.58&amp;sourceID=14","5.58")</f>
        <v>5.58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HYPERLINK("http://141.218.60.56/~jnz1568/getInfo.php?workbook=14_13.xlsx&amp;sheet=U0&amp;row=21&amp;col=6&amp;number=4.7&amp;sourceID=14","4.7")</f>
        <v>4.7</v>
      </c>
      <c r="G21" s="4" t="str">
        <f>HYPERLINK("http://141.218.60.56/~jnz1568/getInfo.php?workbook=14_13.xlsx&amp;sheet=U0&amp;row=21&amp;col=7&amp;number=5.34&amp;sourceID=14","5.34")</f>
        <v>5.34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HYPERLINK("http://141.218.60.56/~jnz1568/getInfo.php?workbook=14_13.xlsx&amp;sheet=U0&amp;row=22&amp;col=6&amp;number=4.8&amp;sourceID=14","4.8")</f>
        <v>4.8</v>
      </c>
      <c r="G22" s="4" t="str">
        <f>HYPERLINK("http://141.218.60.56/~jnz1568/getInfo.php?workbook=14_13.xlsx&amp;sheet=U0&amp;row=22&amp;col=7&amp;number=5.05&amp;sourceID=14","5.05")</f>
        <v>5.05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HYPERLINK("http://141.218.60.56/~jnz1568/getInfo.php?workbook=14_13.xlsx&amp;sheet=U0&amp;row=23&amp;col=6&amp;number=4.9&amp;sourceID=14","4.9")</f>
        <v>4.9</v>
      </c>
      <c r="G23" s="4" t="str">
        <f>HYPERLINK("http://141.218.60.56/~jnz1568/getInfo.php?workbook=14_13.xlsx&amp;sheet=U0&amp;row=23&amp;col=7&amp;number=4.72&amp;sourceID=14","4.72")</f>
        <v>4.72</v>
      </c>
    </row>
    <row r="24" spans="1:7">
      <c r="A24" s="3">
        <v>14</v>
      </c>
      <c r="B24" s="3">
        <v>13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HYPERLINK("http://141.218.60.56/~jnz1568/getInfo.php?workbook=14_13.xlsx&amp;sheet=U0&amp;row=24&amp;col=6&amp;number=3&amp;sourceID=14","3")</f>
        <v>3</v>
      </c>
      <c r="G24" s="4" t="str">
        <f>HYPERLINK("http://141.218.60.56/~jnz1568/getInfo.php?workbook=14_13.xlsx&amp;sheet=U0&amp;row=24&amp;col=7&amp;number=0.593&amp;sourceID=14","0.593")</f>
        <v>0.593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HYPERLINK("http://141.218.60.56/~jnz1568/getInfo.php?workbook=14_13.xlsx&amp;sheet=U0&amp;row=25&amp;col=6&amp;number=3.1&amp;sourceID=14","3.1")</f>
        <v>3.1</v>
      </c>
      <c r="G25" s="4" t="str">
        <f>HYPERLINK("http://141.218.60.56/~jnz1568/getInfo.php?workbook=14_13.xlsx&amp;sheet=U0&amp;row=25&amp;col=7&amp;number=0.591&amp;sourceID=14","0.591")</f>
        <v>0.591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HYPERLINK("http://141.218.60.56/~jnz1568/getInfo.php?workbook=14_13.xlsx&amp;sheet=U0&amp;row=26&amp;col=6&amp;number=3.2&amp;sourceID=14","3.2")</f>
        <v>3.2</v>
      </c>
      <c r="G26" s="4" t="str">
        <f>HYPERLINK("http://141.218.60.56/~jnz1568/getInfo.php?workbook=14_13.xlsx&amp;sheet=U0&amp;row=26&amp;col=7&amp;number=0.589&amp;sourceID=14","0.589")</f>
        <v>0.589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HYPERLINK("http://141.218.60.56/~jnz1568/getInfo.php?workbook=14_13.xlsx&amp;sheet=U0&amp;row=27&amp;col=6&amp;number=3.3&amp;sourceID=14","3.3")</f>
        <v>3.3</v>
      </c>
      <c r="G27" s="4" t="str">
        <f>HYPERLINK("http://141.218.60.56/~jnz1568/getInfo.php?workbook=14_13.xlsx&amp;sheet=U0&amp;row=27&amp;col=7&amp;number=0.587&amp;sourceID=14","0.587")</f>
        <v>0.587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HYPERLINK("http://141.218.60.56/~jnz1568/getInfo.php?workbook=14_13.xlsx&amp;sheet=U0&amp;row=28&amp;col=6&amp;number=3.4&amp;sourceID=14","3.4")</f>
        <v>3.4</v>
      </c>
      <c r="G28" s="4" t="str">
        <f>HYPERLINK("http://141.218.60.56/~jnz1568/getInfo.php?workbook=14_13.xlsx&amp;sheet=U0&amp;row=28&amp;col=7&amp;number=0.584&amp;sourceID=14","0.584")</f>
        <v>0.584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HYPERLINK("http://141.218.60.56/~jnz1568/getInfo.php?workbook=14_13.xlsx&amp;sheet=U0&amp;row=29&amp;col=6&amp;number=3.5&amp;sourceID=14","3.5")</f>
        <v>3.5</v>
      </c>
      <c r="G29" s="4" t="str">
        <f>HYPERLINK("http://141.218.60.56/~jnz1568/getInfo.php?workbook=14_13.xlsx&amp;sheet=U0&amp;row=29&amp;col=7&amp;number=0.58&amp;sourceID=14","0.58")</f>
        <v>0.58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HYPERLINK("http://141.218.60.56/~jnz1568/getInfo.php?workbook=14_13.xlsx&amp;sheet=U0&amp;row=30&amp;col=6&amp;number=3.6&amp;sourceID=14","3.6")</f>
        <v>3.6</v>
      </c>
      <c r="G30" s="4" t="str">
        <f>HYPERLINK("http://141.218.60.56/~jnz1568/getInfo.php?workbook=14_13.xlsx&amp;sheet=U0&amp;row=30&amp;col=7&amp;number=0.576&amp;sourceID=14","0.576")</f>
        <v>0.576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HYPERLINK("http://141.218.60.56/~jnz1568/getInfo.php?workbook=14_13.xlsx&amp;sheet=U0&amp;row=31&amp;col=6&amp;number=3.7&amp;sourceID=14","3.7")</f>
        <v>3.7</v>
      </c>
      <c r="G31" s="4" t="str">
        <f>HYPERLINK("http://141.218.60.56/~jnz1568/getInfo.php?workbook=14_13.xlsx&amp;sheet=U0&amp;row=31&amp;col=7&amp;number=0.57&amp;sourceID=14","0.57")</f>
        <v>0.57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HYPERLINK("http://141.218.60.56/~jnz1568/getInfo.php?workbook=14_13.xlsx&amp;sheet=U0&amp;row=32&amp;col=6&amp;number=3.8&amp;sourceID=14","3.8")</f>
        <v>3.8</v>
      </c>
      <c r="G32" s="4" t="str">
        <f>HYPERLINK("http://141.218.60.56/~jnz1568/getInfo.php?workbook=14_13.xlsx&amp;sheet=U0&amp;row=32&amp;col=7&amp;number=0.562&amp;sourceID=14","0.562")</f>
        <v>0.562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HYPERLINK("http://141.218.60.56/~jnz1568/getInfo.php?workbook=14_13.xlsx&amp;sheet=U0&amp;row=33&amp;col=6&amp;number=3.9&amp;sourceID=14","3.9")</f>
        <v>3.9</v>
      </c>
      <c r="G33" s="4" t="str">
        <f>HYPERLINK("http://141.218.60.56/~jnz1568/getInfo.php?workbook=14_13.xlsx&amp;sheet=U0&amp;row=33&amp;col=7&amp;number=0.554&amp;sourceID=14","0.554")</f>
        <v>0.554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HYPERLINK("http://141.218.60.56/~jnz1568/getInfo.php?workbook=14_13.xlsx&amp;sheet=U0&amp;row=34&amp;col=6&amp;number=4&amp;sourceID=14","4")</f>
        <v>4</v>
      </c>
      <c r="G34" s="4" t="str">
        <f>HYPERLINK("http://141.218.60.56/~jnz1568/getInfo.php?workbook=14_13.xlsx&amp;sheet=U0&amp;row=34&amp;col=7&amp;number=0.545&amp;sourceID=14","0.545")</f>
        <v>0.545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HYPERLINK("http://141.218.60.56/~jnz1568/getInfo.php?workbook=14_13.xlsx&amp;sheet=U0&amp;row=35&amp;col=6&amp;number=4.1&amp;sourceID=14","4.1")</f>
        <v>4.1</v>
      </c>
      <c r="G35" s="4" t="str">
        <f>HYPERLINK("http://141.218.60.56/~jnz1568/getInfo.php?workbook=14_13.xlsx&amp;sheet=U0&amp;row=35&amp;col=7&amp;number=0.536&amp;sourceID=14","0.536")</f>
        <v>0.536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HYPERLINK("http://141.218.60.56/~jnz1568/getInfo.php?workbook=14_13.xlsx&amp;sheet=U0&amp;row=36&amp;col=6&amp;number=4.2&amp;sourceID=14","4.2")</f>
        <v>4.2</v>
      </c>
      <c r="G36" s="4" t="str">
        <f>HYPERLINK("http://141.218.60.56/~jnz1568/getInfo.php?workbook=14_13.xlsx&amp;sheet=U0&amp;row=36&amp;col=7&amp;number=0.527&amp;sourceID=14","0.527")</f>
        <v>0.527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HYPERLINK("http://141.218.60.56/~jnz1568/getInfo.php?workbook=14_13.xlsx&amp;sheet=U0&amp;row=37&amp;col=6&amp;number=4.3&amp;sourceID=14","4.3")</f>
        <v>4.3</v>
      </c>
      <c r="G37" s="4" t="str">
        <f>HYPERLINK("http://141.218.60.56/~jnz1568/getInfo.php?workbook=14_13.xlsx&amp;sheet=U0&amp;row=37&amp;col=7&amp;number=0.518&amp;sourceID=14","0.518")</f>
        <v>0.518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HYPERLINK("http://141.218.60.56/~jnz1568/getInfo.php?workbook=14_13.xlsx&amp;sheet=U0&amp;row=38&amp;col=6&amp;number=4.4&amp;sourceID=14","4.4")</f>
        <v>4.4</v>
      </c>
      <c r="G38" s="4" t="str">
        <f>HYPERLINK("http://141.218.60.56/~jnz1568/getInfo.php?workbook=14_13.xlsx&amp;sheet=U0&amp;row=38&amp;col=7&amp;number=0.509&amp;sourceID=14","0.509")</f>
        <v>0.509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HYPERLINK("http://141.218.60.56/~jnz1568/getInfo.php?workbook=14_13.xlsx&amp;sheet=U0&amp;row=39&amp;col=6&amp;number=4.5&amp;sourceID=14","4.5")</f>
        <v>4.5</v>
      </c>
      <c r="G39" s="4" t="str">
        <f>HYPERLINK("http://141.218.60.56/~jnz1568/getInfo.php?workbook=14_13.xlsx&amp;sheet=U0&amp;row=39&amp;col=7&amp;number=0.498&amp;sourceID=14","0.498")</f>
        <v>0.498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HYPERLINK("http://141.218.60.56/~jnz1568/getInfo.php?workbook=14_13.xlsx&amp;sheet=U0&amp;row=40&amp;col=6&amp;number=4.6&amp;sourceID=14","4.6")</f>
        <v>4.6</v>
      </c>
      <c r="G40" s="4" t="str">
        <f>HYPERLINK("http://141.218.60.56/~jnz1568/getInfo.php?workbook=14_13.xlsx&amp;sheet=U0&amp;row=40&amp;col=7&amp;number=0.485&amp;sourceID=14","0.485")</f>
        <v>0.485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HYPERLINK("http://141.218.60.56/~jnz1568/getInfo.php?workbook=14_13.xlsx&amp;sheet=U0&amp;row=41&amp;col=6&amp;number=4.7&amp;sourceID=14","4.7")</f>
        <v>4.7</v>
      </c>
      <c r="G41" s="4" t="str">
        <f>HYPERLINK("http://141.218.60.56/~jnz1568/getInfo.php?workbook=14_13.xlsx&amp;sheet=U0&amp;row=41&amp;col=7&amp;number=0.469&amp;sourceID=14","0.469")</f>
        <v>0.469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HYPERLINK("http://141.218.60.56/~jnz1568/getInfo.php?workbook=14_13.xlsx&amp;sheet=U0&amp;row=42&amp;col=6&amp;number=4.8&amp;sourceID=14","4.8")</f>
        <v>4.8</v>
      </c>
      <c r="G42" s="4" t="str">
        <f>HYPERLINK("http://141.218.60.56/~jnz1568/getInfo.php?workbook=14_13.xlsx&amp;sheet=U0&amp;row=42&amp;col=7&amp;number=0.45&amp;sourceID=14","0.45")</f>
        <v>0.45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HYPERLINK("http://141.218.60.56/~jnz1568/getInfo.php?workbook=14_13.xlsx&amp;sheet=U0&amp;row=43&amp;col=6&amp;number=4.9&amp;sourceID=14","4.9")</f>
        <v>4.9</v>
      </c>
      <c r="G43" s="4" t="str">
        <f>HYPERLINK("http://141.218.60.56/~jnz1568/getInfo.php?workbook=14_13.xlsx&amp;sheet=U0&amp;row=43&amp;col=7&amp;number=0.428&amp;sourceID=14","0.428")</f>
        <v>0.428</v>
      </c>
    </row>
    <row r="44" spans="1:7">
      <c r="A44" s="3">
        <v>14</v>
      </c>
      <c r="B44" s="3">
        <v>13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HYPERLINK("http://141.218.60.56/~jnz1568/getInfo.php?workbook=14_13.xlsx&amp;sheet=U0&amp;row=44&amp;col=6&amp;number=3&amp;sourceID=14","3")</f>
        <v>3</v>
      </c>
      <c r="G44" s="4" t="str">
        <f>HYPERLINK("http://141.218.60.56/~jnz1568/getInfo.php?workbook=14_13.xlsx&amp;sheet=U0&amp;row=44&amp;col=7&amp;number=0.84&amp;sourceID=14","0.84")</f>
        <v>0.84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HYPERLINK("http://141.218.60.56/~jnz1568/getInfo.php?workbook=14_13.xlsx&amp;sheet=U0&amp;row=45&amp;col=6&amp;number=3.1&amp;sourceID=14","3.1")</f>
        <v>3.1</v>
      </c>
      <c r="G45" s="4" t="str">
        <f>HYPERLINK("http://141.218.60.56/~jnz1568/getInfo.php?workbook=14_13.xlsx&amp;sheet=U0&amp;row=45&amp;col=7&amp;number=0.84&amp;sourceID=14","0.84")</f>
        <v>0.84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HYPERLINK("http://141.218.60.56/~jnz1568/getInfo.php?workbook=14_13.xlsx&amp;sheet=U0&amp;row=46&amp;col=6&amp;number=3.2&amp;sourceID=14","3.2")</f>
        <v>3.2</v>
      </c>
      <c r="G46" s="4" t="str">
        <f>HYPERLINK("http://141.218.60.56/~jnz1568/getInfo.php?workbook=14_13.xlsx&amp;sheet=U0&amp;row=46&amp;col=7&amp;number=0.84&amp;sourceID=14","0.84")</f>
        <v>0.84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HYPERLINK("http://141.218.60.56/~jnz1568/getInfo.php?workbook=14_13.xlsx&amp;sheet=U0&amp;row=47&amp;col=6&amp;number=3.3&amp;sourceID=14","3.3")</f>
        <v>3.3</v>
      </c>
      <c r="G47" s="4" t="str">
        <f>HYPERLINK("http://141.218.60.56/~jnz1568/getInfo.php?workbook=14_13.xlsx&amp;sheet=U0&amp;row=47&amp;col=7&amp;number=0.84&amp;sourceID=14","0.84")</f>
        <v>0.84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HYPERLINK("http://141.218.60.56/~jnz1568/getInfo.php?workbook=14_13.xlsx&amp;sheet=U0&amp;row=48&amp;col=6&amp;number=3.4&amp;sourceID=14","3.4")</f>
        <v>3.4</v>
      </c>
      <c r="G48" s="4" t="str">
        <f>HYPERLINK("http://141.218.60.56/~jnz1568/getInfo.php?workbook=14_13.xlsx&amp;sheet=U0&amp;row=48&amp;col=7&amp;number=0.839&amp;sourceID=14","0.839")</f>
        <v>0.839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HYPERLINK("http://141.218.60.56/~jnz1568/getInfo.php?workbook=14_13.xlsx&amp;sheet=U0&amp;row=49&amp;col=6&amp;number=3.5&amp;sourceID=14","3.5")</f>
        <v>3.5</v>
      </c>
      <c r="G49" s="4" t="str">
        <f>HYPERLINK("http://141.218.60.56/~jnz1568/getInfo.php?workbook=14_13.xlsx&amp;sheet=U0&amp;row=49&amp;col=7&amp;number=0.838&amp;sourceID=14","0.838")</f>
        <v>0.838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HYPERLINK("http://141.218.60.56/~jnz1568/getInfo.php?workbook=14_13.xlsx&amp;sheet=U0&amp;row=50&amp;col=6&amp;number=3.6&amp;sourceID=14","3.6")</f>
        <v>3.6</v>
      </c>
      <c r="G50" s="4" t="str">
        <f>HYPERLINK("http://141.218.60.56/~jnz1568/getInfo.php?workbook=14_13.xlsx&amp;sheet=U0&amp;row=50&amp;col=7&amp;number=0.835&amp;sourceID=14","0.835")</f>
        <v>0.835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HYPERLINK("http://141.218.60.56/~jnz1568/getInfo.php?workbook=14_13.xlsx&amp;sheet=U0&amp;row=51&amp;col=6&amp;number=3.7&amp;sourceID=14","3.7")</f>
        <v>3.7</v>
      </c>
      <c r="G51" s="4" t="str">
        <f>HYPERLINK("http://141.218.60.56/~jnz1568/getInfo.php?workbook=14_13.xlsx&amp;sheet=U0&amp;row=51&amp;col=7&amp;number=0.829&amp;sourceID=14","0.829")</f>
        <v>0.829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HYPERLINK("http://141.218.60.56/~jnz1568/getInfo.php?workbook=14_13.xlsx&amp;sheet=U0&amp;row=52&amp;col=6&amp;number=3.8&amp;sourceID=14","3.8")</f>
        <v>3.8</v>
      </c>
      <c r="G52" s="4" t="str">
        <f>HYPERLINK("http://141.218.60.56/~jnz1568/getInfo.php?workbook=14_13.xlsx&amp;sheet=U0&amp;row=52&amp;col=7&amp;number=0.821&amp;sourceID=14","0.821")</f>
        <v>0.821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HYPERLINK("http://141.218.60.56/~jnz1568/getInfo.php?workbook=14_13.xlsx&amp;sheet=U0&amp;row=53&amp;col=6&amp;number=3.9&amp;sourceID=14","3.9")</f>
        <v>3.9</v>
      </c>
      <c r="G53" s="4" t="str">
        <f>HYPERLINK("http://141.218.60.56/~jnz1568/getInfo.php?workbook=14_13.xlsx&amp;sheet=U0&amp;row=53&amp;col=7&amp;number=0.811&amp;sourceID=14","0.811")</f>
        <v>0.811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HYPERLINK("http://141.218.60.56/~jnz1568/getInfo.php?workbook=14_13.xlsx&amp;sheet=U0&amp;row=54&amp;col=6&amp;number=4&amp;sourceID=14","4")</f>
        <v>4</v>
      </c>
      <c r="G54" s="4" t="str">
        <f>HYPERLINK("http://141.218.60.56/~jnz1568/getInfo.php?workbook=14_13.xlsx&amp;sheet=U0&amp;row=54&amp;col=7&amp;number=0.801&amp;sourceID=14","0.801")</f>
        <v>0.801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HYPERLINK("http://141.218.60.56/~jnz1568/getInfo.php?workbook=14_13.xlsx&amp;sheet=U0&amp;row=55&amp;col=6&amp;number=4.1&amp;sourceID=14","4.1")</f>
        <v>4.1</v>
      </c>
      <c r="G55" s="4" t="str">
        <f>HYPERLINK("http://141.218.60.56/~jnz1568/getInfo.php?workbook=14_13.xlsx&amp;sheet=U0&amp;row=55&amp;col=7&amp;number=0.792&amp;sourceID=14","0.792")</f>
        <v>0.792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HYPERLINK("http://141.218.60.56/~jnz1568/getInfo.php?workbook=14_13.xlsx&amp;sheet=U0&amp;row=56&amp;col=6&amp;number=4.2&amp;sourceID=14","4.2")</f>
        <v>4.2</v>
      </c>
      <c r="G56" s="4" t="str">
        <f>HYPERLINK("http://141.218.60.56/~jnz1568/getInfo.php?workbook=14_13.xlsx&amp;sheet=U0&amp;row=56&amp;col=7&amp;number=0.784&amp;sourceID=14","0.784")</f>
        <v>0.784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HYPERLINK("http://141.218.60.56/~jnz1568/getInfo.php?workbook=14_13.xlsx&amp;sheet=U0&amp;row=57&amp;col=6&amp;number=4.3&amp;sourceID=14","4.3")</f>
        <v>4.3</v>
      </c>
      <c r="G57" s="4" t="str">
        <f>HYPERLINK("http://141.218.60.56/~jnz1568/getInfo.php?workbook=14_13.xlsx&amp;sheet=U0&amp;row=57&amp;col=7&amp;number=0.776&amp;sourceID=14","0.776")</f>
        <v>0.776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HYPERLINK("http://141.218.60.56/~jnz1568/getInfo.php?workbook=14_13.xlsx&amp;sheet=U0&amp;row=58&amp;col=6&amp;number=4.4&amp;sourceID=14","4.4")</f>
        <v>4.4</v>
      </c>
      <c r="G58" s="4" t="str">
        <f>HYPERLINK("http://141.218.60.56/~jnz1568/getInfo.php?workbook=14_13.xlsx&amp;sheet=U0&amp;row=58&amp;col=7&amp;number=0.767&amp;sourceID=14","0.767")</f>
        <v>0.767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HYPERLINK("http://141.218.60.56/~jnz1568/getInfo.php?workbook=14_13.xlsx&amp;sheet=U0&amp;row=59&amp;col=6&amp;number=4.5&amp;sourceID=14","4.5")</f>
        <v>4.5</v>
      </c>
      <c r="G59" s="4" t="str">
        <f>HYPERLINK("http://141.218.60.56/~jnz1568/getInfo.php?workbook=14_13.xlsx&amp;sheet=U0&amp;row=59&amp;col=7&amp;number=0.755&amp;sourceID=14","0.755")</f>
        <v>0.755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HYPERLINK("http://141.218.60.56/~jnz1568/getInfo.php?workbook=14_13.xlsx&amp;sheet=U0&amp;row=60&amp;col=6&amp;number=4.6&amp;sourceID=14","4.6")</f>
        <v>4.6</v>
      </c>
      <c r="G60" s="4" t="str">
        <f>HYPERLINK("http://141.218.60.56/~jnz1568/getInfo.php?workbook=14_13.xlsx&amp;sheet=U0&amp;row=60&amp;col=7&amp;number=0.738&amp;sourceID=14","0.738")</f>
        <v>0.738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HYPERLINK("http://141.218.60.56/~jnz1568/getInfo.php?workbook=14_13.xlsx&amp;sheet=U0&amp;row=61&amp;col=6&amp;number=4.7&amp;sourceID=14","4.7")</f>
        <v>4.7</v>
      </c>
      <c r="G61" s="4" t="str">
        <f>HYPERLINK("http://141.218.60.56/~jnz1568/getInfo.php?workbook=14_13.xlsx&amp;sheet=U0&amp;row=61&amp;col=7&amp;number=0.716&amp;sourceID=14","0.716")</f>
        <v>0.716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HYPERLINK("http://141.218.60.56/~jnz1568/getInfo.php?workbook=14_13.xlsx&amp;sheet=U0&amp;row=62&amp;col=6&amp;number=4.8&amp;sourceID=14","4.8")</f>
        <v>4.8</v>
      </c>
      <c r="G62" s="4" t="str">
        <f>HYPERLINK("http://141.218.60.56/~jnz1568/getInfo.php?workbook=14_13.xlsx&amp;sheet=U0&amp;row=62&amp;col=7&amp;number=0.689&amp;sourceID=14","0.689")</f>
        <v>0.689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HYPERLINK("http://141.218.60.56/~jnz1568/getInfo.php?workbook=14_13.xlsx&amp;sheet=U0&amp;row=63&amp;col=6&amp;number=4.9&amp;sourceID=14","4.9")</f>
        <v>4.9</v>
      </c>
      <c r="G63" s="4" t="str">
        <f>HYPERLINK("http://141.218.60.56/~jnz1568/getInfo.php?workbook=14_13.xlsx&amp;sheet=U0&amp;row=63&amp;col=7&amp;number=0.656&amp;sourceID=14","0.656")</f>
        <v>0.656</v>
      </c>
    </row>
    <row r="64" spans="1:7">
      <c r="A64" s="3">
        <v>14</v>
      </c>
      <c r="B64" s="3">
        <v>13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HYPERLINK("http://141.218.60.56/~jnz1568/getInfo.php?workbook=14_13.xlsx&amp;sheet=U0&amp;row=64&amp;col=6&amp;number=3&amp;sourceID=14","3")</f>
        <v>3</v>
      </c>
      <c r="G64" s="4" t="str">
        <f>HYPERLINK("http://141.218.60.56/~jnz1568/getInfo.php?workbook=14_13.xlsx&amp;sheet=U0&amp;row=64&amp;col=7&amp;number=0.57&amp;sourceID=14","0.57")</f>
        <v>0.57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HYPERLINK("http://141.218.60.56/~jnz1568/getInfo.php?workbook=14_13.xlsx&amp;sheet=U0&amp;row=65&amp;col=6&amp;number=3.1&amp;sourceID=14","3.1")</f>
        <v>3.1</v>
      </c>
      <c r="G65" s="4" t="str">
        <f>HYPERLINK("http://141.218.60.56/~jnz1568/getInfo.php?workbook=14_13.xlsx&amp;sheet=U0&amp;row=65&amp;col=7&amp;number=0.572&amp;sourceID=14","0.572")</f>
        <v>0.572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HYPERLINK("http://141.218.60.56/~jnz1568/getInfo.php?workbook=14_13.xlsx&amp;sheet=U0&amp;row=66&amp;col=6&amp;number=3.2&amp;sourceID=14","3.2")</f>
        <v>3.2</v>
      </c>
      <c r="G66" s="4" t="str">
        <f>HYPERLINK("http://141.218.60.56/~jnz1568/getInfo.php?workbook=14_13.xlsx&amp;sheet=U0&amp;row=66&amp;col=7&amp;number=0.574&amp;sourceID=14","0.574")</f>
        <v>0.574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HYPERLINK("http://141.218.60.56/~jnz1568/getInfo.php?workbook=14_13.xlsx&amp;sheet=U0&amp;row=67&amp;col=6&amp;number=3.3&amp;sourceID=14","3.3")</f>
        <v>3.3</v>
      </c>
      <c r="G67" s="4" t="str">
        <f>HYPERLINK("http://141.218.60.56/~jnz1568/getInfo.php?workbook=14_13.xlsx&amp;sheet=U0&amp;row=67&amp;col=7&amp;number=0.577&amp;sourceID=14","0.577")</f>
        <v>0.577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HYPERLINK("http://141.218.60.56/~jnz1568/getInfo.php?workbook=14_13.xlsx&amp;sheet=U0&amp;row=68&amp;col=6&amp;number=3.4&amp;sourceID=14","3.4")</f>
        <v>3.4</v>
      </c>
      <c r="G68" s="4" t="str">
        <f>HYPERLINK("http://141.218.60.56/~jnz1568/getInfo.php?workbook=14_13.xlsx&amp;sheet=U0&amp;row=68&amp;col=7&amp;number=0.58&amp;sourceID=14","0.58")</f>
        <v>0.58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HYPERLINK("http://141.218.60.56/~jnz1568/getInfo.php?workbook=14_13.xlsx&amp;sheet=U0&amp;row=69&amp;col=6&amp;number=3.5&amp;sourceID=14","3.5")</f>
        <v>3.5</v>
      </c>
      <c r="G69" s="4" t="str">
        <f>HYPERLINK("http://141.218.60.56/~jnz1568/getInfo.php?workbook=14_13.xlsx&amp;sheet=U0&amp;row=69&amp;col=7&amp;number=0.583&amp;sourceID=14","0.583")</f>
        <v>0.583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HYPERLINK("http://141.218.60.56/~jnz1568/getInfo.php?workbook=14_13.xlsx&amp;sheet=U0&amp;row=70&amp;col=6&amp;number=3.6&amp;sourceID=14","3.6")</f>
        <v>3.6</v>
      </c>
      <c r="G70" s="4" t="str">
        <f>HYPERLINK("http://141.218.60.56/~jnz1568/getInfo.php?workbook=14_13.xlsx&amp;sheet=U0&amp;row=70&amp;col=7&amp;number=0.586&amp;sourceID=14","0.586")</f>
        <v>0.586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HYPERLINK("http://141.218.60.56/~jnz1568/getInfo.php?workbook=14_13.xlsx&amp;sheet=U0&amp;row=71&amp;col=6&amp;number=3.7&amp;sourceID=14","3.7")</f>
        <v>3.7</v>
      </c>
      <c r="G71" s="4" t="str">
        <f>HYPERLINK("http://141.218.60.56/~jnz1568/getInfo.php?workbook=14_13.xlsx&amp;sheet=U0&amp;row=71&amp;col=7&amp;number=0.587&amp;sourceID=14","0.587")</f>
        <v>0.587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HYPERLINK("http://141.218.60.56/~jnz1568/getInfo.php?workbook=14_13.xlsx&amp;sheet=U0&amp;row=72&amp;col=6&amp;number=3.8&amp;sourceID=14","3.8")</f>
        <v>3.8</v>
      </c>
      <c r="G72" s="4" t="str">
        <f>HYPERLINK("http://141.218.60.56/~jnz1568/getInfo.php?workbook=14_13.xlsx&amp;sheet=U0&amp;row=72&amp;col=7&amp;number=0.586&amp;sourceID=14","0.586")</f>
        <v>0.586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HYPERLINK("http://141.218.60.56/~jnz1568/getInfo.php?workbook=14_13.xlsx&amp;sheet=U0&amp;row=73&amp;col=6&amp;number=3.9&amp;sourceID=14","3.9")</f>
        <v>3.9</v>
      </c>
      <c r="G73" s="4" t="str">
        <f>HYPERLINK("http://141.218.60.56/~jnz1568/getInfo.php?workbook=14_13.xlsx&amp;sheet=U0&amp;row=73&amp;col=7&amp;number=0.585&amp;sourceID=14","0.585")</f>
        <v>0.585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HYPERLINK("http://141.218.60.56/~jnz1568/getInfo.php?workbook=14_13.xlsx&amp;sheet=U0&amp;row=74&amp;col=6&amp;number=4&amp;sourceID=14","4")</f>
        <v>4</v>
      </c>
      <c r="G74" s="4" t="str">
        <f>HYPERLINK("http://141.218.60.56/~jnz1568/getInfo.php?workbook=14_13.xlsx&amp;sheet=U0&amp;row=74&amp;col=7&amp;number=0.583&amp;sourceID=14","0.583")</f>
        <v>0.583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HYPERLINK("http://141.218.60.56/~jnz1568/getInfo.php?workbook=14_13.xlsx&amp;sheet=U0&amp;row=75&amp;col=6&amp;number=4.1&amp;sourceID=14","4.1")</f>
        <v>4.1</v>
      </c>
      <c r="G75" s="4" t="str">
        <f>HYPERLINK("http://141.218.60.56/~jnz1568/getInfo.php?workbook=14_13.xlsx&amp;sheet=U0&amp;row=75&amp;col=7&amp;number=0.583&amp;sourceID=14","0.583")</f>
        <v>0.583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HYPERLINK("http://141.218.60.56/~jnz1568/getInfo.php?workbook=14_13.xlsx&amp;sheet=U0&amp;row=76&amp;col=6&amp;number=4.2&amp;sourceID=14","4.2")</f>
        <v>4.2</v>
      </c>
      <c r="G76" s="4" t="str">
        <f>HYPERLINK("http://141.218.60.56/~jnz1568/getInfo.php?workbook=14_13.xlsx&amp;sheet=U0&amp;row=76&amp;col=7&amp;number=0.583&amp;sourceID=14","0.583")</f>
        <v>0.583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HYPERLINK("http://141.218.60.56/~jnz1568/getInfo.php?workbook=14_13.xlsx&amp;sheet=U0&amp;row=77&amp;col=6&amp;number=4.3&amp;sourceID=14","4.3")</f>
        <v>4.3</v>
      </c>
      <c r="G77" s="4" t="str">
        <f>HYPERLINK("http://141.218.60.56/~jnz1568/getInfo.php?workbook=14_13.xlsx&amp;sheet=U0&amp;row=77&amp;col=7&amp;number=0.583&amp;sourceID=14","0.583")</f>
        <v>0.583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HYPERLINK("http://141.218.60.56/~jnz1568/getInfo.php?workbook=14_13.xlsx&amp;sheet=U0&amp;row=78&amp;col=6&amp;number=4.4&amp;sourceID=14","4.4")</f>
        <v>4.4</v>
      </c>
      <c r="G78" s="4" t="str">
        <f>HYPERLINK("http://141.218.60.56/~jnz1568/getInfo.php?workbook=14_13.xlsx&amp;sheet=U0&amp;row=78&amp;col=7&amp;number=0.58&amp;sourceID=14","0.58")</f>
        <v>0.58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HYPERLINK("http://141.218.60.56/~jnz1568/getInfo.php?workbook=14_13.xlsx&amp;sheet=U0&amp;row=79&amp;col=6&amp;number=4.5&amp;sourceID=14","4.5")</f>
        <v>4.5</v>
      </c>
      <c r="G79" s="4" t="str">
        <f>HYPERLINK("http://141.218.60.56/~jnz1568/getInfo.php?workbook=14_13.xlsx&amp;sheet=U0&amp;row=79&amp;col=7&amp;number=0.574&amp;sourceID=14","0.574")</f>
        <v>0.574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HYPERLINK("http://141.218.60.56/~jnz1568/getInfo.php?workbook=14_13.xlsx&amp;sheet=U0&amp;row=80&amp;col=6&amp;number=4.6&amp;sourceID=14","4.6")</f>
        <v>4.6</v>
      </c>
      <c r="G80" s="4" t="str">
        <f>HYPERLINK("http://141.218.60.56/~jnz1568/getInfo.php?workbook=14_13.xlsx&amp;sheet=U0&amp;row=80&amp;col=7&amp;number=0.561&amp;sourceID=14","0.561")</f>
        <v>0.561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HYPERLINK("http://141.218.60.56/~jnz1568/getInfo.php?workbook=14_13.xlsx&amp;sheet=U0&amp;row=81&amp;col=6&amp;number=4.7&amp;sourceID=14","4.7")</f>
        <v>4.7</v>
      </c>
      <c r="G81" s="4" t="str">
        <f>HYPERLINK("http://141.218.60.56/~jnz1568/getInfo.php?workbook=14_13.xlsx&amp;sheet=U0&amp;row=81&amp;col=7&amp;number=0.543&amp;sourceID=14","0.543")</f>
        <v>0.543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HYPERLINK("http://141.218.60.56/~jnz1568/getInfo.php?workbook=14_13.xlsx&amp;sheet=U0&amp;row=82&amp;col=6&amp;number=4.8&amp;sourceID=14","4.8")</f>
        <v>4.8</v>
      </c>
      <c r="G82" s="4" t="str">
        <f>HYPERLINK("http://141.218.60.56/~jnz1568/getInfo.php?workbook=14_13.xlsx&amp;sheet=U0&amp;row=82&amp;col=7&amp;number=0.519&amp;sourceID=14","0.519")</f>
        <v>0.519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HYPERLINK("http://141.218.60.56/~jnz1568/getInfo.php?workbook=14_13.xlsx&amp;sheet=U0&amp;row=83&amp;col=6&amp;number=4.9&amp;sourceID=14","4.9")</f>
        <v>4.9</v>
      </c>
      <c r="G83" s="4" t="str">
        <f>HYPERLINK("http://141.218.60.56/~jnz1568/getInfo.php?workbook=14_13.xlsx&amp;sheet=U0&amp;row=83&amp;col=7&amp;number=0.49&amp;sourceID=14","0.49")</f>
        <v>0.49</v>
      </c>
    </row>
    <row r="84" spans="1:7">
      <c r="A84" s="3">
        <v>14</v>
      </c>
      <c r="B84" s="3">
        <v>13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HYPERLINK("http://141.218.60.56/~jnz1568/getInfo.php?workbook=14_13.xlsx&amp;sheet=U0&amp;row=84&amp;col=6&amp;number=3&amp;sourceID=14","3")</f>
        <v>3</v>
      </c>
      <c r="G84" s="4" t="str">
        <f>HYPERLINK("http://141.218.60.56/~jnz1568/getInfo.php?workbook=14_13.xlsx&amp;sheet=U0&amp;row=84&amp;col=7&amp;number=2.59&amp;sourceID=14","2.59")</f>
        <v>2.59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HYPERLINK("http://141.218.60.56/~jnz1568/getInfo.php?workbook=14_13.xlsx&amp;sheet=U0&amp;row=85&amp;col=6&amp;number=3.1&amp;sourceID=14","3.1")</f>
        <v>3.1</v>
      </c>
      <c r="G85" s="4" t="str">
        <f>HYPERLINK("http://141.218.60.56/~jnz1568/getInfo.php?workbook=14_13.xlsx&amp;sheet=U0&amp;row=85&amp;col=7&amp;number=2.61&amp;sourceID=14","2.61")</f>
        <v>2.61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HYPERLINK("http://141.218.60.56/~jnz1568/getInfo.php?workbook=14_13.xlsx&amp;sheet=U0&amp;row=86&amp;col=6&amp;number=3.2&amp;sourceID=14","3.2")</f>
        <v>3.2</v>
      </c>
      <c r="G86" s="4" t="str">
        <f>HYPERLINK("http://141.218.60.56/~jnz1568/getInfo.php?workbook=14_13.xlsx&amp;sheet=U0&amp;row=86&amp;col=7&amp;number=2.64&amp;sourceID=14","2.64")</f>
        <v>2.64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HYPERLINK("http://141.218.60.56/~jnz1568/getInfo.php?workbook=14_13.xlsx&amp;sheet=U0&amp;row=87&amp;col=6&amp;number=3.3&amp;sourceID=14","3.3")</f>
        <v>3.3</v>
      </c>
      <c r="G87" s="4" t="str">
        <f>HYPERLINK("http://141.218.60.56/~jnz1568/getInfo.php?workbook=14_13.xlsx&amp;sheet=U0&amp;row=87&amp;col=7&amp;number=2.66&amp;sourceID=14","2.66")</f>
        <v>2.66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HYPERLINK("http://141.218.60.56/~jnz1568/getInfo.php?workbook=14_13.xlsx&amp;sheet=U0&amp;row=88&amp;col=6&amp;number=3.4&amp;sourceID=14","3.4")</f>
        <v>3.4</v>
      </c>
      <c r="G88" s="4" t="str">
        <f>HYPERLINK("http://141.218.60.56/~jnz1568/getInfo.php?workbook=14_13.xlsx&amp;sheet=U0&amp;row=88&amp;col=7&amp;number=2.69&amp;sourceID=14","2.69")</f>
        <v>2.69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HYPERLINK("http://141.218.60.56/~jnz1568/getInfo.php?workbook=14_13.xlsx&amp;sheet=U0&amp;row=89&amp;col=6&amp;number=3.5&amp;sourceID=14","3.5")</f>
        <v>3.5</v>
      </c>
      <c r="G89" s="4" t="str">
        <f>HYPERLINK("http://141.218.60.56/~jnz1568/getInfo.php?workbook=14_13.xlsx&amp;sheet=U0&amp;row=89&amp;col=7&amp;number=2.72&amp;sourceID=14","2.72")</f>
        <v>2.72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HYPERLINK("http://141.218.60.56/~jnz1568/getInfo.php?workbook=14_13.xlsx&amp;sheet=U0&amp;row=90&amp;col=6&amp;number=3.6&amp;sourceID=14","3.6")</f>
        <v>3.6</v>
      </c>
      <c r="G90" s="4" t="str">
        <f>HYPERLINK("http://141.218.60.56/~jnz1568/getInfo.php?workbook=14_13.xlsx&amp;sheet=U0&amp;row=90&amp;col=7&amp;number=2.75&amp;sourceID=14","2.75")</f>
        <v>2.75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HYPERLINK("http://141.218.60.56/~jnz1568/getInfo.php?workbook=14_13.xlsx&amp;sheet=U0&amp;row=91&amp;col=6&amp;number=3.7&amp;sourceID=14","3.7")</f>
        <v>3.7</v>
      </c>
      <c r="G91" s="4" t="str">
        <f>HYPERLINK("http://141.218.60.56/~jnz1568/getInfo.php?workbook=14_13.xlsx&amp;sheet=U0&amp;row=91&amp;col=7&amp;number=2.78&amp;sourceID=14","2.78")</f>
        <v>2.78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HYPERLINK("http://141.218.60.56/~jnz1568/getInfo.php?workbook=14_13.xlsx&amp;sheet=U0&amp;row=92&amp;col=6&amp;number=3.8&amp;sourceID=14","3.8")</f>
        <v>3.8</v>
      </c>
      <c r="G92" s="4" t="str">
        <f>HYPERLINK("http://141.218.60.56/~jnz1568/getInfo.php?workbook=14_13.xlsx&amp;sheet=U0&amp;row=92&amp;col=7&amp;number=2.78&amp;sourceID=14","2.78")</f>
        <v>2.78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HYPERLINK("http://141.218.60.56/~jnz1568/getInfo.php?workbook=14_13.xlsx&amp;sheet=U0&amp;row=93&amp;col=6&amp;number=3.9&amp;sourceID=14","3.9")</f>
        <v>3.9</v>
      </c>
      <c r="G93" s="4" t="str">
        <f>HYPERLINK("http://141.218.60.56/~jnz1568/getInfo.php?workbook=14_13.xlsx&amp;sheet=U0&amp;row=93&amp;col=7&amp;number=2.77&amp;sourceID=14","2.77")</f>
        <v>2.77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HYPERLINK("http://141.218.60.56/~jnz1568/getInfo.php?workbook=14_13.xlsx&amp;sheet=U0&amp;row=94&amp;col=6&amp;number=4&amp;sourceID=14","4")</f>
        <v>4</v>
      </c>
      <c r="G94" s="4" t="str">
        <f>HYPERLINK("http://141.218.60.56/~jnz1568/getInfo.php?workbook=14_13.xlsx&amp;sheet=U0&amp;row=94&amp;col=7&amp;number=2.74&amp;sourceID=14","2.74")</f>
        <v>2.74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HYPERLINK("http://141.218.60.56/~jnz1568/getInfo.php?workbook=14_13.xlsx&amp;sheet=U0&amp;row=95&amp;col=6&amp;number=4.1&amp;sourceID=14","4.1")</f>
        <v>4.1</v>
      </c>
      <c r="G95" s="4" t="str">
        <f>HYPERLINK("http://141.218.60.56/~jnz1568/getInfo.php?workbook=14_13.xlsx&amp;sheet=U0&amp;row=95&amp;col=7&amp;number=2.69&amp;sourceID=14","2.69")</f>
        <v>2.69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HYPERLINK("http://141.218.60.56/~jnz1568/getInfo.php?workbook=14_13.xlsx&amp;sheet=U0&amp;row=96&amp;col=6&amp;number=4.2&amp;sourceID=14","4.2")</f>
        <v>4.2</v>
      </c>
      <c r="G96" s="4" t="str">
        <f>HYPERLINK("http://141.218.60.56/~jnz1568/getInfo.php?workbook=14_13.xlsx&amp;sheet=U0&amp;row=96&amp;col=7&amp;number=2.61&amp;sourceID=14","2.61")</f>
        <v>2.61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HYPERLINK("http://141.218.60.56/~jnz1568/getInfo.php?workbook=14_13.xlsx&amp;sheet=U0&amp;row=97&amp;col=6&amp;number=4.3&amp;sourceID=14","4.3")</f>
        <v>4.3</v>
      </c>
      <c r="G97" s="4" t="str">
        <f>HYPERLINK("http://141.218.60.56/~jnz1568/getInfo.php?workbook=14_13.xlsx&amp;sheet=U0&amp;row=97&amp;col=7&amp;number=2.5&amp;sourceID=14","2.5")</f>
        <v>2.5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HYPERLINK("http://141.218.60.56/~jnz1568/getInfo.php?workbook=14_13.xlsx&amp;sheet=U0&amp;row=98&amp;col=6&amp;number=4.4&amp;sourceID=14","4.4")</f>
        <v>4.4</v>
      </c>
      <c r="G98" s="4" t="str">
        <f>HYPERLINK("http://141.218.60.56/~jnz1568/getInfo.php?workbook=14_13.xlsx&amp;sheet=U0&amp;row=98&amp;col=7&amp;number=2.37&amp;sourceID=14","2.37")</f>
        <v>2.37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HYPERLINK("http://141.218.60.56/~jnz1568/getInfo.php?workbook=14_13.xlsx&amp;sheet=U0&amp;row=99&amp;col=6&amp;number=4.5&amp;sourceID=14","4.5")</f>
        <v>4.5</v>
      </c>
      <c r="G99" s="4" t="str">
        <f>HYPERLINK("http://141.218.60.56/~jnz1568/getInfo.php?workbook=14_13.xlsx&amp;sheet=U0&amp;row=99&amp;col=7&amp;number=2.22&amp;sourceID=14","2.22")</f>
        <v>2.22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HYPERLINK("http://141.218.60.56/~jnz1568/getInfo.php?workbook=14_13.xlsx&amp;sheet=U0&amp;row=100&amp;col=6&amp;number=4.6&amp;sourceID=14","4.6")</f>
        <v>4.6</v>
      </c>
      <c r="G100" s="4" t="str">
        <f>HYPERLINK("http://141.218.60.56/~jnz1568/getInfo.php?workbook=14_13.xlsx&amp;sheet=U0&amp;row=100&amp;col=7&amp;number=2.06&amp;sourceID=14","2.06")</f>
        <v>2.06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HYPERLINK("http://141.218.60.56/~jnz1568/getInfo.php?workbook=14_13.xlsx&amp;sheet=U0&amp;row=101&amp;col=6&amp;number=4.7&amp;sourceID=14","4.7")</f>
        <v>4.7</v>
      </c>
      <c r="G101" s="4" t="str">
        <f>HYPERLINK("http://141.218.60.56/~jnz1568/getInfo.php?workbook=14_13.xlsx&amp;sheet=U0&amp;row=101&amp;col=7&amp;number=1.89&amp;sourceID=14","1.89")</f>
        <v>1.89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HYPERLINK("http://141.218.60.56/~jnz1568/getInfo.php?workbook=14_13.xlsx&amp;sheet=U0&amp;row=102&amp;col=6&amp;number=4.8&amp;sourceID=14","4.8")</f>
        <v>4.8</v>
      </c>
      <c r="G102" s="4" t="str">
        <f>HYPERLINK("http://141.218.60.56/~jnz1568/getInfo.php?workbook=14_13.xlsx&amp;sheet=U0&amp;row=102&amp;col=7&amp;number=1.73&amp;sourceID=14","1.73")</f>
        <v>1.73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HYPERLINK("http://141.218.60.56/~jnz1568/getInfo.php?workbook=14_13.xlsx&amp;sheet=U0&amp;row=103&amp;col=6&amp;number=4.9&amp;sourceID=14","4.9")</f>
        <v>4.9</v>
      </c>
      <c r="G103" s="4" t="str">
        <f>HYPERLINK("http://141.218.60.56/~jnz1568/getInfo.php?workbook=14_13.xlsx&amp;sheet=U0&amp;row=103&amp;col=7&amp;number=1.57&amp;sourceID=14","1.57")</f>
        <v>1.57</v>
      </c>
    </row>
    <row r="104" spans="1:7">
      <c r="A104" s="3">
        <v>14</v>
      </c>
      <c r="B104" s="3">
        <v>13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HYPERLINK("http://141.218.60.56/~jnz1568/getInfo.php?workbook=14_13.xlsx&amp;sheet=U0&amp;row=104&amp;col=6&amp;number=3&amp;sourceID=14","3")</f>
        <v>3</v>
      </c>
      <c r="G104" s="4" t="str">
        <f>HYPERLINK("http://141.218.60.56/~jnz1568/getInfo.php?workbook=14_13.xlsx&amp;sheet=U0&amp;row=104&amp;col=7&amp;number=2.66&amp;sourceID=14","2.66")</f>
        <v>2.66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HYPERLINK("http://141.218.60.56/~jnz1568/getInfo.php?workbook=14_13.xlsx&amp;sheet=U0&amp;row=105&amp;col=6&amp;number=3.1&amp;sourceID=14","3.1")</f>
        <v>3.1</v>
      </c>
      <c r="G105" s="4" t="str">
        <f>HYPERLINK("http://141.218.60.56/~jnz1568/getInfo.php?workbook=14_13.xlsx&amp;sheet=U0&amp;row=105&amp;col=7&amp;number=2.69&amp;sourceID=14","2.69")</f>
        <v>2.69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HYPERLINK("http://141.218.60.56/~jnz1568/getInfo.php?workbook=14_13.xlsx&amp;sheet=U0&amp;row=106&amp;col=6&amp;number=3.2&amp;sourceID=14","3.2")</f>
        <v>3.2</v>
      </c>
      <c r="G106" s="4" t="str">
        <f>HYPERLINK("http://141.218.60.56/~jnz1568/getInfo.php?workbook=14_13.xlsx&amp;sheet=U0&amp;row=106&amp;col=7&amp;number=2.73&amp;sourceID=14","2.73")</f>
        <v>2.73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HYPERLINK("http://141.218.60.56/~jnz1568/getInfo.php?workbook=14_13.xlsx&amp;sheet=U0&amp;row=107&amp;col=6&amp;number=3.3&amp;sourceID=14","3.3")</f>
        <v>3.3</v>
      </c>
      <c r="G107" s="4" t="str">
        <f>HYPERLINK("http://141.218.60.56/~jnz1568/getInfo.php?workbook=14_13.xlsx&amp;sheet=U0&amp;row=107&amp;col=7&amp;number=2.77&amp;sourceID=14","2.77")</f>
        <v>2.77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HYPERLINK("http://141.218.60.56/~jnz1568/getInfo.php?workbook=14_13.xlsx&amp;sheet=U0&amp;row=108&amp;col=6&amp;number=3.4&amp;sourceID=14","3.4")</f>
        <v>3.4</v>
      </c>
      <c r="G108" s="4" t="str">
        <f>HYPERLINK("http://141.218.60.56/~jnz1568/getInfo.php?workbook=14_13.xlsx&amp;sheet=U0&amp;row=108&amp;col=7&amp;number=2.81&amp;sourceID=14","2.81")</f>
        <v>2.81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HYPERLINK("http://141.218.60.56/~jnz1568/getInfo.php?workbook=14_13.xlsx&amp;sheet=U0&amp;row=109&amp;col=6&amp;number=3.5&amp;sourceID=14","3.5")</f>
        <v>3.5</v>
      </c>
      <c r="G109" s="4" t="str">
        <f>HYPERLINK("http://141.218.60.56/~jnz1568/getInfo.php?workbook=14_13.xlsx&amp;sheet=U0&amp;row=109&amp;col=7&amp;number=2.86&amp;sourceID=14","2.86")</f>
        <v>2.86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HYPERLINK("http://141.218.60.56/~jnz1568/getInfo.php?workbook=14_13.xlsx&amp;sheet=U0&amp;row=110&amp;col=6&amp;number=3.6&amp;sourceID=14","3.6")</f>
        <v>3.6</v>
      </c>
      <c r="G110" s="4" t="str">
        <f>HYPERLINK("http://141.218.60.56/~jnz1568/getInfo.php?workbook=14_13.xlsx&amp;sheet=U0&amp;row=110&amp;col=7&amp;number=2.91&amp;sourceID=14","2.91")</f>
        <v>2.91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HYPERLINK("http://141.218.60.56/~jnz1568/getInfo.php?workbook=14_13.xlsx&amp;sheet=U0&amp;row=111&amp;col=6&amp;number=3.7&amp;sourceID=14","3.7")</f>
        <v>3.7</v>
      </c>
      <c r="G111" s="4" t="str">
        <f>HYPERLINK("http://141.218.60.56/~jnz1568/getInfo.php?workbook=14_13.xlsx&amp;sheet=U0&amp;row=111&amp;col=7&amp;number=2.95&amp;sourceID=14","2.95")</f>
        <v>2.95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HYPERLINK("http://141.218.60.56/~jnz1568/getInfo.php?workbook=14_13.xlsx&amp;sheet=U0&amp;row=112&amp;col=6&amp;number=3.8&amp;sourceID=14","3.8")</f>
        <v>3.8</v>
      </c>
      <c r="G112" s="4" t="str">
        <f>HYPERLINK("http://141.218.60.56/~jnz1568/getInfo.php?workbook=14_13.xlsx&amp;sheet=U0&amp;row=112&amp;col=7&amp;number=2.97&amp;sourceID=14","2.97")</f>
        <v>2.97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HYPERLINK("http://141.218.60.56/~jnz1568/getInfo.php?workbook=14_13.xlsx&amp;sheet=U0&amp;row=113&amp;col=6&amp;number=3.9&amp;sourceID=14","3.9")</f>
        <v>3.9</v>
      </c>
      <c r="G113" s="4" t="str">
        <f>HYPERLINK("http://141.218.60.56/~jnz1568/getInfo.php?workbook=14_13.xlsx&amp;sheet=U0&amp;row=113&amp;col=7&amp;number=2.98&amp;sourceID=14","2.98")</f>
        <v>2.98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HYPERLINK("http://141.218.60.56/~jnz1568/getInfo.php?workbook=14_13.xlsx&amp;sheet=U0&amp;row=114&amp;col=6&amp;number=4&amp;sourceID=14","4")</f>
        <v>4</v>
      </c>
      <c r="G114" s="4" t="str">
        <f>HYPERLINK("http://141.218.60.56/~jnz1568/getInfo.php?workbook=14_13.xlsx&amp;sheet=U0&amp;row=114&amp;col=7&amp;number=2.98&amp;sourceID=14","2.98")</f>
        <v>2.98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HYPERLINK("http://141.218.60.56/~jnz1568/getInfo.php?workbook=14_13.xlsx&amp;sheet=U0&amp;row=115&amp;col=6&amp;number=4.1&amp;sourceID=14","4.1")</f>
        <v>4.1</v>
      </c>
      <c r="G115" s="4" t="str">
        <f>HYPERLINK("http://141.218.60.56/~jnz1568/getInfo.php?workbook=14_13.xlsx&amp;sheet=U0&amp;row=115&amp;col=7&amp;number=2.94&amp;sourceID=14","2.94")</f>
        <v>2.94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HYPERLINK("http://141.218.60.56/~jnz1568/getInfo.php?workbook=14_13.xlsx&amp;sheet=U0&amp;row=116&amp;col=6&amp;number=4.2&amp;sourceID=14","4.2")</f>
        <v>4.2</v>
      </c>
      <c r="G116" s="4" t="str">
        <f>HYPERLINK("http://141.218.60.56/~jnz1568/getInfo.php?workbook=14_13.xlsx&amp;sheet=U0&amp;row=116&amp;col=7&amp;number=2.89&amp;sourceID=14","2.89")</f>
        <v>2.89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HYPERLINK("http://141.218.60.56/~jnz1568/getInfo.php?workbook=14_13.xlsx&amp;sheet=U0&amp;row=117&amp;col=6&amp;number=4.3&amp;sourceID=14","4.3")</f>
        <v>4.3</v>
      </c>
      <c r="G117" s="4" t="str">
        <f>HYPERLINK("http://141.218.60.56/~jnz1568/getInfo.php?workbook=14_13.xlsx&amp;sheet=U0&amp;row=117&amp;col=7&amp;number=2.8&amp;sourceID=14","2.8")</f>
        <v>2.8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HYPERLINK("http://141.218.60.56/~jnz1568/getInfo.php?workbook=14_13.xlsx&amp;sheet=U0&amp;row=118&amp;col=6&amp;number=4.4&amp;sourceID=14","4.4")</f>
        <v>4.4</v>
      </c>
      <c r="G118" s="4" t="str">
        <f>HYPERLINK("http://141.218.60.56/~jnz1568/getInfo.php?workbook=14_13.xlsx&amp;sheet=U0&amp;row=118&amp;col=7&amp;number=2.69&amp;sourceID=14","2.69")</f>
        <v>2.69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HYPERLINK("http://141.218.60.56/~jnz1568/getInfo.php?workbook=14_13.xlsx&amp;sheet=U0&amp;row=119&amp;col=6&amp;number=4.5&amp;sourceID=14","4.5")</f>
        <v>4.5</v>
      </c>
      <c r="G119" s="4" t="str">
        <f>HYPERLINK("http://141.218.60.56/~jnz1568/getInfo.php?workbook=14_13.xlsx&amp;sheet=U0&amp;row=119&amp;col=7&amp;number=2.55&amp;sourceID=14","2.55")</f>
        <v>2.55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HYPERLINK("http://141.218.60.56/~jnz1568/getInfo.php?workbook=14_13.xlsx&amp;sheet=U0&amp;row=120&amp;col=6&amp;number=4.6&amp;sourceID=14","4.6")</f>
        <v>4.6</v>
      </c>
      <c r="G120" s="4" t="str">
        <f>HYPERLINK("http://141.218.60.56/~jnz1568/getInfo.php?workbook=14_13.xlsx&amp;sheet=U0&amp;row=120&amp;col=7&amp;number=2.39&amp;sourceID=14","2.39")</f>
        <v>2.39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HYPERLINK("http://141.218.60.56/~jnz1568/getInfo.php?workbook=14_13.xlsx&amp;sheet=U0&amp;row=121&amp;col=6&amp;number=4.7&amp;sourceID=14","4.7")</f>
        <v>4.7</v>
      </c>
      <c r="G121" s="4" t="str">
        <f>HYPERLINK("http://141.218.60.56/~jnz1568/getInfo.php?workbook=14_13.xlsx&amp;sheet=U0&amp;row=121&amp;col=7&amp;number=2.22&amp;sourceID=14","2.22")</f>
        <v>2.22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HYPERLINK("http://141.218.60.56/~jnz1568/getInfo.php?workbook=14_13.xlsx&amp;sheet=U0&amp;row=122&amp;col=6&amp;number=4.8&amp;sourceID=14","4.8")</f>
        <v>4.8</v>
      </c>
      <c r="G122" s="4" t="str">
        <f>HYPERLINK("http://141.218.60.56/~jnz1568/getInfo.php?workbook=14_13.xlsx&amp;sheet=U0&amp;row=122&amp;col=7&amp;number=2.05&amp;sourceID=14","2.05")</f>
        <v>2.05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HYPERLINK("http://141.218.60.56/~jnz1568/getInfo.php?workbook=14_13.xlsx&amp;sheet=U0&amp;row=123&amp;col=6&amp;number=4.9&amp;sourceID=14","4.9")</f>
        <v>4.9</v>
      </c>
      <c r="G123" s="4" t="str">
        <f>HYPERLINK("http://141.218.60.56/~jnz1568/getInfo.php?workbook=14_13.xlsx&amp;sheet=U0&amp;row=123&amp;col=7&amp;number=1.88&amp;sourceID=14","1.88")</f>
        <v>1.88</v>
      </c>
    </row>
    <row r="124" spans="1:7">
      <c r="A124" s="3">
        <v>14</v>
      </c>
      <c r="B124" s="3">
        <v>13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HYPERLINK("http://141.218.60.56/~jnz1568/getInfo.php?workbook=14_13.xlsx&amp;sheet=U0&amp;row=124&amp;col=6&amp;number=3&amp;sourceID=14","3")</f>
        <v>3</v>
      </c>
      <c r="G124" s="4" t="str">
        <f>HYPERLINK("http://141.218.60.56/~jnz1568/getInfo.php?workbook=14_13.xlsx&amp;sheet=U0&amp;row=124&amp;col=7&amp;number=0.787&amp;sourceID=14","0.787")</f>
        <v>0.787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HYPERLINK("http://141.218.60.56/~jnz1568/getInfo.php?workbook=14_13.xlsx&amp;sheet=U0&amp;row=125&amp;col=6&amp;number=3.1&amp;sourceID=14","3.1")</f>
        <v>3.1</v>
      </c>
      <c r="G125" s="4" t="str">
        <f>HYPERLINK("http://141.218.60.56/~jnz1568/getInfo.php?workbook=14_13.xlsx&amp;sheet=U0&amp;row=125&amp;col=7&amp;number=0.811&amp;sourceID=14","0.811")</f>
        <v>0.811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HYPERLINK("http://141.218.60.56/~jnz1568/getInfo.php?workbook=14_13.xlsx&amp;sheet=U0&amp;row=126&amp;col=6&amp;number=3.2&amp;sourceID=14","3.2")</f>
        <v>3.2</v>
      </c>
      <c r="G126" s="4" t="str">
        <f>HYPERLINK("http://141.218.60.56/~jnz1568/getInfo.php?workbook=14_13.xlsx&amp;sheet=U0&amp;row=126&amp;col=7&amp;number=0.839&amp;sourceID=14","0.839")</f>
        <v>0.839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HYPERLINK("http://141.218.60.56/~jnz1568/getInfo.php?workbook=14_13.xlsx&amp;sheet=U0&amp;row=127&amp;col=6&amp;number=3.3&amp;sourceID=14","3.3")</f>
        <v>3.3</v>
      </c>
      <c r="G127" s="4" t="str">
        <f>HYPERLINK("http://141.218.60.56/~jnz1568/getInfo.php?workbook=14_13.xlsx&amp;sheet=U0&amp;row=127&amp;col=7&amp;number=0.874&amp;sourceID=14","0.874")</f>
        <v>0.874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HYPERLINK("http://141.218.60.56/~jnz1568/getInfo.php?workbook=14_13.xlsx&amp;sheet=U0&amp;row=128&amp;col=6&amp;number=3.4&amp;sourceID=14","3.4")</f>
        <v>3.4</v>
      </c>
      <c r="G128" s="4" t="str">
        <f>HYPERLINK("http://141.218.60.56/~jnz1568/getInfo.php?workbook=14_13.xlsx&amp;sheet=U0&amp;row=128&amp;col=7&amp;number=0.913&amp;sourceID=14","0.913")</f>
        <v>0.913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HYPERLINK("http://141.218.60.56/~jnz1568/getInfo.php?workbook=14_13.xlsx&amp;sheet=U0&amp;row=129&amp;col=6&amp;number=3.5&amp;sourceID=14","3.5")</f>
        <v>3.5</v>
      </c>
      <c r="G129" s="4" t="str">
        <f>HYPERLINK("http://141.218.60.56/~jnz1568/getInfo.php?workbook=14_13.xlsx&amp;sheet=U0&amp;row=129&amp;col=7&amp;number=0.955&amp;sourceID=14","0.955")</f>
        <v>0.955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HYPERLINK("http://141.218.60.56/~jnz1568/getInfo.php?workbook=14_13.xlsx&amp;sheet=U0&amp;row=130&amp;col=6&amp;number=3.6&amp;sourceID=14","3.6")</f>
        <v>3.6</v>
      </c>
      <c r="G130" s="4" t="str">
        <f>HYPERLINK("http://141.218.60.56/~jnz1568/getInfo.php?workbook=14_13.xlsx&amp;sheet=U0&amp;row=130&amp;col=7&amp;number=0.998&amp;sourceID=14","0.998")</f>
        <v>0.998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HYPERLINK("http://141.218.60.56/~jnz1568/getInfo.php?workbook=14_13.xlsx&amp;sheet=U0&amp;row=131&amp;col=6&amp;number=3.7&amp;sourceID=14","3.7")</f>
        <v>3.7</v>
      </c>
      <c r="G131" s="4" t="str">
        <f>HYPERLINK("http://141.218.60.56/~jnz1568/getInfo.php?workbook=14_13.xlsx&amp;sheet=U0&amp;row=131&amp;col=7&amp;number=1.04&amp;sourceID=14","1.04")</f>
        <v>1.04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HYPERLINK("http://141.218.60.56/~jnz1568/getInfo.php?workbook=14_13.xlsx&amp;sheet=U0&amp;row=132&amp;col=6&amp;number=3.8&amp;sourceID=14","3.8")</f>
        <v>3.8</v>
      </c>
      <c r="G132" s="4" t="str">
        <f>HYPERLINK("http://141.218.60.56/~jnz1568/getInfo.php?workbook=14_13.xlsx&amp;sheet=U0&amp;row=132&amp;col=7&amp;number=1.06&amp;sourceID=14","1.06")</f>
        <v>1.06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HYPERLINK("http://141.218.60.56/~jnz1568/getInfo.php?workbook=14_13.xlsx&amp;sheet=U0&amp;row=133&amp;col=6&amp;number=3.9&amp;sourceID=14","3.9")</f>
        <v>3.9</v>
      </c>
      <c r="G133" s="4" t="str">
        <f>HYPERLINK("http://141.218.60.56/~jnz1568/getInfo.php?workbook=14_13.xlsx&amp;sheet=U0&amp;row=133&amp;col=7&amp;number=1.07&amp;sourceID=14","1.07")</f>
        <v>1.07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HYPERLINK("http://141.218.60.56/~jnz1568/getInfo.php?workbook=14_13.xlsx&amp;sheet=U0&amp;row=134&amp;col=6&amp;number=4&amp;sourceID=14","4")</f>
        <v>4</v>
      </c>
      <c r="G134" s="4" t="str">
        <f>HYPERLINK("http://141.218.60.56/~jnz1568/getInfo.php?workbook=14_13.xlsx&amp;sheet=U0&amp;row=134&amp;col=7&amp;number=1.06&amp;sourceID=14","1.06")</f>
        <v>1.06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HYPERLINK("http://141.218.60.56/~jnz1568/getInfo.php?workbook=14_13.xlsx&amp;sheet=U0&amp;row=135&amp;col=6&amp;number=4.1&amp;sourceID=14","4.1")</f>
        <v>4.1</v>
      </c>
      <c r="G135" s="4" t="str">
        <f>HYPERLINK("http://141.218.60.56/~jnz1568/getInfo.php?workbook=14_13.xlsx&amp;sheet=U0&amp;row=135&amp;col=7&amp;number=1.05&amp;sourceID=14","1.05")</f>
        <v>1.05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HYPERLINK("http://141.218.60.56/~jnz1568/getInfo.php?workbook=14_13.xlsx&amp;sheet=U0&amp;row=136&amp;col=6&amp;number=4.2&amp;sourceID=14","4.2")</f>
        <v>4.2</v>
      </c>
      <c r="G136" s="4" t="str">
        <f>HYPERLINK("http://141.218.60.56/~jnz1568/getInfo.php?workbook=14_13.xlsx&amp;sheet=U0&amp;row=136&amp;col=7&amp;number=1.02&amp;sourceID=14","1.02")</f>
        <v>1.02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HYPERLINK("http://141.218.60.56/~jnz1568/getInfo.php?workbook=14_13.xlsx&amp;sheet=U0&amp;row=137&amp;col=6&amp;number=4.3&amp;sourceID=14","4.3")</f>
        <v>4.3</v>
      </c>
      <c r="G137" s="4" t="str">
        <f>HYPERLINK("http://141.218.60.56/~jnz1568/getInfo.php?workbook=14_13.xlsx&amp;sheet=U0&amp;row=137&amp;col=7&amp;number=0.981&amp;sourceID=14","0.981")</f>
        <v>0.981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HYPERLINK("http://141.218.60.56/~jnz1568/getInfo.php?workbook=14_13.xlsx&amp;sheet=U0&amp;row=138&amp;col=6&amp;number=4.4&amp;sourceID=14","4.4")</f>
        <v>4.4</v>
      </c>
      <c r="G138" s="4" t="str">
        <f>HYPERLINK("http://141.218.60.56/~jnz1568/getInfo.php?workbook=14_13.xlsx&amp;sheet=U0&amp;row=138&amp;col=7&amp;number=0.941&amp;sourceID=14","0.941")</f>
        <v>0.941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HYPERLINK("http://141.218.60.56/~jnz1568/getInfo.php?workbook=14_13.xlsx&amp;sheet=U0&amp;row=139&amp;col=6&amp;number=4.5&amp;sourceID=14","4.5")</f>
        <v>4.5</v>
      </c>
      <c r="G139" s="4" t="str">
        <f>HYPERLINK("http://141.218.60.56/~jnz1568/getInfo.php?workbook=14_13.xlsx&amp;sheet=U0&amp;row=139&amp;col=7&amp;number=0.904&amp;sourceID=14","0.904")</f>
        <v>0.904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HYPERLINK("http://141.218.60.56/~jnz1568/getInfo.php?workbook=14_13.xlsx&amp;sheet=U0&amp;row=140&amp;col=6&amp;number=4.6&amp;sourceID=14","4.6")</f>
        <v>4.6</v>
      </c>
      <c r="G140" s="4" t="str">
        <f>HYPERLINK("http://141.218.60.56/~jnz1568/getInfo.php?workbook=14_13.xlsx&amp;sheet=U0&amp;row=140&amp;col=7&amp;number=0.877&amp;sourceID=14","0.877")</f>
        <v>0.877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HYPERLINK("http://141.218.60.56/~jnz1568/getInfo.php?workbook=14_13.xlsx&amp;sheet=U0&amp;row=141&amp;col=6&amp;number=4.7&amp;sourceID=14","4.7")</f>
        <v>4.7</v>
      </c>
      <c r="G141" s="4" t="str">
        <f>HYPERLINK("http://141.218.60.56/~jnz1568/getInfo.php?workbook=14_13.xlsx&amp;sheet=U0&amp;row=141&amp;col=7&amp;number=0.864&amp;sourceID=14","0.864")</f>
        <v>0.864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HYPERLINK("http://141.218.60.56/~jnz1568/getInfo.php?workbook=14_13.xlsx&amp;sheet=U0&amp;row=142&amp;col=6&amp;number=4.8&amp;sourceID=14","4.8")</f>
        <v>4.8</v>
      </c>
      <c r="G142" s="4" t="str">
        <f>HYPERLINK("http://141.218.60.56/~jnz1568/getInfo.php?workbook=14_13.xlsx&amp;sheet=U0&amp;row=142&amp;col=7&amp;number=0.871&amp;sourceID=14","0.871")</f>
        <v>0.871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HYPERLINK("http://141.218.60.56/~jnz1568/getInfo.php?workbook=14_13.xlsx&amp;sheet=U0&amp;row=143&amp;col=6&amp;number=4.9&amp;sourceID=14","4.9")</f>
        <v>4.9</v>
      </c>
      <c r="G143" s="4" t="str">
        <f>HYPERLINK("http://141.218.60.56/~jnz1568/getInfo.php?workbook=14_13.xlsx&amp;sheet=U0&amp;row=143&amp;col=7&amp;number=0.899&amp;sourceID=14","0.899")</f>
        <v>0.899</v>
      </c>
    </row>
    <row r="144" spans="1:7">
      <c r="A144" s="3">
        <v>14</v>
      </c>
      <c r="B144" s="3">
        <v>13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HYPERLINK("http://141.218.60.56/~jnz1568/getInfo.php?workbook=14_13.xlsx&amp;sheet=U0&amp;row=144&amp;col=6&amp;number=3&amp;sourceID=14","3")</f>
        <v>3</v>
      </c>
      <c r="G144" s="4" t="str">
        <f>HYPERLINK("http://141.218.60.56/~jnz1568/getInfo.php?workbook=14_13.xlsx&amp;sheet=U0&amp;row=144&amp;col=7&amp;number=1.05&amp;sourceID=14","1.05")</f>
        <v>1.05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HYPERLINK("http://141.218.60.56/~jnz1568/getInfo.php?workbook=14_13.xlsx&amp;sheet=U0&amp;row=145&amp;col=6&amp;number=3.1&amp;sourceID=14","3.1")</f>
        <v>3.1</v>
      </c>
      <c r="G145" s="4" t="str">
        <f>HYPERLINK("http://141.218.60.56/~jnz1568/getInfo.php?workbook=14_13.xlsx&amp;sheet=U0&amp;row=145&amp;col=7&amp;number=1.05&amp;sourceID=14","1.05")</f>
        <v>1.05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HYPERLINK("http://141.218.60.56/~jnz1568/getInfo.php?workbook=14_13.xlsx&amp;sheet=U0&amp;row=146&amp;col=6&amp;number=3.2&amp;sourceID=14","3.2")</f>
        <v>3.2</v>
      </c>
      <c r="G146" s="4" t="str">
        <f>HYPERLINK("http://141.218.60.56/~jnz1568/getInfo.php?workbook=14_13.xlsx&amp;sheet=U0&amp;row=146&amp;col=7&amp;number=1.05&amp;sourceID=14","1.05")</f>
        <v>1.05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HYPERLINK("http://141.218.60.56/~jnz1568/getInfo.php?workbook=14_13.xlsx&amp;sheet=U0&amp;row=147&amp;col=6&amp;number=3.3&amp;sourceID=14","3.3")</f>
        <v>3.3</v>
      </c>
      <c r="G147" s="4" t="str">
        <f>HYPERLINK("http://141.218.60.56/~jnz1568/getInfo.php?workbook=14_13.xlsx&amp;sheet=U0&amp;row=147&amp;col=7&amp;number=1.04&amp;sourceID=14","1.04")</f>
        <v>1.04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HYPERLINK("http://141.218.60.56/~jnz1568/getInfo.php?workbook=14_13.xlsx&amp;sheet=U0&amp;row=148&amp;col=6&amp;number=3.4&amp;sourceID=14","3.4")</f>
        <v>3.4</v>
      </c>
      <c r="G148" s="4" t="str">
        <f>HYPERLINK("http://141.218.60.56/~jnz1568/getInfo.php?workbook=14_13.xlsx&amp;sheet=U0&amp;row=148&amp;col=7&amp;number=1.04&amp;sourceID=14","1.04")</f>
        <v>1.04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HYPERLINK("http://141.218.60.56/~jnz1568/getInfo.php?workbook=14_13.xlsx&amp;sheet=U0&amp;row=149&amp;col=6&amp;number=3.5&amp;sourceID=14","3.5")</f>
        <v>3.5</v>
      </c>
      <c r="G149" s="4" t="str">
        <f>HYPERLINK("http://141.218.60.56/~jnz1568/getInfo.php?workbook=14_13.xlsx&amp;sheet=U0&amp;row=149&amp;col=7&amp;number=1.04&amp;sourceID=14","1.04")</f>
        <v>1.04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HYPERLINK("http://141.218.60.56/~jnz1568/getInfo.php?workbook=14_13.xlsx&amp;sheet=U0&amp;row=150&amp;col=6&amp;number=3.6&amp;sourceID=14","3.6")</f>
        <v>3.6</v>
      </c>
      <c r="G150" s="4" t="str">
        <f>HYPERLINK("http://141.218.60.56/~jnz1568/getInfo.php?workbook=14_13.xlsx&amp;sheet=U0&amp;row=150&amp;col=7&amp;number=1.03&amp;sourceID=14","1.03")</f>
        <v>1.03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HYPERLINK("http://141.218.60.56/~jnz1568/getInfo.php?workbook=14_13.xlsx&amp;sheet=U0&amp;row=151&amp;col=6&amp;number=3.7&amp;sourceID=14","3.7")</f>
        <v>3.7</v>
      </c>
      <c r="G151" s="4" t="str">
        <f>HYPERLINK("http://141.218.60.56/~jnz1568/getInfo.php?workbook=14_13.xlsx&amp;sheet=U0&amp;row=151&amp;col=7&amp;number=1.02&amp;sourceID=14","1.02")</f>
        <v>1.02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HYPERLINK("http://141.218.60.56/~jnz1568/getInfo.php?workbook=14_13.xlsx&amp;sheet=U0&amp;row=152&amp;col=6&amp;number=3.8&amp;sourceID=14","3.8")</f>
        <v>3.8</v>
      </c>
      <c r="G152" s="4" t="str">
        <f>HYPERLINK("http://141.218.60.56/~jnz1568/getInfo.php?workbook=14_13.xlsx&amp;sheet=U0&amp;row=152&amp;col=7&amp;number=1.01&amp;sourceID=14","1.01")</f>
        <v>1.01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HYPERLINK("http://141.218.60.56/~jnz1568/getInfo.php?workbook=14_13.xlsx&amp;sheet=U0&amp;row=153&amp;col=6&amp;number=3.9&amp;sourceID=14","3.9")</f>
        <v>3.9</v>
      </c>
      <c r="G153" s="4" t="str">
        <f>HYPERLINK("http://141.218.60.56/~jnz1568/getInfo.php?workbook=14_13.xlsx&amp;sheet=U0&amp;row=153&amp;col=7&amp;number=0.999&amp;sourceID=14","0.999")</f>
        <v>0.999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HYPERLINK("http://141.218.60.56/~jnz1568/getInfo.php?workbook=14_13.xlsx&amp;sheet=U0&amp;row=154&amp;col=6&amp;number=4&amp;sourceID=14","4")</f>
        <v>4</v>
      </c>
      <c r="G154" s="4" t="str">
        <f>HYPERLINK("http://141.218.60.56/~jnz1568/getInfo.php?workbook=14_13.xlsx&amp;sheet=U0&amp;row=154&amp;col=7&amp;number=0.988&amp;sourceID=14","0.988")</f>
        <v>0.988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HYPERLINK("http://141.218.60.56/~jnz1568/getInfo.php?workbook=14_13.xlsx&amp;sheet=U0&amp;row=155&amp;col=6&amp;number=4.1&amp;sourceID=14","4.1")</f>
        <v>4.1</v>
      </c>
      <c r="G155" s="4" t="str">
        <f>HYPERLINK("http://141.218.60.56/~jnz1568/getInfo.php?workbook=14_13.xlsx&amp;sheet=U0&amp;row=155&amp;col=7&amp;number=0.983&amp;sourceID=14","0.983")</f>
        <v>0.983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HYPERLINK("http://141.218.60.56/~jnz1568/getInfo.php?workbook=14_13.xlsx&amp;sheet=U0&amp;row=156&amp;col=6&amp;number=4.2&amp;sourceID=14","4.2")</f>
        <v>4.2</v>
      </c>
      <c r="G156" s="4" t="str">
        <f>HYPERLINK("http://141.218.60.56/~jnz1568/getInfo.php?workbook=14_13.xlsx&amp;sheet=U0&amp;row=156&amp;col=7&amp;number=0.983&amp;sourceID=14","0.983")</f>
        <v>0.983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HYPERLINK("http://141.218.60.56/~jnz1568/getInfo.php?workbook=14_13.xlsx&amp;sheet=U0&amp;row=157&amp;col=6&amp;number=4.3&amp;sourceID=14","4.3")</f>
        <v>4.3</v>
      </c>
      <c r="G157" s="4" t="str">
        <f>HYPERLINK("http://141.218.60.56/~jnz1568/getInfo.php?workbook=14_13.xlsx&amp;sheet=U0&amp;row=157&amp;col=7&amp;number=0.988&amp;sourceID=14","0.988")</f>
        <v>0.988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HYPERLINK("http://141.218.60.56/~jnz1568/getInfo.php?workbook=14_13.xlsx&amp;sheet=U0&amp;row=158&amp;col=6&amp;number=4.4&amp;sourceID=14","4.4")</f>
        <v>4.4</v>
      </c>
      <c r="G158" s="4" t="str">
        <f>HYPERLINK("http://141.218.60.56/~jnz1568/getInfo.php?workbook=14_13.xlsx&amp;sheet=U0&amp;row=158&amp;col=7&amp;number=0.997&amp;sourceID=14","0.997")</f>
        <v>0.997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HYPERLINK("http://141.218.60.56/~jnz1568/getInfo.php?workbook=14_13.xlsx&amp;sheet=U0&amp;row=159&amp;col=6&amp;number=4.5&amp;sourceID=14","4.5")</f>
        <v>4.5</v>
      </c>
      <c r="G159" s="4" t="str">
        <f>HYPERLINK("http://141.218.60.56/~jnz1568/getInfo.php?workbook=14_13.xlsx&amp;sheet=U0&amp;row=159&amp;col=7&amp;number=1.01&amp;sourceID=14","1.01")</f>
        <v>1.01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HYPERLINK("http://141.218.60.56/~jnz1568/getInfo.php?workbook=14_13.xlsx&amp;sheet=U0&amp;row=160&amp;col=6&amp;number=4.6&amp;sourceID=14","4.6")</f>
        <v>4.6</v>
      </c>
      <c r="G160" s="4" t="str">
        <f>HYPERLINK("http://141.218.60.56/~jnz1568/getInfo.php?workbook=14_13.xlsx&amp;sheet=U0&amp;row=160&amp;col=7&amp;number=1.03&amp;sourceID=14","1.03")</f>
        <v>1.03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HYPERLINK("http://141.218.60.56/~jnz1568/getInfo.php?workbook=14_13.xlsx&amp;sheet=U0&amp;row=161&amp;col=6&amp;number=4.7&amp;sourceID=14","4.7")</f>
        <v>4.7</v>
      </c>
      <c r="G161" s="4" t="str">
        <f>HYPERLINK("http://141.218.60.56/~jnz1568/getInfo.php?workbook=14_13.xlsx&amp;sheet=U0&amp;row=161&amp;col=7&amp;number=1.06&amp;sourceID=14","1.06")</f>
        <v>1.06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HYPERLINK("http://141.218.60.56/~jnz1568/getInfo.php?workbook=14_13.xlsx&amp;sheet=U0&amp;row=162&amp;col=6&amp;number=4.8&amp;sourceID=14","4.8")</f>
        <v>4.8</v>
      </c>
      <c r="G162" s="4" t="str">
        <f>HYPERLINK("http://141.218.60.56/~jnz1568/getInfo.php?workbook=14_13.xlsx&amp;sheet=U0&amp;row=162&amp;col=7&amp;number=1.09&amp;sourceID=14","1.09")</f>
        <v>1.09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HYPERLINK("http://141.218.60.56/~jnz1568/getInfo.php?workbook=14_13.xlsx&amp;sheet=U0&amp;row=163&amp;col=6&amp;number=4.9&amp;sourceID=14","4.9")</f>
        <v>4.9</v>
      </c>
      <c r="G163" s="4" t="str">
        <f>HYPERLINK("http://141.218.60.56/~jnz1568/getInfo.php?workbook=14_13.xlsx&amp;sheet=U0&amp;row=163&amp;col=7&amp;number=1.13&amp;sourceID=14","1.13")</f>
        <v>1.13</v>
      </c>
    </row>
    <row r="164" spans="1:7">
      <c r="A164" s="3">
        <v>14</v>
      </c>
      <c r="B164" s="3">
        <v>13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HYPERLINK("http://141.218.60.56/~jnz1568/getInfo.php?workbook=14_13.xlsx&amp;sheet=U0&amp;row=164&amp;col=6&amp;number=3&amp;sourceID=14","3")</f>
        <v>3</v>
      </c>
      <c r="G164" s="4" t="str">
        <f>HYPERLINK("http://141.218.60.56/~jnz1568/getInfo.php?workbook=14_13.xlsx&amp;sheet=U0&amp;row=164&amp;col=7&amp;number=3.69&amp;sourceID=14","3.69")</f>
        <v>3.69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HYPERLINK("http://141.218.60.56/~jnz1568/getInfo.php?workbook=14_13.xlsx&amp;sheet=U0&amp;row=165&amp;col=6&amp;number=3.1&amp;sourceID=14","3.1")</f>
        <v>3.1</v>
      </c>
      <c r="G165" s="4" t="str">
        <f>HYPERLINK("http://141.218.60.56/~jnz1568/getInfo.php?workbook=14_13.xlsx&amp;sheet=U0&amp;row=165&amp;col=7&amp;number=3.67&amp;sourceID=14","3.67")</f>
        <v>3.67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HYPERLINK("http://141.218.60.56/~jnz1568/getInfo.php?workbook=14_13.xlsx&amp;sheet=U0&amp;row=166&amp;col=6&amp;number=3.2&amp;sourceID=14","3.2")</f>
        <v>3.2</v>
      </c>
      <c r="G166" s="4" t="str">
        <f>HYPERLINK("http://141.218.60.56/~jnz1568/getInfo.php?workbook=14_13.xlsx&amp;sheet=U0&amp;row=166&amp;col=7&amp;number=3.63&amp;sourceID=14","3.63")</f>
        <v>3.63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HYPERLINK("http://141.218.60.56/~jnz1568/getInfo.php?workbook=14_13.xlsx&amp;sheet=U0&amp;row=167&amp;col=6&amp;number=3.3&amp;sourceID=14","3.3")</f>
        <v>3.3</v>
      </c>
      <c r="G167" s="4" t="str">
        <f>HYPERLINK("http://141.218.60.56/~jnz1568/getInfo.php?workbook=14_13.xlsx&amp;sheet=U0&amp;row=167&amp;col=7&amp;number=3.59&amp;sourceID=14","3.59")</f>
        <v>3.59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HYPERLINK("http://141.218.60.56/~jnz1568/getInfo.php?workbook=14_13.xlsx&amp;sheet=U0&amp;row=168&amp;col=6&amp;number=3.4&amp;sourceID=14","3.4")</f>
        <v>3.4</v>
      </c>
      <c r="G168" s="4" t="str">
        <f>HYPERLINK("http://141.218.60.56/~jnz1568/getInfo.php?workbook=14_13.xlsx&amp;sheet=U0&amp;row=168&amp;col=7&amp;number=3.55&amp;sourceID=14","3.55")</f>
        <v>3.55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HYPERLINK("http://141.218.60.56/~jnz1568/getInfo.php?workbook=14_13.xlsx&amp;sheet=U0&amp;row=169&amp;col=6&amp;number=3.5&amp;sourceID=14","3.5")</f>
        <v>3.5</v>
      </c>
      <c r="G169" s="4" t="str">
        <f>HYPERLINK("http://141.218.60.56/~jnz1568/getInfo.php?workbook=14_13.xlsx&amp;sheet=U0&amp;row=169&amp;col=7&amp;number=3.5&amp;sourceID=14","3.5")</f>
        <v>3.5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HYPERLINK("http://141.218.60.56/~jnz1568/getInfo.php?workbook=14_13.xlsx&amp;sheet=U0&amp;row=170&amp;col=6&amp;number=3.6&amp;sourceID=14","3.6")</f>
        <v>3.6</v>
      </c>
      <c r="G170" s="4" t="str">
        <f>HYPERLINK("http://141.218.60.56/~jnz1568/getInfo.php?workbook=14_13.xlsx&amp;sheet=U0&amp;row=170&amp;col=7&amp;number=3.45&amp;sourceID=14","3.45")</f>
        <v>3.45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HYPERLINK("http://141.218.60.56/~jnz1568/getInfo.php?workbook=14_13.xlsx&amp;sheet=U0&amp;row=171&amp;col=6&amp;number=3.7&amp;sourceID=14","3.7")</f>
        <v>3.7</v>
      </c>
      <c r="G171" s="4" t="str">
        <f>HYPERLINK("http://141.218.60.56/~jnz1568/getInfo.php?workbook=14_13.xlsx&amp;sheet=U0&amp;row=171&amp;col=7&amp;number=3.42&amp;sourceID=14","3.42")</f>
        <v>3.42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HYPERLINK("http://141.218.60.56/~jnz1568/getInfo.php?workbook=14_13.xlsx&amp;sheet=U0&amp;row=172&amp;col=6&amp;number=3.8&amp;sourceID=14","3.8")</f>
        <v>3.8</v>
      </c>
      <c r="G172" s="4" t="str">
        <f>HYPERLINK("http://141.218.60.56/~jnz1568/getInfo.php?workbook=14_13.xlsx&amp;sheet=U0&amp;row=172&amp;col=7&amp;number=3.41&amp;sourceID=14","3.41")</f>
        <v>3.41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HYPERLINK("http://141.218.60.56/~jnz1568/getInfo.php?workbook=14_13.xlsx&amp;sheet=U0&amp;row=173&amp;col=6&amp;number=3.9&amp;sourceID=14","3.9")</f>
        <v>3.9</v>
      </c>
      <c r="G173" s="4" t="str">
        <f>HYPERLINK("http://141.218.60.56/~jnz1568/getInfo.php?workbook=14_13.xlsx&amp;sheet=U0&amp;row=173&amp;col=7&amp;number=3.42&amp;sourceID=14","3.42")</f>
        <v>3.42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HYPERLINK("http://141.218.60.56/~jnz1568/getInfo.php?workbook=14_13.xlsx&amp;sheet=U0&amp;row=174&amp;col=6&amp;number=4&amp;sourceID=14","4")</f>
        <v>4</v>
      </c>
      <c r="G174" s="4" t="str">
        <f>HYPERLINK("http://141.218.60.56/~jnz1568/getInfo.php?workbook=14_13.xlsx&amp;sheet=U0&amp;row=174&amp;col=7&amp;number=3.46&amp;sourceID=14","3.46")</f>
        <v>3.46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HYPERLINK("http://141.218.60.56/~jnz1568/getInfo.php?workbook=14_13.xlsx&amp;sheet=U0&amp;row=175&amp;col=6&amp;number=4.1&amp;sourceID=14","4.1")</f>
        <v>4.1</v>
      </c>
      <c r="G175" s="4" t="str">
        <f>HYPERLINK("http://141.218.60.56/~jnz1568/getInfo.php?workbook=14_13.xlsx&amp;sheet=U0&amp;row=175&amp;col=7&amp;number=3.53&amp;sourceID=14","3.53")</f>
        <v>3.53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HYPERLINK("http://141.218.60.56/~jnz1568/getInfo.php?workbook=14_13.xlsx&amp;sheet=U0&amp;row=176&amp;col=6&amp;number=4.2&amp;sourceID=14","4.2")</f>
        <v>4.2</v>
      </c>
      <c r="G176" s="4" t="str">
        <f>HYPERLINK("http://141.218.60.56/~jnz1568/getInfo.php?workbook=14_13.xlsx&amp;sheet=U0&amp;row=176&amp;col=7&amp;number=3.61&amp;sourceID=14","3.61")</f>
        <v>3.61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HYPERLINK("http://141.218.60.56/~jnz1568/getInfo.php?workbook=14_13.xlsx&amp;sheet=U0&amp;row=177&amp;col=6&amp;number=4.3&amp;sourceID=14","4.3")</f>
        <v>4.3</v>
      </c>
      <c r="G177" s="4" t="str">
        <f>HYPERLINK("http://141.218.60.56/~jnz1568/getInfo.php?workbook=14_13.xlsx&amp;sheet=U0&amp;row=177&amp;col=7&amp;number=3.73&amp;sourceID=14","3.73")</f>
        <v>3.73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HYPERLINK("http://141.218.60.56/~jnz1568/getInfo.php?workbook=14_13.xlsx&amp;sheet=U0&amp;row=178&amp;col=6&amp;number=4.4&amp;sourceID=14","4.4")</f>
        <v>4.4</v>
      </c>
      <c r="G178" s="4" t="str">
        <f>HYPERLINK("http://141.218.60.56/~jnz1568/getInfo.php?workbook=14_13.xlsx&amp;sheet=U0&amp;row=178&amp;col=7&amp;number=3.89&amp;sourceID=14","3.89")</f>
        <v>3.89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HYPERLINK("http://141.218.60.56/~jnz1568/getInfo.php?workbook=14_13.xlsx&amp;sheet=U0&amp;row=179&amp;col=6&amp;number=4.5&amp;sourceID=14","4.5")</f>
        <v>4.5</v>
      </c>
      <c r="G179" s="4" t="str">
        <f>HYPERLINK("http://141.218.60.56/~jnz1568/getInfo.php?workbook=14_13.xlsx&amp;sheet=U0&amp;row=179&amp;col=7&amp;number=4.11&amp;sourceID=14","4.11")</f>
        <v>4.11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HYPERLINK("http://141.218.60.56/~jnz1568/getInfo.php?workbook=14_13.xlsx&amp;sheet=U0&amp;row=180&amp;col=6&amp;number=4.6&amp;sourceID=14","4.6")</f>
        <v>4.6</v>
      </c>
      <c r="G180" s="4" t="str">
        <f>HYPERLINK("http://141.218.60.56/~jnz1568/getInfo.php?workbook=14_13.xlsx&amp;sheet=U0&amp;row=180&amp;col=7&amp;number=4.4&amp;sourceID=14","4.4")</f>
        <v>4.4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HYPERLINK("http://141.218.60.56/~jnz1568/getInfo.php?workbook=14_13.xlsx&amp;sheet=U0&amp;row=181&amp;col=6&amp;number=4.7&amp;sourceID=14","4.7")</f>
        <v>4.7</v>
      </c>
      <c r="G181" s="4" t="str">
        <f>HYPERLINK("http://141.218.60.56/~jnz1568/getInfo.php?workbook=14_13.xlsx&amp;sheet=U0&amp;row=181&amp;col=7&amp;number=4.78&amp;sourceID=14","4.78")</f>
        <v>4.78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HYPERLINK("http://141.218.60.56/~jnz1568/getInfo.php?workbook=14_13.xlsx&amp;sheet=U0&amp;row=182&amp;col=6&amp;number=4.8&amp;sourceID=14","4.8")</f>
        <v>4.8</v>
      </c>
      <c r="G182" s="4" t="str">
        <f>HYPERLINK("http://141.218.60.56/~jnz1568/getInfo.php?workbook=14_13.xlsx&amp;sheet=U0&amp;row=182&amp;col=7&amp;number=5.28&amp;sourceID=14","5.28")</f>
        <v>5.28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HYPERLINK("http://141.218.60.56/~jnz1568/getInfo.php?workbook=14_13.xlsx&amp;sheet=U0&amp;row=183&amp;col=6&amp;number=4.9&amp;sourceID=14","4.9")</f>
        <v>4.9</v>
      </c>
      <c r="G183" s="4" t="str">
        <f>HYPERLINK("http://141.218.60.56/~jnz1568/getInfo.php?workbook=14_13.xlsx&amp;sheet=U0&amp;row=183&amp;col=7&amp;number=5.9&amp;sourceID=14","5.9")</f>
        <v>5.9</v>
      </c>
    </row>
    <row r="184" spans="1:7">
      <c r="A184" s="3">
        <v>14</v>
      </c>
      <c r="B184" s="3">
        <v>13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HYPERLINK("http://141.218.60.56/~jnz1568/getInfo.php?workbook=14_13.xlsx&amp;sheet=U0&amp;row=184&amp;col=6&amp;number=3&amp;sourceID=14","3")</f>
        <v>3</v>
      </c>
      <c r="G184" s="4" t="str">
        <f>HYPERLINK("http://141.218.60.56/~jnz1568/getInfo.php?workbook=14_13.xlsx&amp;sheet=U0&amp;row=184&amp;col=7&amp;number=1.48&amp;sourceID=14","1.48")</f>
        <v>1.48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HYPERLINK("http://141.218.60.56/~jnz1568/getInfo.php?workbook=14_13.xlsx&amp;sheet=U0&amp;row=185&amp;col=6&amp;number=3.1&amp;sourceID=14","3.1")</f>
        <v>3.1</v>
      </c>
      <c r="G185" s="4" t="str">
        <f>HYPERLINK("http://141.218.60.56/~jnz1568/getInfo.php?workbook=14_13.xlsx&amp;sheet=U0&amp;row=185&amp;col=7&amp;number=1.44&amp;sourceID=14","1.44")</f>
        <v>1.44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HYPERLINK("http://141.218.60.56/~jnz1568/getInfo.php?workbook=14_13.xlsx&amp;sheet=U0&amp;row=186&amp;col=6&amp;number=3.2&amp;sourceID=14","3.2")</f>
        <v>3.2</v>
      </c>
      <c r="G186" s="4" t="str">
        <f>HYPERLINK("http://141.218.60.56/~jnz1568/getInfo.php?workbook=14_13.xlsx&amp;sheet=U0&amp;row=186&amp;col=7&amp;number=1.39&amp;sourceID=14","1.39")</f>
        <v>1.39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HYPERLINK("http://141.218.60.56/~jnz1568/getInfo.php?workbook=14_13.xlsx&amp;sheet=U0&amp;row=187&amp;col=6&amp;number=3.3&amp;sourceID=14","3.3")</f>
        <v>3.3</v>
      </c>
      <c r="G187" s="4" t="str">
        <f>HYPERLINK("http://141.218.60.56/~jnz1568/getInfo.php?workbook=14_13.xlsx&amp;sheet=U0&amp;row=187&amp;col=7&amp;number=1.34&amp;sourceID=14","1.34")</f>
        <v>1.34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HYPERLINK("http://141.218.60.56/~jnz1568/getInfo.php?workbook=14_13.xlsx&amp;sheet=U0&amp;row=188&amp;col=6&amp;number=3.4&amp;sourceID=14","3.4")</f>
        <v>3.4</v>
      </c>
      <c r="G188" s="4" t="str">
        <f>HYPERLINK("http://141.218.60.56/~jnz1568/getInfo.php?workbook=14_13.xlsx&amp;sheet=U0&amp;row=188&amp;col=7&amp;number=1.28&amp;sourceID=14","1.28")</f>
        <v>1.28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HYPERLINK("http://141.218.60.56/~jnz1568/getInfo.php?workbook=14_13.xlsx&amp;sheet=U0&amp;row=189&amp;col=6&amp;number=3.5&amp;sourceID=14","3.5")</f>
        <v>3.5</v>
      </c>
      <c r="G189" s="4" t="str">
        <f>HYPERLINK("http://141.218.60.56/~jnz1568/getInfo.php?workbook=14_13.xlsx&amp;sheet=U0&amp;row=189&amp;col=7&amp;number=1.22&amp;sourceID=14","1.22")</f>
        <v>1.22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HYPERLINK("http://141.218.60.56/~jnz1568/getInfo.php?workbook=14_13.xlsx&amp;sheet=U0&amp;row=190&amp;col=6&amp;number=3.6&amp;sourceID=14","3.6")</f>
        <v>3.6</v>
      </c>
      <c r="G190" s="4" t="str">
        <f>HYPERLINK("http://141.218.60.56/~jnz1568/getInfo.php?workbook=14_13.xlsx&amp;sheet=U0&amp;row=190&amp;col=7&amp;number=1.16&amp;sourceID=14","1.16")</f>
        <v>1.16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HYPERLINK("http://141.218.60.56/~jnz1568/getInfo.php?workbook=14_13.xlsx&amp;sheet=U0&amp;row=191&amp;col=6&amp;number=3.7&amp;sourceID=14","3.7")</f>
        <v>3.7</v>
      </c>
      <c r="G191" s="4" t="str">
        <f>HYPERLINK("http://141.218.60.56/~jnz1568/getInfo.php?workbook=14_13.xlsx&amp;sheet=U0&amp;row=191&amp;col=7&amp;number=1.11&amp;sourceID=14","1.11")</f>
        <v>1.11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HYPERLINK("http://141.218.60.56/~jnz1568/getInfo.php?workbook=14_13.xlsx&amp;sheet=U0&amp;row=192&amp;col=6&amp;number=3.8&amp;sourceID=14","3.8")</f>
        <v>3.8</v>
      </c>
      <c r="G192" s="4" t="str">
        <f>HYPERLINK("http://141.218.60.56/~jnz1568/getInfo.php?workbook=14_13.xlsx&amp;sheet=U0&amp;row=192&amp;col=7&amp;number=1.07&amp;sourceID=14","1.07")</f>
        <v>1.07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HYPERLINK("http://141.218.60.56/~jnz1568/getInfo.php?workbook=14_13.xlsx&amp;sheet=U0&amp;row=193&amp;col=6&amp;number=3.9&amp;sourceID=14","3.9")</f>
        <v>3.9</v>
      </c>
      <c r="G193" s="4" t="str">
        <f>HYPERLINK("http://141.218.60.56/~jnz1568/getInfo.php?workbook=14_13.xlsx&amp;sheet=U0&amp;row=193&amp;col=7&amp;number=1.03&amp;sourceID=14","1.03")</f>
        <v>1.03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HYPERLINK("http://141.218.60.56/~jnz1568/getInfo.php?workbook=14_13.xlsx&amp;sheet=U0&amp;row=194&amp;col=6&amp;number=4&amp;sourceID=14","4")</f>
        <v>4</v>
      </c>
      <c r="G194" s="4" t="str">
        <f>HYPERLINK("http://141.218.60.56/~jnz1568/getInfo.php?workbook=14_13.xlsx&amp;sheet=U0&amp;row=194&amp;col=7&amp;number=0.995&amp;sourceID=14","0.995")</f>
        <v>0.995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HYPERLINK("http://141.218.60.56/~jnz1568/getInfo.php?workbook=14_13.xlsx&amp;sheet=U0&amp;row=195&amp;col=6&amp;number=4.1&amp;sourceID=14","4.1")</f>
        <v>4.1</v>
      </c>
      <c r="G195" s="4" t="str">
        <f>HYPERLINK("http://141.218.60.56/~jnz1568/getInfo.php?workbook=14_13.xlsx&amp;sheet=U0&amp;row=195&amp;col=7&amp;number=0.959&amp;sourceID=14","0.959")</f>
        <v>0.959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HYPERLINK("http://141.218.60.56/~jnz1568/getInfo.php?workbook=14_13.xlsx&amp;sheet=U0&amp;row=196&amp;col=6&amp;number=4.2&amp;sourceID=14","4.2")</f>
        <v>4.2</v>
      </c>
      <c r="G196" s="4" t="str">
        <f>HYPERLINK("http://141.218.60.56/~jnz1568/getInfo.php?workbook=14_13.xlsx&amp;sheet=U0&amp;row=196&amp;col=7&amp;number=0.925&amp;sourceID=14","0.925")</f>
        <v>0.925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HYPERLINK("http://141.218.60.56/~jnz1568/getInfo.php?workbook=14_13.xlsx&amp;sheet=U0&amp;row=197&amp;col=6&amp;number=4.3&amp;sourceID=14","4.3")</f>
        <v>4.3</v>
      </c>
      <c r="G197" s="4" t="str">
        <f>HYPERLINK("http://141.218.60.56/~jnz1568/getInfo.php?workbook=14_13.xlsx&amp;sheet=U0&amp;row=197&amp;col=7&amp;number=0.891&amp;sourceID=14","0.891")</f>
        <v>0.891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HYPERLINK("http://141.218.60.56/~jnz1568/getInfo.php?workbook=14_13.xlsx&amp;sheet=U0&amp;row=198&amp;col=6&amp;number=4.4&amp;sourceID=14","4.4")</f>
        <v>4.4</v>
      </c>
      <c r="G198" s="4" t="str">
        <f>HYPERLINK("http://141.218.60.56/~jnz1568/getInfo.php?workbook=14_13.xlsx&amp;sheet=U0&amp;row=198&amp;col=7&amp;number=0.856&amp;sourceID=14","0.856")</f>
        <v>0.856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HYPERLINK("http://141.218.60.56/~jnz1568/getInfo.php?workbook=14_13.xlsx&amp;sheet=U0&amp;row=199&amp;col=6&amp;number=4.5&amp;sourceID=14","4.5")</f>
        <v>4.5</v>
      </c>
      <c r="G199" s="4" t="str">
        <f>HYPERLINK("http://141.218.60.56/~jnz1568/getInfo.php?workbook=14_13.xlsx&amp;sheet=U0&amp;row=199&amp;col=7&amp;number=0.821&amp;sourceID=14","0.821")</f>
        <v>0.821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HYPERLINK("http://141.218.60.56/~jnz1568/getInfo.php?workbook=14_13.xlsx&amp;sheet=U0&amp;row=200&amp;col=6&amp;number=4.6&amp;sourceID=14","4.6")</f>
        <v>4.6</v>
      </c>
      <c r="G200" s="4" t="str">
        <f>HYPERLINK("http://141.218.60.56/~jnz1568/getInfo.php?workbook=14_13.xlsx&amp;sheet=U0&amp;row=200&amp;col=7&amp;number=0.786&amp;sourceID=14","0.786")</f>
        <v>0.786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HYPERLINK("http://141.218.60.56/~jnz1568/getInfo.php?workbook=14_13.xlsx&amp;sheet=U0&amp;row=201&amp;col=6&amp;number=4.7&amp;sourceID=14","4.7")</f>
        <v>4.7</v>
      </c>
      <c r="G201" s="4" t="str">
        <f>HYPERLINK("http://141.218.60.56/~jnz1568/getInfo.php?workbook=14_13.xlsx&amp;sheet=U0&amp;row=201&amp;col=7&amp;number=0.753&amp;sourceID=14","0.753")</f>
        <v>0.753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HYPERLINK("http://141.218.60.56/~jnz1568/getInfo.php?workbook=14_13.xlsx&amp;sheet=U0&amp;row=202&amp;col=6&amp;number=4.8&amp;sourceID=14","4.8")</f>
        <v>4.8</v>
      </c>
      <c r="G202" s="4" t="str">
        <f>HYPERLINK("http://141.218.60.56/~jnz1568/getInfo.php?workbook=14_13.xlsx&amp;sheet=U0&amp;row=202&amp;col=7&amp;number=0.72&amp;sourceID=14","0.72")</f>
        <v>0.72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HYPERLINK("http://141.218.60.56/~jnz1568/getInfo.php?workbook=14_13.xlsx&amp;sheet=U0&amp;row=203&amp;col=6&amp;number=4.9&amp;sourceID=14","4.9")</f>
        <v>4.9</v>
      </c>
      <c r="G203" s="4" t="str">
        <f>HYPERLINK("http://141.218.60.56/~jnz1568/getInfo.php?workbook=14_13.xlsx&amp;sheet=U0&amp;row=203&amp;col=7&amp;number=0.689&amp;sourceID=14","0.689")</f>
        <v>0.689</v>
      </c>
    </row>
    <row r="204" spans="1:7">
      <c r="A204" s="3">
        <v>14</v>
      </c>
      <c r="B204" s="3">
        <v>13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HYPERLINK("http://141.218.60.56/~jnz1568/getInfo.php?workbook=14_13.xlsx&amp;sheet=U0&amp;row=204&amp;col=6&amp;number=3&amp;sourceID=14","3")</f>
        <v>3</v>
      </c>
      <c r="G204" s="4" t="str">
        <f>HYPERLINK("http://141.218.60.56/~jnz1568/getInfo.php?workbook=14_13.xlsx&amp;sheet=U0&amp;row=204&amp;col=7&amp;number=0.527&amp;sourceID=14","0.527")</f>
        <v>0.527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HYPERLINK("http://141.218.60.56/~jnz1568/getInfo.php?workbook=14_13.xlsx&amp;sheet=U0&amp;row=205&amp;col=6&amp;number=3.1&amp;sourceID=14","3.1")</f>
        <v>3.1</v>
      </c>
      <c r="G205" s="4" t="str">
        <f>HYPERLINK("http://141.218.60.56/~jnz1568/getInfo.php?workbook=14_13.xlsx&amp;sheet=U0&amp;row=205&amp;col=7&amp;number=0.529&amp;sourceID=14","0.529")</f>
        <v>0.529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HYPERLINK("http://141.218.60.56/~jnz1568/getInfo.php?workbook=14_13.xlsx&amp;sheet=U0&amp;row=206&amp;col=6&amp;number=3.2&amp;sourceID=14","3.2")</f>
        <v>3.2</v>
      </c>
      <c r="G206" s="4" t="str">
        <f>HYPERLINK("http://141.218.60.56/~jnz1568/getInfo.php?workbook=14_13.xlsx&amp;sheet=U0&amp;row=206&amp;col=7&amp;number=0.531&amp;sourceID=14","0.531")</f>
        <v>0.531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HYPERLINK("http://141.218.60.56/~jnz1568/getInfo.php?workbook=14_13.xlsx&amp;sheet=U0&amp;row=207&amp;col=6&amp;number=3.3&amp;sourceID=14","3.3")</f>
        <v>3.3</v>
      </c>
      <c r="G207" s="4" t="str">
        <f>HYPERLINK("http://141.218.60.56/~jnz1568/getInfo.php?workbook=14_13.xlsx&amp;sheet=U0&amp;row=207&amp;col=7&amp;number=0.533&amp;sourceID=14","0.533")</f>
        <v>0.533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HYPERLINK("http://141.218.60.56/~jnz1568/getInfo.php?workbook=14_13.xlsx&amp;sheet=U0&amp;row=208&amp;col=6&amp;number=3.4&amp;sourceID=14","3.4")</f>
        <v>3.4</v>
      </c>
      <c r="G208" s="4" t="str">
        <f>HYPERLINK("http://141.218.60.56/~jnz1568/getInfo.php?workbook=14_13.xlsx&amp;sheet=U0&amp;row=208&amp;col=7&amp;number=0.535&amp;sourceID=14","0.535")</f>
        <v>0.535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HYPERLINK("http://141.218.60.56/~jnz1568/getInfo.php?workbook=14_13.xlsx&amp;sheet=U0&amp;row=209&amp;col=6&amp;number=3.5&amp;sourceID=14","3.5")</f>
        <v>3.5</v>
      </c>
      <c r="G209" s="4" t="str">
        <f>HYPERLINK("http://141.218.60.56/~jnz1568/getInfo.php?workbook=14_13.xlsx&amp;sheet=U0&amp;row=209&amp;col=7&amp;number=0.537&amp;sourceID=14","0.537")</f>
        <v>0.537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HYPERLINK("http://141.218.60.56/~jnz1568/getInfo.php?workbook=14_13.xlsx&amp;sheet=U0&amp;row=210&amp;col=6&amp;number=3.6&amp;sourceID=14","3.6")</f>
        <v>3.6</v>
      </c>
      <c r="G210" s="4" t="str">
        <f>HYPERLINK("http://141.218.60.56/~jnz1568/getInfo.php?workbook=14_13.xlsx&amp;sheet=U0&amp;row=210&amp;col=7&amp;number=0.539&amp;sourceID=14","0.539")</f>
        <v>0.539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HYPERLINK("http://141.218.60.56/~jnz1568/getInfo.php?workbook=14_13.xlsx&amp;sheet=U0&amp;row=211&amp;col=6&amp;number=3.7&amp;sourceID=14","3.7")</f>
        <v>3.7</v>
      </c>
      <c r="G211" s="4" t="str">
        <f>HYPERLINK("http://141.218.60.56/~jnz1568/getInfo.php?workbook=14_13.xlsx&amp;sheet=U0&amp;row=211&amp;col=7&amp;number=0.54&amp;sourceID=14","0.54")</f>
        <v>0.54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HYPERLINK("http://141.218.60.56/~jnz1568/getInfo.php?workbook=14_13.xlsx&amp;sheet=U0&amp;row=212&amp;col=6&amp;number=3.8&amp;sourceID=14","3.8")</f>
        <v>3.8</v>
      </c>
      <c r="G212" s="4" t="str">
        <f>HYPERLINK("http://141.218.60.56/~jnz1568/getInfo.php?workbook=14_13.xlsx&amp;sheet=U0&amp;row=212&amp;col=7&amp;number=0.54&amp;sourceID=14","0.54")</f>
        <v>0.54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HYPERLINK("http://141.218.60.56/~jnz1568/getInfo.php?workbook=14_13.xlsx&amp;sheet=U0&amp;row=213&amp;col=6&amp;number=3.9&amp;sourceID=14","3.9")</f>
        <v>3.9</v>
      </c>
      <c r="G213" s="4" t="str">
        <f>HYPERLINK("http://141.218.60.56/~jnz1568/getInfo.php?workbook=14_13.xlsx&amp;sheet=U0&amp;row=213&amp;col=7&amp;number=0.538&amp;sourceID=14","0.538")</f>
        <v>0.538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HYPERLINK("http://141.218.60.56/~jnz1568/getInfo.php?workbook=14_13.xlsx&amp;sheet=U0&amp;row=214&amp;col=6&amp;number=4&amp;sourceID=14","4")</f>
        <v>4</v>
      </c>
      <c r="G214" s="4" t="str">
        <f>HYPERLINK("http://141.218.60.56/~jnz1568/getInfo.php?workbook=14_13.xlsx&amp;sheet=U0&amp;row=214&amp;col=7&amp;number=0.535&amp;sourceID=14","0.535")</f>
        <v>0.535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HYPERLINK("http://141.218.60.56/~jnz1568/getInfo.php?workbook=14_13.xlsx&amp;sheet=U0&amp;row=215&amp;col=6&amp;number=4.1&amp;sourceID=14","4.1")</f>
        <v>4.1</v>
      </c>
      <c r="G215" s="4" t="str">
        <f>HYPERLINK("http://141.218.60.56/~jnz1568/getInfo.php?workbook=14_13.xlsx&amp;sheet=U0&amp;row=215&amp;col=7&amp;number=0.53&amp;sourceID=14","0.53")</f>
        <v>0.53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HYPERLINK("http://141.218.60.56/~jnz1568/getInfo.php?workbook=14_13.xlsx&amp;sheet=U0&amp;row=216&amp;col=6&amp;number=4.2&amp;sourceID=14","4.2")</f>
        <v>4.2</v>
      </c>
      <c r="G216" s="4" t="str">
        <f>HYPERLINK("http://141.218.60.56/~jnz1568/getInfo.php?workbook=14_13.xlsx&amp;sheet=U0&amp;row=216&amp;col=7&amp;number=0.524&amp;sourceID=14","0.524")</f>
        <v>0.524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HYPERLINK("http://141.218.60.56/~jnz1568/getInfo.php?workbook=14_13.xlsx&amp;sheet=U0&amp;row=217&amp;col=6&amp;number=4.3&amp;sourceID=14","4.3")</f>
        <v>4.3</v>
      </c>
      <c r="G217" s="4" t="str">
        <f>HYPERLINK("http://141.218.60.56/~jnz1568/getInfo.php?workbook=14_13.xlsx&amp;sheet=U0&amp;row=217&amp;col=7&amp;number=0.517&amp;sourceID=14","0.517")</f>
        <v>0.517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HYPERLINK("http://141.218.60.56/~jnz1568/getInfo.php?workbook=14_13.xlsx&amp;sheet=U0&amp;row=218&amp;col=6&amp;number=4.4&amp;sourceID=14","4.4")</f>
        <v>4.4</v>
      </c>
      <c r="G218" s="4" t="str">
        <f>HYPERLINK("http://141.218.60.56/~jnz1568/getInfo.php?workbook=14_13.xlsx&amp;sheet=U0&amp;row=218&amp;col=7&amp;number=0.511&amp;sourceID=14","0.511")</f>
        <v>0.511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HYPERLINK("http://141.218.60.56/~jnz1568/getInfo.php?workbook=14_13.xlsx&amp;sheet=U0&amp;row=219&amp;col=6&amp;number=4.5&amp;sourceID=14","4.5")</f>
        <v>4.5</v>
      </c>
      <c r="G219" s="4" t="str">
        <f>HYPERLINK("http://141.218.60.56/~jnz1568/getInfo.php?workbook=14_13.xlsx&amp;sheet=U0&amp;row=219&amp;col=7&amp;number=0.506&amp;sourceID=14","0.506")</f>
        <v>0.506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HYPERLINK("http://141.218.60.56/~jnz1568/getInfo.php?workbook=14_13.xlsx&amp;sheet=U0&amp;row=220&amp;col=6&amp;number=4.6&amp;sourceID=14","4.6")</f>
        <v>4.6</v>
      </c>
      <c r="G220" s="4" t="str">
        <f>HYPERLINK("http://141.218.60.56/~jnz1568/getInfo.php?workbook=14_13.xlsx&amp;sheet=U0&amp;row=220&amp;col=7&amp;number=0.506&amp;sourceID=14","0.506")</f>
        <v>0.506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HYPERLINK("http://141.218.60.56/~jnz1568/getInfo.php?workbook=14_13.xlsx&amp;sheet=U0&amp;row=221&amp;col=6&amp;number=4.7&amp;sourceID=14","4.7")</f>
        <v>4.7</v>
      </c>
      <c r="G221" s="4" t="str">
        <f>HYPERLINK("http://141.218.60.56/~jnz1568/getInfo.php?workbook=14_13.xlsx&amp;sheet=U0&amp;row=221&amp;col=7&amp;number=0.511&amp;sourceID=14","0.511")</f>
        <v>0.511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HYPERLINK("http://141.218.60.56/~jnz1568/getInfo.php?workbook=14_13.xlsx&amp;sheet=U0&amp;row=222&amp;col=6&amp;number=4.8&amp;sourceID=14","4.8")</f>
        <v>4.8</v>
      </c>
      <c r="G222" s="4" t="str">
        <f>HYPERLINK("http://141.218.60.56/~jnz1568/getInfo.php?workbook=14_13.xlsx&amp;sheet=U0&amp;row=222&amp;col=7&amp;number=0.523&amp;sourceID=14","0.523")</f>
        <v>0.523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HYPERLINK("http://141.218.60.56/~jnz1568/getInfo.php?workbook=14_13.xlsx&amp;sheet=U0&amp;row=223&amp;col=6&amp;number=4.9&amp;sourceID=14","4.9")</f>
        <v>4.9</v>
      </c>
      <c r="G223" s="4" t="str">
        <f>HYPERLINK("http://141.218.60.56/~jnz1568/getInfo.php?workbook=14_13.xlsx&amp;sheet=U0&amp;row=223&amp;col=7&amp;number=0.54&amp;sourceID=14","0.54")</f>
        <v>0.54</v>
      </c>
    </row>
    <row r="224" spans="1:7">
      <c r="A224" s="3">
        <v>14</v>
      </c>
      <c r="B224" s="3">
        <v>13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HYPERLINK("http://141.218.60.56/~jnz1568/getInfo.php?workbook=14_13.xlsx&amp;sheet=U0&amp;row=224&amp;col=6&amp;number=3&amp;sourceID=14","3")</f>
        <v>3</v>
      </c>
      <c r="G224" s="4" t="str">
        <f>HYPERLINK("http://141.218.60.56/~jnz1568/getInfo.php?workbook=14_13.xlsx&amp;sheet=U0&amp;row=224&amp;col=7&amp;number=0.59&amp;sourceID=14","0.59")</f>
        <v>0.59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HYPERLINK("http://141.218.60.56/~jnz1568/getInfo.php?workbook=14_13.xlsx&amp;sheet=U0&amp;row=225&amp;col=6&amp;number=3.1&amp;sourceID=14","3.1")</f>
        <v>3.1</v>
      </c>
      <c r="G225" s="4" t="str">
        <f>HYPERLINK("http://141.218.60.56/~jnz1568/getInfo.php?workbook=14_13.xlsx&amp;sheet=U0&amp;row=225&amp;col=7&amp;number=0.587&amp;sourceID=14","0.587")</f>
        <v>0.587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HYPERLINK("http://141.218.60.56/~jnz1568/getInfo.php?workbook=14_13.xlsx&amp;sheet=U0&amp;row=226&amp;col=6&amp;number=3.2&amp;sourceID=14","3.2")</f>
        <v>3.2</v>
      </c>
      <c r="G226" s="4" t="str">
        <f>HYPERLINK("http://141.218.60.56/~jnz1568/getInfo.php?workbook=14_13.xlsx&amp;sheet=U0&amp;row=226&amp;col=7&amp;number=0.583&amp;sourceID=14","0.583")</f>
        <v>0.583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HYPERLINK("http://141.218.60.56/~jnz1568/getInfo.php?workbook=14_13.xlsx&amp;sheet=U0&amp;row=227&amp;col=6&amp;number=3.3&amp;sourceID=14","3.3")</f>
        <v>3.3</v>
      </c>
      <c r="G227" s="4" t="str">
        <f>HYPERLINK("http://141.218.60.56/~jnz1568/getInfo.php?workbook=14_13.xlsx&amp;sheet=U0&amp;row=227&amp;col=7&amp;number=0.579&amp;sourceID=14","0.579")</f>
        <v>0.579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HYPERLINK("http://141.218.60.56/~jnz1568/getInfo.php?workbook=14_13.xlsx&amp;sheet=U0&amp;row=228&amp;col=6&amp;number=3.4&amp;sourceID=14","3.4")</f>
        <v>3.4</v>
      </c>
      <c r="G228" s="4" t="str">
        <f>HYPERLINK("http://141.218.60.56/~jnz1568/getInfo.php?workbook=14_13.xlsx&amp;sheet=U0&amp;row=228&amp;col=7&amp;number=0.574&amp;sourceID=14","0.574")</f>
        <v>0.574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HYPERLINK("http://141.218.60.56/~jnz1568/getInfo.php?workbook=14_13.xlsx&amp;sheet=U0&amp;row=229&amp;col=6&amp;number=3.5&amp;sourceID=14","3.5")</f>
        <v>3.5</v>
      </c>
      <c r="G229" s="4" t="str">
        <f>HYPERLINK("http://141.218.60.56/~jnz1568/getInfo.php?workbook=14_13.xlsx&amp;sheet=U0&amp;row=229&amp;col=7&amp;number=0.569&amp;sourceID=14","0.569")</f>
        <v>0.569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HYPERLINK("http://141.218.60.56/~jnz1568/getInfo.php?workbook=14_13.xlsx&amp;sheet=U0&amp;row=230&amp;col=6&amp;number=3.6&amp;sourceID=14","3.6")</f>
        <v>3.6</v>
      </c>
      <c r="G230" s="4" t="str">
        <f>HYPERLINK("http://141.218.60.56/~jnz1568/getInfo.php?workbook=14_13.xlsx&amp;sheet=U0&amp;row=230&amp;col=7&amp;number=0.565&amp;sourceID=14","0.565")</f>
        <v>0.565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HYPERLINK("http://141.218.60.56/~jnz1568/getInfo.php?workbook=14_13.xlsx&amp;sheet=U0&amp;row=231&amp;col=6&amp;number=3.7&amp;sourceID=14","3.7")</f>
        <v>3.7</v>
      </c>
      <c r="G231" s="4" t="str">
        <f>HYPERLINK("http://141.218.60.56/~jnz1568/getInfo.php?workbook=14_13.xlsx&amp;sheet=U0&amp;row=231&amp;col=7&amp;number=0.561&amp;sourceID=14","0.561")</f>
        <v>0.561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HYPERLINK("http://141.218.60.56/~jnz1568/getInfo.php?workbook=14_13.xlsx&amp;sheet=U0&amp;row=232&amp;col=6&amp;number=3.8&amp;sourceID=14","3.8")</f>
        <v>3.8</v>
      </c>
      <c r="G232" s="4" t="str">
        <f>HYPERLINK("http://141.218.60.56/~jnz1568/getInfo.php?workbook=14_13.xlsx&amp;sheet=U0&amp;row=232&amp;col=7&amp;number=0.557&amp;sourceID=14","0.557")</f>
        <v>0.557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HYPERLINK("http://141.218.60.56/~jnz1568/getInfo.php?workbook=14_13.xlsx&amp;sheet=U0&amp;row=233&amp;col=6&amp;number=3.9&amp;sourceID=14","3.9")</f>
        <v>3.9</v>
      </c>
      <c r="G233" s="4" t="str">
        <f>HYPERLINK("http://141.218.60.56/~jnz1568/getInfo.php?workbook=14_13.xlsx&amp;sheet=U0&amp;row=233&amp;col=7&amp;number=0.552&amp;sourceID=14","0.552")</f>
        <v>0.552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HYPERLINK("http://141.218.60.56/~jnz1568/getInfo.php?workbook=14_13.xlsx&amp;sheet=U0&amp;row=234&amp;col=6&amp;number=4&amp;sourceID=14","4")</f>
        <v>4</v>
      </c>
      <c r="G234" s="4" t="str">
        <f>HYPERLINK("http://141.218.60.56/~jnz1568/getInfo.php?workbook=14_13.xlsx&amp;sheet=U0&amp;row=234&amp;col=7&amp;number=0.546&amp;sourceID=14","0.546")</f>
        <v>0.546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HYPERLINK("http://141.218.60.56/~jnz1568/getInfo.php?workbook=14_13.xlsx&amp;sheet=U0&amp;row=235&amp;col=6&amp;number=4.1&amp;sourceID=14","4.1")</f>
        <v>4.1</v>
      </c>
      <c r="G235" s="4" t="str">
        <f>HYPERLINK("http://141.218.60.56/~jnz1568/getInfo.php?workbook=14_13.xlsx&amp;sheet=U0&amp;row=235&amp;col=7&amp;number=0.537&amp;sourceID=14","0.537")</f>
        <v>0.537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HYPERLINK("http://141.218.60.56/~jnz1568/getInfo.php?workbook=14_13.xlsx&amp;sheet=U0&amp;row=236&amp;col=6&amp;number=4.2&amp;sourceID=14","4.2")</f>
        <v>4.2</v>
      </c>
      <c r="G236" s="4" t="str">
        <f>HYPERLINK("http://141.218.60.56/~jnz1568/getInfo.php?workbook=14_13.xlsx&amp;sheet=U0&amp;row=236&amp;col=7&amp;number=0.524&amp;sourceID=14","0.524")</f>
        <v>0.524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HYPERLINK("http://141.218.60.56/~jnz1568/getInfo.php?workbook=14_13.xlsx&amp;sheet=U0&amp;row=237&amp;col=6&amp;number=4.3&amp;sourceID=14","4.3")</f>
        <v>4.3</v>
      </c>
      <c r="G237" s="4" t="str">
        <f>HYPERLINK("http://141.218.60.56/~jnz1568/getInfo.php?workbook=14_13.xlsx&amp;sheet=U0&amp;row=237&amp;col=7&amp;number=0.509&amp;sourceID=14","0.509")</f>
        <v>0.509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HYPERLINK("http://141.218.60.56/~jnz1568/getInfo.php?workbook=14_13.xlsx&amp;sheet=U0&amp;row=238&amp;col=6&amp;number=4.4&amp;sourceID=14","4.4")</f>
        <v>4.4</v>
      </c>
      <c r="G238" s="4" t="str">
        <f>HYPERLINK("http://141.218.60.56/~jnz1568/getInfo.php?workbook=14_13.xlsx&amp;sheet=U0&amp;row=238&amp;col=7&amp;number=0.493&amp;sourceID=14","0.493")</f>
        <v>0.493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HYPERLINK("http://141.218.60.56/~jnz1568/getInfo.php?workbook=14_13.xlsx&amp;sheet=U0&amp;row=239&amp;col=6&amp;number=4.5&amp;sourceID=14","4.5")</f>
        <v>4.5</v>
      </c>
      <c r="G239" s="4" t="str">
        <f>HYPERLINK("http://141.218.60.56/~jnz1568/getInfo.php?workbook=14_13.xlsx&amp;sheet=U0&amp;row=239&amp;col=7&amp;number=0.476&amp;sourceID=14","0.476")</f>
        <v>0.476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HYPERLINK("http://141.218.60.56/~jnz1568/getInfo.php?workbook=14_13.xlsx&amp;sheet=U0&amp;row=240&amp;col=6&amp;number=4.6&amp;sourceID=14","4.6")</f>
        <v>4.6</v>
      </c>
      <c r="G240" s="4" t="str">
        <f>HYPERLINK("http://141.218.60.56/~jnz1568/getInfo.php?workbook=14_13.xlsx&amp;sheet=U0&amp;row=240&amp;col=7&amp;number=0.459&amp;sourceID=14","0.459")</f>
        <v>0.459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HYPERLINK("http://141.218.60.56/~jnz1568/getInfo.php?workbook=14_13.xlsx&amp;sheet=U0&amp;row=241&amp;col=6&amp;number=4.7&amp;sourceID=14","4.7")</f>
        <v>4.7</v>
      </c>
      <c r="G241" s="4" t="str">
        <f>HYPERLINK("http://141.218.60.56/~jnz1568/getInfo.php?workbook=14_13.xlsx&amp;sheet=U0&amp;row=241&amp;col=7&amp;number=0.444&amp;sourceID=14","0.444")</f>
        <v>0.444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HYPERLINK("http://141.218.60.56/~jnz1568/getInfo.php?workbook=14_13.xlsx&amp;sheet=U0&amp;row=242&amp;col=6&amp;number=4.8&amp;sourceID=14","4.8")</f>
        <v>4.8</v>
      </c>
      <c r="G242" s="4" t="str">
        <f>HYPERLINK("http://141.218.60.56/~jnz1568/getInfo.php?workbook=14_13.xlsx&amp;sheet=U0&amp;row=242&amp;col=7&amp;number=0.43&amp;sourceID=14","0.43")</f>
        <v>0.43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HYPERLINK("http://141.218.60.56/~jnz1568/getInfo.php?workbook=14_13.xlsx&amp;sheet=U0&amp;row=243&amp;col=6&amp;number=4.9&amp;sourceID=14","4.9")</f>
        <v>4.9</v>
      </c>
      <c r="G243" s="4" t="str">
        <f>HYPERLINK("http://141.218.60.56/~jnz1568/getInfo.php?workbook=14_13.xlsx&amp;sheet=U0&amp;row=243&amp;col=7&amp;number=0.418&amp;sourceID=14","0.418")</f>
        <v>0.418</v>
      </c>
    </row>
    <row r="244" spans="1:7">
      <c r="A244" s="3">
        <v>14</v>
      </c>
      <c r="B244" s="3">
        <v>13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HYPERLINK("http://141.218.60.56/~jnz1568/getInfo.php?workbook=14_13.xlsx&amp;sheet=U0&amp;row=244&amp;col=6&amp;number=3&amp;sourceID=14","3")</f>
        <v>3</v>
      </c>
      <c r="G244" s="4" t="str">
        <f>HYPERLINK("http://141.218.60.56/~jnz1568/getInfo.php?workbook=14_13.xlsx&amp;sheet=U0&amp;row=244&amp;col=7&amp;number=2.54&amp;sourceID=14","2.54")</f>
        <v>2.54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HYPERLINK("http://141.218.60.56/~jnz1568/getInfo.php?workbook=14_13.xlsx&amp;sheet=U0&amp;row=245&amp;col=6&amp;number=3.1&amp;sourceID=14","3.1")</f>
        <v>3.1</v>
      </c>
      <c r="G245" s="4" t="str">
        <f>HYPERLINK("http://141.218.60.56/~jnz1568/getInfo.php?workbook=14_13.xlsx&amp;sheet=U0&amp;row=245&amp;col=7&amp;number=2.54&amp;sourceID=14","2.54")</f>
        <v>2.54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HYPERLINK("http://141.218.60.56/~jnz1568/getInfo.php?workbook=14_13.xlsx&amp;sheet=U0&amp;row=246&amp;col=6&amp;number=3.2&amp;sourceID=14","3.2")</f>
        <v>3.2</v>
      </c>
      <c r="G246" s="4" t="str">
        <f>HYPERLINK("http://141.218.60.56/~jnz1568/getInfo.php?workbook=14_13.xlsx&amp;sheet=U0&amp;row=246&amp;col=7&amp;number=2.53&amp;sourceID=14","2.53")</f>
        <v>2.53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HYPERLINK("http://141.218.60.56/~jnz1568/getInfo.php?workbook=14_13.xlsx&amp;sheet=U0&amp;row=247&amp;col=6&amp;number=3.3&amp;sourceID=14","3.3")</f>
        <v>3.3</v>
      </c>
      <c r="G247" s="4" t="str">
        <f>HYPERLINK("http://141.218.60.56/~jnz1568/getInfo.php?workbook=14_13.xlsx&amp;sheet=U0&amp;row=247&amp;col=7&amp;number=2.52&amp;sourceID=14","2.52")</f>
        <v>2.52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HYPERLINK("http://141.218.60.56/~jnz1568/getInfo.php?workbook=14_13.xlsx&amp;sheet=U0&amp;row=248&amp;col=6&amp;number=3.4&amp;sourceID=14","3.4")</f>
        <v>3.4</v>
      </c>
      <c r="G248" s="4" t="str">
        <f>HYPERLINK("http://141.218.60.56/~jnz1568/getInfo.php?workbook=14_13.xlsx&amp;sheet=U0&amp;row=248&amp;col=7&amp;number=2.51&amp;sourceID=14","2.51")</f>
        <v>2.51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HYPERLINK("http://141.218.60.56/~jnz1568/getInfo.php?workbook=14_13.xlsx&amp;sheet=U0&amp;row=249&amp;col=6&amp;number=3.5&amp;sourceID=14","3.5")</f>
        <v>3.5</v>
      </c>
      <c r="G249" s="4" t="str">
        <f>HYPERLINK("http://141.218.60.56/~jnz1568/getInfo.php?workbook=14_13.xlsx&amp;sheet=U0&amp;row=249&amp;col=7&amp;number=2.5&amp;sourceID=14","2.5")</f>
        <v>2.5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HYPERLINK("http://141.218.60.56/~jnz1568/getInfo.php?workbook=14_13.xlsx&amp;sheet=U0&amp;row=250&amp;col=6&amp;number=3.6&amp;sourceID=14","3.6")</f>
        <v>3.6</v>
      </c>
      <c r="G250" s="4" t="str">
        <f>HYPERLINK("http://141.218.60.56/~jnz1568/getInfo.php?workbook=14_13.xlsx&amp;sheet=U0&amp;row=250&amp;col=7&amp;number=2.5&amp;sourceID=14","2.5")</f>
        <v>2.5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HYPERLINK("http://141.218.60.56/~jnz1568/getInfo.php?workbook=14_13.xlsx&amp;sheet=U0&amp;row=251&amp;col=6&amp;number=3.7&amp;sourceID=14","3.7")</f>
        <v>3.7</v>
      </c>
      <c r="G251" s="4" t="str">
        <f>HYPERLINK("http://141.218.60.56/~jnz1568/getInfo.php?workbook=14_13.xlsx&amp;sheet=U0&amp;row=251&amp;col=7&amp;number=2.5&amp;sourceID=14","2.5")</f>
        <v>2.5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HYPERLINK("http://141.218.60.56/~jnz1568/getInfo.php?workbook=14_13.xlsx&amp;sheet=U0&amp;row=252&amp;col=6&amp;number=3.8&amp;sourceID=14","3.8")</f>
        <v>3.8</v>
      </c>
      <c r="G252" s="4" t="str">
        <f>HYPERLINK("http://141.218.60.56/~jnz1568/getInfo.php?workbook=14_13.xlsx&amp;sheet=U0&amp;row=252&amp;col=7&amp;number=2.52&amp;sourceID=14","2.52")</f>
        <v>2.52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HYPERLINK("http://141.218.60.56/~jnz1568/getInfo.php?workbook=14_13.xlsx&amp;sheet=U0&amp;row=253&amp;col=6&amp;number=3.9&amp;sourceID=14","3.9")</f>
        <v>3.9</v>
      </c>
      <c r="G253" s="4" t="str">
        <f>HYPERLINK("http://141.218.60.56/~jnz1568/getInfo.php?workbook=14_13.xlsx&amp;sheet=U0&amp;row=253&amp;col=7&amp;number=2.55&amp;sourceID=14","2.55")</f>
        <v>2.55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HYPERLINK("http://141.218.60.56/~jnz1568/getInfo.php?workbook=14_13.xlsx&amp;sheet=U0&amp;row=254&amp;col=6&amp;number=4&amp;sourceID=14","4")</f>
        <v>4</v>
      </c>
      <c r="G254" s="4" t="str">
        <f>HYPERLINK("http://141.218.60.56/~jnz1568/getInfo.php?workbook=14_13.xlsx&amp;sheet=U0&amp;row=254&amp;col=7&amp;number=2.6&amp;sourceID=14","2.6")</f>
        <v>2.6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HYPERLINK("http://141.218.60.56/~jnz1568/getInfo.php?workbook=14_13.xlsx&amp;sheet=U0&amp;row=255&amp;col=6&amp;number=4.1&amp;sourceID=14","4.1")</f>
        <v>4.1</v>
      </c>
      <c r="G255" s="4" t="str">
        <f>HYPERLINK("http://141.218.60.56/~jnz1568/getInfo.php?workbook=14_13.xlsx&amp;sheet=U0&amp;row=255&amp;col=7&amp;number=2.65&amp;sourceID=14","2.65")</f>
        <v>2.65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HYPERLINK("http://141.218.60.56/~jnz1568/getInfo.php?workbook=14_13.xlsx&amp;sheet=U0&amp;row=256&amp;col=6&amp;number=4.2&amp;sourceID=14","4.2")</f>
        <v>4.2</v>
      </c>
      <c r="G256" s="4" t="str">
        <f>HYPERLINK("http://141.218.60.56/~jnz1568/getInfo.php?workbook=14_13.xlsx&amp;sheet=U0&amp;row=256&amp;col=7&amp;number=2.73&amp;sourceID=14","2.73")</f>
        <v>2.73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HYPERLINK("http://141.218.60.56/~jnz1568/getInfo.php?workbook=14_13.xlsx&amp;sheet=U0&amp;row=257&amp;col=6&amp;number=4.3&amp;sourceID=14","4.3")</f>
        <v>4.3</v>
      </c>
      <c r="G257" s="4" t="str">
        <f>HYPERLINK("http://141.218.60.56/~jnz1568/getInfo.php?workbook=14_13.xlsx&amp;sheet=U0&amp;row=257&amp;col=7&amp;number=2.82&amp;sourceID=14","2.82")</f>
        <v>2.82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HYPERLINK("http://141.218.60.56/~jnz1568/getInfo.php?workbook=14_13.xlsx&amp;sheet=U0&amp;row=258&amp;col=6&amp;number=4.4&amp;sourceID=14","4.4")</f>
        <v>4.4</v>
      </c>
      <c r="G258" s="4" t="str">
        <f>HYPERLINK("http://141.218.60.56/~jnz1568/getInfo.php?workbook=14_13.xlsx&amp;sheet=U0&amp;row=258&amp;col=7&amp;number=2.94&amp;sourceID=14","2.94")</f>
        <v>2.94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HYPERLINK("http://141.218.60.56/~jnz1568/getInfo.php?workbook=14_13.xlsx&amp;sheet=U0&amp;row=259&amp;col=6&amp;number=4.5&amp;sourceID=14","4.5")</f>
        <v>4.5</v>
      </c>
      <c r="G259" s="4" t="str">
        <f>HYPERLINK("http://141.218.60.56/~jnz1568/getInfo.php?workbook=14_13.xlsx&amp;sheet=U0&amp;row=259&amp;col=7&amp;number=3.09&amp;sourceID=14","3.09")</f>
        <v>3.09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HYPERLINK("http://141.218.60.56/~jnz1568/getInfo.php?workbook=14_13.xlsx&amp;sheet=U0&amp;row=260&amp;col=6&amp;number=4.6&amp;sourceID=14","4.6")</f>
        <v>4.6</v>
      </c>
      <c r="G260" s="4" t="str">
        <f>HYPERLINK("http://141.218.60.56/~jnz1568/getInfo.php?workbook=14_13.xlsx&amp;sheet=U0&amp;row=260&amp;col=7&amp;number=3.27&amp;sourceID=14","3.27")</f>
        <v>3.27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HYPERLINK("http://141.218.60.56/~jnz1568/getInfo.php?workbook=14_13.xlsx&amp;sheet=U0&amp;row=261&amp;col=6&amp;number=4.7&amp;sourceID=14","4.7")</f>
        <v>4.7</v>
      </c>
      <c r="G261" s="4" t="str">
        <f>HYPERLINK("http://141.218.60.56/~jnz1568/getInfo.php?workbook=14_13.xlsx&amp;sheet=U0&amp;row=261&amp;col=7&amp;number=3.49&amp;sourceID=14","3.49")</f>
        <v>3.49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HYPERLINK("http://141.218.60.56/~jnz1568/getInfo.php?workbook=14_13.xlsx&amp;sheet=U0&amp;row=262&amp;col=6&amp;number=4.8&amp;sourceID=14","4.8")</f>
        <v>4.8</v>
      </c>
      <c r="G262" s="4" t="str">
        <f>HYPERLINK("http://141.218.60.56/~jnz1568/getInfo.php?workbook=14_13.xlsx&amp;sheet=U0&amp;row=262&amp;col=7&amp;number=3.76&amp;sourceID=14","3.76")</f>
        <v>3.76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HYPERLINK("http://141.218.60.56/~jnz1568/getInfo.php?workbook=14_13.xlsx&amp;sheet=U0&amp;row=263&amp;col=6&amp;number=4.9&amp;sourceID=14","4.9")</f>
        <v>4.9</v>
      </c>
      <c r="G263" s="4" t="str">
        <f>HYPERLINK("http://141.218.60.56/~jnz1568/getInfo.php?workbook=14_13.xlsx&amp;sheet=U0&amp;row=263&amp;col=7&amp;number=4.1&amp;sourceID=14","4.1")</f>
        <v>4.1</v>
      </c>
    </row>
    <row r="264" spans="1:7">
      <c r="A264" s="3">
        <v>14</v>
      </c>
      <c r="B264" s="3">
        <v>13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HYPERLINK("http://141.218.60.56/~jnz1568/getInfo.php?workbook=14_13.xlsx&amp;sheet=U0&amp;row=264&amp;col=6&amp;number=3&amp;sourceID=14","3")</f>
        <v>3</v>
      </c>
      <c r="G264" s="4" t="str">
        <f>HYPERLINK("http://141.218.60.56/~jnz1568/getInfo.php?workbook=14_13.xlsx&amp;sheet=U0&amp;row=264&amp;col=7&amp;number=1.61&amp;sourceID=14","1.61")</f>
        <v>1.61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HYPERLINK("http://141.218.60.56/~jnz1568/getInfo.php?workbook=14_13.xlsx&amp;sheet=U0&amp;row=265&amp;col=6&amp;number=3.1&amp;sourceID=14","3.1")</f>
        <v>3.1</v>
      </c>
      <c r="G265" s="4" t="str">
        <f>HYPERLINK("http://141.218.60.56/~jnz1568/getInfo.php?workbook=14_13.xlsx&amp;sheet=U0&amp;row=265&amp;col=7&amp;number=1.61&amp;sourceID=14","1.61")</f>
        <v>1.61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HYPERLINK("http://141.218.60.56/~jnz1568/getInfo.php?workbook=14_13.xlsx&amp;sheet=U0&amp;row=266&amp;col=6&amp;number=3.2&amp;sourceID=14","3.2")</f>
        <v>3.2</v>
      </c>
      <c r="G266" s="4" t="str">
        <f>HYPERLINK("http://141.218.60.56/~jnz1568/getInfo.php?workbook=14_13.xlsx&amp;sheet=U0&amp;row=266&amp;col=7&amp;number=1.61&amp;sourceID=14","1.61")</f>
        <v>1.61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HYPERLINK("http://141.218.60.56/~jnz1568/getInfo.php?workbook=14_13.xlsx&amp;sheet=U0&amp;row=267&amp;col=6&amp;number=3.3&amp;sourceID=14","3.3")</f>
        <v>3.3</v>
      </c>
      <c r="G267" s="4" t="str">
        <f>HYPERLINK("http://141.218.60.56/~jnz1568/getInfo.php?workbook=14_13.xlsx&amp;sheet=U0&amp;row=267&amp;col=7&amp;number=1.62&amp;sourceID=14","1.62")</f>
        <v>1.62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HYPERLINK("http://141.218.60.56/~jnz1568/getInfo.php?workbook=14_13.xlsx&amp;sheet=U0&amp;row=268&amp;col=6&amp;number=3.4&amp;sourceID=14","3.4")</f>
        <v>3.4</v>
      </c>
      <c r="G268" s="4" t="str">
        <f>HYPERLINK("http://141.218.60.56/~jnz1568/getInfo.php?workbook=14_13.xlsx&amp;sheet=U0&amp;row=268&amp;col=7&amp;number=1.62&amp;sourceID=14","1.62")</f>
        <v>1.62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HYPERLINK("http://141.218.60.56/~jnz1568/getInfo.php?workbook=14_13.xlsx&amp;sheet=U0&amp;row=269&amp;col=6&amp;number=3.5&amp;sourceID=14","3.5")</f>
        <v>3.5</v>
      </c>
      <c r="G269" s="4" t="str">
        <f>HYPERLINK("http://141.218.60.56/~jnz1568/getInfo.php?workbook=14_13.xlsx&amp;sheet=U0&amp;row=269&amp;col=7&amp;number=1.62&amp;sourceID=14","1.62")</f>
        <v>1.62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HYPERLINK("http://141.218.60.56/~jnz1568/getInfo.php?workbook=14_13.xlsx&amp;sheet=U0&amp;row=270&amp;col=6&amp;number=3.6&amp;sourceID=14","3.6")</f>
        <v>3.6</v>
      </c>
      <c r="G270" s="4" t="str">
        <f>HYPERLINK("http://141.218.60.56/~jnz1568/getInfo.php?workbook=14_13.xlsx&amp;sheet=U0&amp;row=270&amp;col=7&amp;number=1.63&amp;sourceID=14","1.63")</f>
        <v>1.63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HYPERLINK("http://141.218.60.56/~jnz1568/getInfo.php?workbook=14_13.xlsx&amp;sheet=U0&amp;row=271&amp;col=6&amp;number=3.7&amp;sourceID=14","3.7")</f>
        <v>3.7</v>
      </c>
      <c r="G271" s="4" t="str">
        <f>HYPERLINK("http://141.218.60.56/~jnz1568/getInfo.php?workbook=14_13.xlsx&amp;sheet=U0&amp;row=271&amp;col=7&amp;number=1.64&amp;sourceID=14","1.64")</f>
        <v>1.64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HYPERLINK("http://141.218.60.56/~jnz1568/getInfo.php?workbook=14_13.xlsx&amp;sheet=U0&amp;row=272&amp;col=6&amp;number=3.8&amp;sourceID=14","3.8")</f>
        <v>3.8</v>
      </c>
      <c r="G272" s="4" t="str">
        <f>HYPERLINK("http://141.218.60.56/~jnz1568/getInfo.php?workbook=14_13.xlsx&amp;sheet=U0&amp;row=272&amp;col=7&amp;number=1.65&amp;sourceID=14","1.65")</f>
        <v>1.65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HYPERLINK("http://141.218.60.56/~jnz1568/getInfo.php?workbook=14_13.xlsx&amp;sheet=U0&amp;row=273&amp;col=6&amp;number=3.9&amp;sourceID=14","3.9")</f>
        <v>3.9</v>
      </c>
      <c r="G273" s="4" t="str">
        <f>HYPERLINK("http://141.218.60.56/~jnz1568/getInfo.php?workbook=14_13.xlsx&amp;sheet=U0&amp;row=273&amp;col=7&amp;number=1.66&amp;sourceID=14","1.66")</f>
        <v>1.66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HYPERLINK("http://141.218.60.56/~jnz1568/getInfo.php?workbook=14_13.xlsx&amp;sheet=U0&amp;row=274&amp;col=6&amp;number=4&amp;sourceID=14","4")</f>
        <v>4</v>
      </c>
      <c r="G274" s="4" t="str">
        <f>HYPERLINK("http://141.218.60.56/~jnz1568/getInfo.php?workbook=14_13.xlsx&amp;sheet=U0&amp;row=274&amp;col=7&amp;number=1.68&amp;sourceID=14","1.68")</f>
        <v>1.68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HYPERLINK("http://141.218.60.56/~jnz1568/getInfo.php?workbook=14_13.xlsx&amp;sheet=U0&amp;row=275&amp;col=6&amp;number=4.1&amp;sourceID=14","4.1")</f>
        <v>4.1</v>
      </c>
      <c r="G275" s="4" t="str">
        <f>HYPERLINK("http://141.218.60.56/~jnz1568/getInfo.php?workbook=14_13.xlsx&amp;sheet=U0&amp;row=275&amp;col=7&amp;number=1.7&amp;sourceID=14","1.7")</f>
        <v>1.7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HYPERLINK("http://141.218.60.56/~jnz1568/getInfo.php?workbook=14_13.xlsx&amp;sheet=U0&amp;row=276&amp;col=6&amp;number=4.2&amp;sourceID=14","4.2")</f>
        <v>4.2</v>
      </c>
      <c r="G276" s="4" t="str">
        <f>HYPERLINK("http://141.218.60.56/~jnz1568/getInfo.php?workbook=14_13.xlsx&amp;sheet=U0&amp;row=276&amp;col=7&amp;number=1.73&amp;sourceID=14","1.73")</f>
        <v>1.73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HYPERLINK("http://141.218.60.56/~jnz1568/getInfo.php?workbook=14_13.xlsx&amp;sheet=U0&amp;row=277&amp;col=6&amp;number=4.3&amp;sourceID=14","4.3")</f>
        <v>4.3</v>
      </c>
      <c r="G277" s="4" t="str">
        <f>HYPERLINK("http://141.218.60.56/~jnz1568/getInfo.php?workbook=14_13.xlsx&amp;sheet=U0&amp;row=277&amp;col=7&amp;number=1.76&amp;sourceID=14","1.76")</f>
        <v>1.76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HYPERLINK("http://141.218.60.56/~jnz1568/getInfo.php?workbook=14_13.xlsx&amp;sheet=U0&amp;row=278&amp;col=6&amp;number=4.4&amp;sourceID=14","4.4")</f>
        <v>4.4</v>
      </c>
      <c r="G278" s="4" t="str">
        <f>HYPERLINK("http://141.218.60.56/~jnz1568/getInfo.php?workbook=14_13.xlsx&amp;sheet=U0&amp;row=278&amp;col=7&amp;number=1.81&amp;sourceID=14","1.81")</f>
        <v>1.81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HYPERLINK("http://141.218.60.56/~jnz1568/getInfo.php?workbook=14_13.xlsx&amp;sheet=U0&amp;row=279&amp;col=6&amp;number=4.5&amp;sourceID=14","4.5")</f>
        <v>4.5</v>
      </c>
      <c r="G279" s="4" t="str">
        <f>HYPERLINK("http://141.218.60.56/~jnz1568/getInfo.php?workbook=14_13.xlsx&amp;sheet=U0&amp;row=279&amp;col=7&amp;number=1.87&amp;sourceID=14","1.87")</f>
        <v>1.87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HYPERLINK("http://141.218.60.56/~jnz1568/getInfo.php?workbook=14_13.xlsx&amp;sheet=U0&amp;row=280&amp;col=6&amp;number=4.6&amp;sourceID=14","4.6")</f>
        <v>4.6</v>
      </c>
      <c r="G280" s="4" t="str">
        <f>HYPERLINK("http://141.218.60.56/~jnz1568/getInfo.php?workbook=14_13.xlsx&amp;sheet=U0&amp;row=280&amp;col=7&amp;number=1.95&amp;sourceID=14","1.95")</f>
        <v>1.95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HYPERLINK("http://141.218.60.56/~jnz1568/getInfo.php?workbook=14_13.xlsx&amp;sheet=U0&amp;row=281&amp;col=6&amp;number=4.7&amp;sourceID=14","4.7")</f>
        <v>4.7</v>
      </c>
      <c r="G281" s="4" t="str">
        <f>HYPERLINK("http://141.218.60.56/~jnz1568/getInfo.php?workbook=14_13.xlsx&amp;sheet=U0&amp;row=281&amp;col=7&amp;number=2.05&amp;sourceID=14","2.05")</f>
        <v>2.05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HYPERLINK("http://141.218.60.56/~jnz1568/getInfo.php?workbook=14_13.xlsx&amp;sheet=U0&amp;row=282&amp;col=6&amp;number=4.8&amp;sourceID=14","4.8")</f>
        <v>4.8</v>
      </c>
      <c r="G282" s="4" t="str">
        <f>HYPERLINK("http://141.218.60.56/~jnz1568/getInfo.php?workbook=14_13.xlsx&amp;sheet=U0&amp;row=282&amp;col=7&amp;number=2.17&amp;sourceID=14","2.17")</f>
        <v>2.17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HYPERLINK("http://141.218.60.56/~jnz1568/getInfo.php?workbook=14_13.xlsx&amp;sheet=U0&amp;row=283&amp;col=6&amp;number=4.9&amp;sourceID=14","4.9")</f>
        <v>4.9</v>
      </c>
      <c r="G283" s="4" t="str">
        <f>HYPERLINK("http://141.218.60.56/~jnz1568/getInfo.php?workbook=14_13.xlsx&amp;sheet=U0&amp;row=283&amp;col=7&amp;number=2.32&amp;sourceID=14","2.32")</f>
        <v>2.32</v>
      </c>
    </row>
    <row r="284" spans="1:7">
      <c r="A284" s="3">
        <v>14</v>
      </c>
      <c r="B284" s="3">
        <v>13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HYPERLINK("http://141.218.60.56/~jnz1568/getInfo.php?workbook=14_13.xlsx&amp;sheet=U0&amp;row=284&amp;col=6&amp;number=3&amp;sourceID=14","3")</f>
        <v>3</v>
      </c>
      <c r="G284" s="4" t="str">
        <f>HYPERLINK("http://141.218.60.56/~jnz1568/getInfo.php?workbook=14_13.xlsx&amp;sheet=U0&amp;row=284&amp;col=7&amp;number=0.394&amp;sourceID=14","0.394")</f>
        <v>0.394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HYPERLINK("http://141.218.60.56/~jnz1568/getInfo.php?workbook=14_13.xlsx&amp;sheet=U0&amp;row=285&amp;col=6&amp;number=3.1&amp;sourceID=14","3.1")</f>
        <v>3.1</v>
      </c>
      <c r="G285" s="4" t="str">
        <f>HYPERLINK("http://141.218.60.56/~jnz1568/getInfo.php?workbook=14_13.xlsx&amp;sheet=U0&amp;row=285&amp;col=7&amp;number=0.388&amp;sourceID=14","0.388")</f>
        <v>0.388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HYPERLINK("http://141.218.60.56/~jnz1568/getInfo.php?workbook=14_13.xlsx&amp;sheet=U0&amp;row=286&amp;col=6&amp;number=3.2&amp;sourceID=14","3.2")</f>
        <v>3.2</v>
      </c>
      <c r="G286" s="4" t="str">
        <f>HYPERLINK("http://141.218.60.56/~jnz1568/getInfo.php?workbook=14_13.xlsx&amp;sheet=U0&amp;row=286&amp;col=7&amp;number=0.38&amp;sourceID=14","0.38")</f>
        <v>0.38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HYPERLINK("http://141.218.60.56/~jnz1568/getInfo.php?workbook=14_13.xlsx&amp;sheet=U0&amp;row=287&amp;col=6&amp;number=3.3&amp;sourceID=14","3.3")</f>
        <v>3.3</v>
      </c>
      <c r="G287" s="4" t="str">
        <f>HYPERLINK("http://141.218.60.56/~jnz1568/getInfo.php?workbook=14_13.xlsx&amp;sheet=U0&amp;row=287&amp;col=7&amp;number=0.37&amp;sourceID=14","0.37")</f>
        <v>0.37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HYPERLINK("http://141.218.60.56/~jnz1568/getInfo.php?workbook=14_13.xlsx&amp;sheet=U0&amp;row=288&amp;col=6&amp;number=3.4&amp;sourceID=14","3.4")</f>
        <v>3.4</v>
      </c>
      <c r="G288" s="4" t="str">
        <f>HYPERLINK("http://141.218.60.56/~jnz1568/getInfo.php?workbook=14_13.xlsx&amp;sheet=U0&amp;row=288&amp;col=7&amp;number=0.358&amp;sourceID=14","0.358")</f>
        <v>0.358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HYPERLINK("http://141.218.60.56/~jnz1568/getInfo.php?workbook=14_13.xlsx&amp;sheet=U0&amp;row=289&amp;col=6&amp;number=3.5&amp;sourceID=14","3.5")</f>
        <v>3.5</v>
      </c>
      <c r="G289" s="4" t="str">
        <f>HYPERLINK("http://141.218.60.56/~jnz1568/getInfo.php?workbook=14_13.xlsx&amp;sheet=U0&amp;row=289&amp;col=7&amp;number=0.343&amp;sourceID=14","0.343")</f>
        <v>0.343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HYPERLINK("http://141.218.60.56/~jnz1568/getInfo.php?workbook=14_13.xlsx&amp;sheet=U0&amp;row=290&amp;col=6&amp;number=3.6&amp;sourceID=14","3.6")</f>
        <v>3.6</v>
      </c>
      <c r="G290" s="4" t="str">
        <f>HYPERLINK("http://141.218.60.56/~jnz1568/getInfo.php?workbook=14_13.xlsx&amp;sheet=U0&amp;row=290&amp;col=7&amp;number=0.327&amp;sourceID=14","0.327")</f>
        <v>0.327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HYPERLINK("http://141.218.60.56/~jnz1568/getInfo.php?workbook=14_13.xlsx&amp;sheet=U0&amp;row=291&amp;col=6&amp;number=3.7&amp;sourceID=14","3.7")</f>
        <v>3.7</v>
      </c>
      <c r="G291" s="4" t="str">
        <f>HYPERLINK("http://141.218.60.56/~jnz1568/getInfo.php?workbook=14_13.xlsx&amp;sheet=U0&amp;row=291&amp;col=7&amp;number=0.308&amp;sourceID=14","0.308")</f>
        <v>0.308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HYPERLINK("http://141.218.60.56/~jnz1568/getInfo.php?workbook=14_13.xlsx&amp;sheet=U0&amp;row=292&amp;col=6&amp;number=3.8&amp;sourceID=14","3.8")</f>
        <v>3.8</v>
      </c>
      <c r="G292" s="4" t="str">
        <f>HYPERLINK("http://141.218.60.56/~jnz1568/getInfo.php?workbook=14_13.xlsx&amp;sheet=U0&amp;row=292&amp;col=7&amp;number=0.288&amp;sourceID=14","0.288")</f>
        <v>0.288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HYPERLINK("http://141.218.60.56/~jnz1568/getInfo.php?workbook=14_13.xlsx&amp;sheet=U0&amp;row=293&amp;col=6&amp;number=3.9&amp;sourceID=14","3.9")</f>
        <v>3.9</v>
      </c>
      <c r="G293" s="4" t="str">
        <f>HYPERLINK("http://141.218.60.56/~jnz1568/getInfo.php?workbook=14_13.xlsx&amp;sheet=U0&amp;row=293&amp;col=7&amp;number=0.268&amp;sourceID=14","0.268")</f>
        <v>0.268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HYPERLINK("http://141.218.60.56/~jnz1568/getInfo.php?workbook=14_13.xlsx&amp;sheet=U0&amp;row=294&amp;col=6&amp;number=4&amp;sourceID=14","4")</f>
        <v>4</v>
      </c>
      <c r="G294" s="4" t="str">
        <f>HYPERLINK("http://141.218.60.56/~jnz1568/getInfo.php?workbook=14_13.xlsx&amp;sheet=U0&amp;row=294&amp;col=7&amp;number=0.249&amp;sourceID=14","0.249")</f>
        <v>0.249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HYPERLINK("http://141.218.60.56/~jnz1568/getInfo.php?workbook=14_13.xlsx&amp;sheet=U0&amp;row=295&amp;col=6&amp;number=4.1&amp;sourceID=14","4.1")</f>
        <v>4.1</v>
      </c>
      <c r="G295" s="4" t="str">
        <f>HYPERLINK("http://141.218.60.56/~jnz1568/getInfo.php?workbook=14_13.xlsx&amp;sheet=U0&amp;row=295&amp;col=7&amp;number=0.231&amp;sourceID=14","0.231")</f>
        <v>0.231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HYPERLINK("http://141.218.60.56/~jnz1568/getInfo.php?workbook=14_13.xlsx&amp;sheet=U0&amp;row=296&amp;col=6&amp;number=4.2&amp;sourceID=14","4.2")</f>
        <v>4.2</v>
      </c>
      <c r="G296" s="4" t="str">
        <f>HYPERLINK("http://141.218.60.56/~jnz1568/getInfo.php?workbook=14_13.xlsx&amp;sheet=U0&amp;row=296&amp;col=7&amp;number=0.215&amp;sourceID=14","0.215")</f>
        <v>0.215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HYPERLINK("http://141.218.60.56/~jnz1568/getInfo.php?workbook=14_13.xlsx&amp;sheet=U0&amp;row=297&amp;col=6&amp;number=4.3&amp;sourceID=14","4.3")</f>
        <v>4.3</v>
      </c>
      <c r="G297" s="4" t="str">
        <f>HYPERLINK("http://141.218.60.56/~jnz1568/getInfo.php?workbook=14_13.xlsx&amp;sheet=U0&amp;row=297&amp;col=7&amp;number=0.201&amp;sourceID=14","0.201")</f>
        <v>0.201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HYPERLINK("http://141.218.60.56/~jnz1568/getInfo.php?workbook=14_13.xlsx&amp;sheet=U0&amp;row=298&amp;col=6&amp;number=4.4&amp;sourceID=14","4.4")</f>
        <v>4.4</v>
      </c>
      <c r="G298" s="4" t="str">
        <f>HYPERLINK("http://141.218.60.56/~jnz1568/getInfo.php?workbook=14_13.xlsx&amp;sheet=U0&amp;row=298&amp;col=7&amp;number=0.19&amp;sourceID=14","0.19")</f>
        <v>0.19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HYPERLINK("http://141.218.60.56/~jnz1568/getInfo.php?workbook=14_13.xlsx&amp;sheet=U0&amp;row=299&amp;col=6&amp;number=4.5&amp;sourceID=14","4.5")</f>
        <v>4.5</v>
      </c>
      <c r="G299" s="4" t="str">
        <f>HYPERLINK("http://141.218.60.56/~jnz1568/getInfo.php?workbook=14_13.xlsx&amp;sheet=U0&amp;row=299&amp;col=7&amp;number=0.18&amp;sourceID=14","0.18")</f>
        <v>0.18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HYPERLINK("http://141.218.60.56/~jnz1568/getInfo.php?workbook=14_13.xlsx&amp;sheet=U0&amp;row=300&amp;col=6&amp;number=4.6&amp;sourceID=14","4.6")</f>
        <v>4.6</v>
      </c>
      <c r="G300" s="4" t="str">
        <f>HYPERLINK("http://141.218.60.56/~jnz1568/getInfo.php?workbook=14_13.xlsx&amp;sheet=U0&amp;row=300&amp;col=7&amp;number=0.173&amp;sourceID=14","0.173")</f>
        <v>0.173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HYPERLINK("http://141.218.60.56/~jnz1568/getInfo.php?workbook=14_13.xlsx&amp;sheet=U0&amp;row=301&amp;col=6&amp;number=4.7&amp;sourceID=14","4.7")</f>
        <v>4.7</v>
      </c>
      <c r="G301" s="4" t="str">
        <f>HYPERLINK("http://141.218.60.56/~jnz1568/getInfo.php?workbook=14_13.xlsx&amp;sheet=U0&amp;row=301&amp;col=7&amp;number=0.167&amp;sourceID=14","0.167")</f>
        <v>0.167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HYPERLINK("http://141.218.60.56/~jnz1568/getInfo.php?workbook=14_13.xlsx&amp;sheet=U0&amp;row=302&amp;col=6&amp;number=4.8&amp;sourceID=14","4.8")</f>
        <v>4.8</v>
      </c>
      <c r="G302" s="4" t="str">
        <f>HYPERLINK("http://141.218.60.56/~jnz1568/getInfo.php?workbook=14_13.xlsx&amp;sheet=U0&amp;row=302&amp;col=7&amp;number=0.163&amp;sourceID=14","0.163")</f>
        <v>0.163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HYPERLINK("http://141.218.60.56/~jnz1568/getInfo.php?workbook=14_13.xlsx&amp;sheet=U0&amp;row=303&amp;col=6&amp;number=4.9&amp;sourceID=14","4.9")</f>
        <v>4.9</v>
      </c>
      <c r="G303" s="4" t="str">
        <f>HYPERLINK("http://141.218.60.56/~jnz1568/getInfo.php?workbook=14_13.xlsx&amp;sheet=U0&amp;row=303&amp;col=7&amp;number=0.161&amp;sourceID=14","0.161")</f>
        <v>0.161</v>
      </c>
    </row>
    <row r="304" spans="1:7">
      <c r="A304" s="3">
        <v>14</v>
      </c>
      <c r="B304" s="3">
        <v>13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HYPERLINK("http://141.218.60.56/~jnz1568/getInfo.php?workbook=14_13.xlsx&amp;sheet=U0&amp;row=304&amp;col=6&amp;number=3&amp;sourceID=14","3")</f>
        <v>3</v>
      </c>
      <c r="G304" s="4" t="str">
        <f>HYPERLINK("http://141.218.60.56/~jnz1568/getInfo.php?workbook=14_13.xlsx&amp;sheet=U0&amp;row=304&amp;col=7&amp;number=0.733&amp;sourceID=14","0.733")</f>
        <v>0.733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HYPERLINK("http://141.218.60.56/~jnz1568/getInfo.php?workbook=14_13.xlsx&amp;sheet=U0&amp;row=305&amp;col=6&amp;number=3.1&amp;sourceID=14","3.1")</f>
        <v>3.1</v>
      </c>
      <c r="G305" s="4" t="str">
        <f>HYPERLINK("http://141.218.60.56/~jnz1568/getInfo.php?workbook=14_13.xlsx&amp;sheet=U0&amp;row=305&amp;col=7&amp;number=0.734&amp;sourceID=14","0.734")</f>
        <v>0.734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HYPERLINK("http://141.218.60.56/~jnz1568/getInfo.php?workbook=14_13.xlsx&amp;sheet=U0&amp;row=306&amp;col=6&amp;number=3.2&amp;sourceID=14","3.2")</f>
        <v>3.2</v>
      </c>
      <c r="G306" s="4" t="str">
        <f>HYPERLINK("http://141.218.60.56/~jnz1568/getInfo.php?workbook=14_13.xlsx&amp;sheet=U0&amp;row=306&amp;col=7&amp;number=0.737&amp;sourceID=14","0.737")</f>
        <v>0.737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HYPERLINK("http://141.218.60.56/~jnz1568/getInfo.php?workbook=14_13.xlsx&amp;sheet=U0&amp;row=307&amp;col=6&amp;number=3.3&amp;sourceID=14","3.3")</f>
        <v>3.3</v>
      </c>
      <c r="G307" s="4" t="str">
        <f>HYPERLINK("http://141.218.60.56/~jnz1568/getInfo.php?workbook=14_13.xlsx&amp;sheet=U0&amp;row=307&amp;col=7&amp;number=0.74&amp;sourceID=14","0.74")</f>
        <v>0.74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HYPERLINK("http://141.218.60.56/~jnz1568/getInfo.php?workbook=14_13.xlsx&amp;sheet=U0&amp;row=308&amp;col=6&amp;number=3.4&amp;sourceID=14","3.4")</f>
        <v>3.4</v>
      </c>
      <c r="G308" s="4" t="str">
        <f>HYPERLINK("http://141.218.60.56/~jnz1568/getInfo.php?workbook=14_13.xlsx&amp;sheet=U0&amp;row=308&amp;col=7&amp;number=0.743&amp;sourceID=14","0.743")</f>
        <v>0.743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HYPERLINK("http://141.218.60.56/~jnz1568/getInfo.php?workbook=14_13.xlsx&amp;sheet=U0&amp;row=309&amp;col=6&amp;number=3.5&amp;sourceID=14","3.5")</f>
        <v>3.5</v>
      </c>
      <c r="G309" s="4" t="str">
        <f>HYPERLINK("http://141.218.60.56/~jnz1568/getInfo.php?workbook=14_13.xlsx&amp;sheet=U0&amp;row=309&amp;col=7&amp;number=0.747&amp;sourceID=14","0.747")</f>
        <v>0.747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HYPERLINK("http://141.218.60.56/~jnz1568/getInfo.php?workbook=14_13.xlsx&amp;sheet=U0&amp;row=310&amp;col=6&amp;number=3.6&amp;sourceID=14","3.6")</f>
        <v>3.6</v>
      </c>
      <c r="G310" s="4" t="str">
        <f>HYPERLINK("http://141.218.60.56/~jnz1568/getInfo.php?workbook=14_13.xlsx&amp;sheet=U0&amp;row=310&amp;col=7&amp;number=0.752&amp;sourceID=14","0.752")</f>
        <v>0.752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HYPERLINK("http://141.218.60.56/~jnz1568/getInfo.php?workbook=14_13.xlsx&amp;sheet=U0&amp;row=311&amp;col=6&amp;number=3.7&amp;sourceID=14","3.7")</f>
        <v>3.7</v>
      </c>
      <c r="G311" s="4" t="str">
        <f>HYPERLINK("http://141.218.60.56/~jnz1568/getInfo.php?workbook=14_13.xlsx&amp;sheet=U0&amp;row=311&amp;col=7&amp;number=0.758&amp;sourceID=14","0.758")</f>
        <v>0.758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HYPERLINK("http://141.218.60.56/~jnz1568/getInfo.php?workbook=14_13.xlsx&amp;sheet=U0&amp;row=312&amp;col=6&amp;number=3.8&amp;sourceID=14","3.8")</f>
        <v>3.8</v>
      </c>
      <c r="G312" s="4" t="str">
        <f>HYPERLINK("http://141.218.60.56/~jnz1568/getInfo.php?workbook=14_13.xlsx&amp;sheet=U0&amp;row=312&amp;col=7&amp;number=0.764&amp;sourceID=14","0.764")</f>
        <v>0.764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HYPERLINK("http://141.218.60.56/~jnz1568/getInfo.php?workbook=14_13.xlsx&amp;sheet=U0&amp;row=313&amp;col=6&amp;number=3.9&amp;sourceID=14","3.9")</f>
        <v>3.9</v>
      </c>
      <c r="G313" s="4" t="str">
        <f>HYPERLINK("http://141.218.60.56/~jnz1568/getInfo.php?workbook=14_13.xlsx&amp;sheet=U0&amp;row=313&amp;col=7&amp;number=0.772&amp;sourceID=14","0.772")</f>
        <v>0.772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HYPERLINK("http://141.218.60.56/~jnz1568/getInfo.php?workbook=14_13.xlsx&amp;sheet=U0&amp;row=314&amp;col=6&amp;number=4&amp;sourceID=14","4")</f>
        <v>4</v>
      </c>
      <c r="G314" s="4" t="str">
        <f>HYPERLINK("http://141.218.60.56/~jnz1568/getInfo.php?workbook=14_13.xlsx&amp;sheet=U0&amp;row=314&amp;col=7&amp;number=0.783&amp;sourceID=14","0.783")</f>
        <v>0.783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HYPERLINK("http://141.218.60.56/~jnz1568/getInfo.php?workbook=14_13.xlsx&amp;sheet=U0&amp;row=315&amp;col=6&amp;number=4.1&amp;sourceID=14","4.1")</f>
        <v>4.1</v>
      </c>
      <c r="G315" s="4" t="str">
        <f>HYPERLINK("http://141.218.60.56/~jnz1568/getInfo.php?workbook=14_13.xlsx&amp;sheet=U0&amp;row=315&amp;col=7&amp;number=0.801&amp;sourceID=14","0.801")</f>
        <v>0.801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HYPERLINK("http://141.218.60.56/~jnz1568/getInfo.php?workbook=14_13.xlsx&amp;sheet=U0&amp;row=316&amp;col=6&amp;number=4.2&amp;sourceID=14","4.2")</f>
        <v>4.2</v>
      </c>
      <c r="G316" s="4" t="str">
        <f>HYPERLINK("http://141.218.60.56/~jnz1568/getInfo.php?workbook=14_13.xlsx&amp;sheet=U0&amp;row=316&amp;col=7&amp;number=0.831&amp;sourceID=14","0.831")</f>
        <v>0.831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HYPERLINK("http://141.218.60.56/~jnz1568/getInfo.php?workbook=14_13.xlsx&amp;sheet=U0&amp;row=317&amp;col=6&amp;number=4.3&amp;sourceID=14","4.3")</f>
        <v>4.3</v>
      </c>
      <c r="G317" s="4" t="str">
        <f>HYPERLINK("http://141.218.60.56/~jnz1568/getInfo.php?workbook=14_13.xlsx&amp;sheet=U0&amp;row=317&amp;col=7&amp;number=0.872&amp;sourceID=14","0.872")</f>
        <v>0.872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HYPERLINK("http://141.218.60.56/~jnz1568/getInfo.php?workbook=14_13.xlsx&amp;sheet=U0&amp;row=318&amp;col=6&amp;number=4.4&amp;sourceID=14","4.4")</f>
        <v>4.4</v>
      </c>
      <c r="G318" s="4" t="str">
        <f>HYPERLINK("http://141.218.60.56/~jnz1568/getInfo.php?workbook=14_13.xlsx&amp;sheet=U0&amp;row=318&amp;col=7&amp;number=0.924&amp;sourceID=14","0.924")</f>
        <v>0.924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HYPERLINK("http://141.218.60.56/~jnz1568/getInfo.php?workbook=14_13.xlsx&amp;sheet=U0&amp;row=319&amp;col=6&amp;number=4.5&amp;sourceID=14","4.5")</f>
        <v>4.5</v>
      </c>
      <c r="G319" s="4" t="str">
        <f>HYPERLINK("http://141.218.60.56/~jnz1568/getInfo.php?workbook=14_13.xlsx&amp;sheet=U0&amp;row=319&amp;col=7&amp;number=0.986&amp;sourceID=14","0.986")</f>
        <v>0.986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HYPERLINK("http://141.218.60.56/~jnz1568/getInfo.php?workbook=14_13.xlsx&amp;sheet=U0&amp;row=320&amp;col=6&amp;number=4.6&amp;sourceID=14","4.6")</f>
        <v>4.6</v>
      </c>
      <c r="G320" s="4" t="str">
        <f>HYPERLINK("http://141.218.60.56/~jnz1568/getInfo.php?workbook=14_13.xlsx&amp;sheet=U0&amp;row=320&amp;col=7&amp;number=1.06&amp;sourceID=14","1.06")</f>
        <v>1.06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HYPERLINK("http://141.218.60.56/~jnz1568/getInfo.php?workbook=14_13.xlsx&amp;sheet=U0&amp;row=321&amp;col=6&amp;number=4.7&amp;sourceID=14","4.7")</f>
        <v>4.7</v>
      </c>
      <c r="G321" s="4" t="str">
        <f>HYPERLINK("http://141.218.60.56/~jnz1568/getInfo.php?workbook=14_13.xlsx&amp;sheet=U0&amp;row=321&amp;col=7&amp;number=1.14&amp;sourceID=14","1.14")</f>
        <v>1.14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HYPERLINK("http://141.218.60.56/~jnz1568/getInfo.php?workbook=14_13.xlsx&amp;sheet=U0&amp;row=322&amp;col=6&amp;number=4.8&amp;sourceID=14","4.8")</f>
        <v>4.8</v>
      </c>
      <c r="G322" s="4" t="str">
        <f>HYPERLINK("http://141.218.60.56/~jnz1568/getInfo.php?workbook=14_13.xlsx&amp;sheet=U0&amp;row=322&amp;col=7&amp;number=1.23&amp;sourceID=14","1.23")</f>
        <v>1.23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HYPERLINK("http://141.218.60.56/~jnz1568/getInfo.php?workbook=14_13.xlsx&amp;sheet=U0&amp;row=323&amp;col=6&amp;number=4.9&amp;sourceID=14","4.9")</f>
        <v>4.9</v>
      </c>
      <c r="G323" s="4" t="str">
        <f>HYPERLINK("http://141.218.60.56/~jnz1568/getInfo.php?workbook=14_13.xlsx&amp;sheet=U0&amp;row=323&amp;col=7&amp;number=1.33&amp;sourceID=14","1.33")</f>
        <v>1.33</v>
      </c>
    </row>
    <row r="324" spans="1:7">
      <c r="A324" s="3">
        <v>14</v>
      </c>
      <c r="B324" s="3">
        <v>13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HYPERLINK("http://141.218.60.56/~jnz1568/getInfo.php?workbook=14_13.xlsx&amp;sheet=U0&amp;row=324&amp;col=6&amp;number=3&amp;sourceID=14","3")</f>
        <v>3</v>
      </c>
      <c r="G324" s="4" t="str">
        <f>HYPERLINK("http://141.218.60.56/~jnz1568/getInfo.php?workbook=14_13.xlsx&amp;sheet=U0&amp;row=324&amp;col=7&amp;number=0.424&amp;sourceID=14","0.424")</f>
        <v>0.424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HYPERLINK("http://141.218.60.56/~jnz1568/getInfo.php?workbook=14_13.xlsx&amp;sheet=U0&amp;row=325&amp;col=6&amp;number=3.1&amp;sourceID=14","3.1")</f>
        <v>3.1</v>
      </c>
      <c r="G325" s="4" t="str">
        <f>HYPERLINK("http://141.218.60.56/~jnz1568/getInfo.php?workbook=14_13.xlsx&amp;sheet=U0&amp;row=325&amp;col=7&amp;number=0.42&amp;sourceID=14","0.42")</f>
        <v>0.42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HYPERLINK("http://141.218.60.56/~jnz1568/getInfo.php?workbook=14_13.xlsx&amp;sheet=U0&amp;row=326&amp;col=6&amp;number=3.2&amp;sourceID=14","3.2")</f>
        <v>3.2</v>
      </c>
      <c r="G326" s="4" t="str">
        <f>HYPERLINK("http://141.218.60.56/~jnz1568/getInfo.php?workbook=14_13.xlsx&amp;sheet=U0&amp;row=326&amp;col=7&amp;number=0.415&amp;sourceID=14","0.415")</f>
        <v>0.415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HYPERLINK("http://141.218.60.56/~jnz1568/getInfo.php?workbook=14_13.xlsx&amp;sheet=U0&amp;row=327&amp;col=6&amp;number=3.3&amp;sourceID=14","3.3")</f>
        <v>3.3</v>
      </c>
      <c r="G327" s="4" t="str">
        <f>HYPERLINK("http://141.218.60.56/~jnz1568/getInfo.php?workbook=14_13.xlsx&amp;sheet=U0&amp;row=327&amp;col=7&amp;number=0.41&amp;sourceID=14","0.41")</f>
        <v>0.41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HYPERLINK("http://141.218.60.56/~jnz1568/getInfo.php?workbook=14_13.xlsx&amp;sheet=U0&amp;row=328&amp;col=6&amp;number=3.4&amp;sourceID=14","3.4")</f>
        <v>3.4</v>
      </c>
      <c r="G328" s="4" t="str">
        <f>HYPERLINK("http://141.218.60.56/~jnz1568/getInfo.php?workbook=14_13.xlsx&amp;sheet=U0&amp;row=328&amp;col=7&amp;number=0.403&amp;sourceID=14","0.403")</f>
        <v>0.403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HYPERLINK("http://141.218.60.56/~jnz1568/getInfo.php?workbook=14_13.xlsx&amp;sheet=U0&amp;row=329&amp;col=6&amp;number=3.5&amp;sourceID=14","3.5")</f>
        <v>3.5</v>
      </c>
      <c r="G329" s="4" t="str">
        <f>HYPERLINK("http://141.218.60.56/~jnz1568/getInfo.php?workbook=14_13.xlsx&amp;sheet=U0&amp;row=329&amp;col=7&amp;number=0.395&amp;sourceID=14","0.395")</f>
        <v>0.395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HYPERLINK("http://141.218.60.56/~jnz1568/getInfo.php?workbook=14_13.xlsx&amp;sheet=U0&amp;row=330&amp;col=6&amp;number=3.6&amp;sourceID=14","3.6")</f>
        <v>3.6</v>
      </c>
      <c r="G330" s="4" t="str">
        <f>HYPERLINK("http://141.218.60.56/~jnz1568/getInfo.php?workbook=14_13.xlsx&amp;sheet=U0&amp;row=330&amp;col=7&amp;number=0.386&amp;sourceID=14","0.386")</f>
        <v>0.386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HYPERLINK("http://141.218.60.56/~jnz1568/getInfo.php?workbook=14_13.xlsx&amp;sheet=U0&amp;row=331&amp;col=6&amp;number=3.7&amp;sourceID=14","3.7")</f>
        <v>3.7</v>
      </c>
      <c r="G331" s="4" t="str">
        <f>HYPERLINK("http://141.218.60.56/~jnz1568/getInfo.php?workbook=14_13.xlsx&amp;sheet=U0&amp;row=331&amp;col=7&amp;number=0.375&amp;sourceID=14","0.375")</f>
        <v>0.375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HYPERLINK("http://141.218.60.56/~jnz1568/getInfo.php?workbook=14_13.xlsx&amp;sheet=U0&amp;row=332&amp;col=6&amp;number=3.8&amp;sourceID=14","3.8")</f>
        <v>3.8</v>
      </c>
      <c r="G332" s="4" t="str">
        <f>HYPERLINK("http://141.218.60.56/~jnz1568/getInfo.php?workbook=14_13.xlsx&amp;sheet=U0&amp;row=332&amp;col=7&amp;number=0.363&amp;sourceID=14","0.363")</f>
        <v>0.363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HYPERLINK("http://141.218.60.56/~jnz1568/getInfo.php?workbook=14_13.xlsx&amp;sheet=U0&amp;row=333&amp;col=6&amp;number=3.9&amp;sourceID=14","3.9")</f>
        <v>3.9</v>
      </c>
      <c r="G333" s="4" t="str">
        <f>HYPERLINK("http://141.218.60.56/~jnz1568/getInfo.php?workbook=14_13.xlsx&amp;sheet=U0&amp;row=333&amp;col=7&amp;number=0.351&amp;sourceID=14","0.351")</f>
        <v>0.351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HYPERLINK("http://141.218.60.56/~jnz1568/getInfo.php?workbook=14_13.xlsx&amp;sheet=U0&amp;row=334&amp;col=6&amp;number=4&amp;sourceID=14","4")</f>
        <v>4</v>
      </c>
      <c r="G334" s="4" t="str">
        <f>HYPERLINK("http://141.218.60.56/~jnz1568/getInfo.php?workbook=14_13.xlsx&amp;sheet=U0&amp;row=334&amp;col=7&amp;number=0.339&amp;sourceID=14","0.339")</f>
        <v>0.339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HYPERLINK("http://141.218.60.56/~jnz1568/getInfo.php?workbook=14_13.xlsx&amp;sheet=U0&amp;row=335&amp;col=6&amp;number=4.1&amp;sourceID=14","4.1")</f>
        <v>4.1</v>
      </c>
      <c r="G335" s="4" t="str">
        <f>HYPERLINK("http://141.218.60.56/~jnz1568/getInfo.php?workbook=14_13.xlsx&amp;sheet=U0&amp;row=335&amp;col=7&amp;number=0.328&amp;sourceID=14","0.328")</f>
        <v>0.328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HYPERLINK("http://141.218.60.56/~jnz1568/getInfo.php?workbook=14_13.xlsx&amp;sheet=U0&amp;row=336&amp;col=6&amp;number=4.2&amp;sourceID=14","4.2")</f>
        <v>4.2</v>
      </c>
      <c r="G336" s="4" t="str">
        <f>HYPERLINK("http://141.218.60.56/~jnz1568/getInfo.php?workbook=14_13.xlsx&amp;sheet=U0&amp;row=336&amp;col=7&amp;number=0.319&amp;sourceID=14","0.319")</f>
        <v>0.319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HYPERLINK("http://141.218.60.56/~jnz1568/getInfo.php?workbook=14_13.xlsx&amp;sheet=U0&amp;row=337&amp;col=6&amp;number=4.3&amp;sourceID=14","4.3")</f>
        <v>4.3</v>
      </c>
      <c r="G337" s="4" t="str">
        <f>HYPERLINK("http://141.218.60.56/~jnz1568/getInfo.php?workbook=14_13.xlsx&amp;sheet=U0&amp;row=337&amp;col=7&amp;number=0.313&amp;sourceID=14","0.313")</f>
        <v>0.313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HYPERLINK("http://141.218.60.56/~jnz1568/getInfo.php?workbook=14_13.xlsx&amp;sheet=U0&amp;row=338&amp;col=6&amp;number=4.4&amp;sourceID=14","4.4")</f>
        <v>4.4</v>
      </c>
      <c r="G338" s="4" t="str">
        <f>HYPERLINK("http://141.218.60.56/~jnz1568/getInfo.php?workbook=14_13.xlsx&amp;sheet=U0&amp;row=338&amp;col=7&amp;number=0.308&amp;sourceID=14","0.308")</f>
        <v>0.308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HYPERLINK("http://141.218.60.56/~jnz1568/getInfo.php?workbook=14_13.xlsx&amp;sheet=U0&amp;row=339&amp;col=6&amp;number=4.5&amp;sourceID=14","4.5")</f>
        <v>4.5</v>
      </c>
      <c r="G339" s="4" t="str">
        <f>HYPERLINK("http://141.218.60.56/~jnz1568/getInfo.php?workbook=14_13.xlsx&amp;sheet=U0&amp;row=339&amp;col=7&amp;number=0.305&amp;sourceID=14","0.305")</f>
        <v>0.305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HYPERLINK("http://141.218.60.56/~jnz1568/getInfo.php?workbook=14_13.xlsx&amp;sheet=U0&amp;row=340&amp;col=6&amp;number=4.6&amp;sourceID=14","4.6")</f>
        <v>4.6</v>
      </c>
      <c r="G340" s="4" t="str">
        <f>HYPERLINK("http://141.218.60.56/~jnz1568/getInfo.php?workbook=14_13.xlsx&amp;sheet=U0&amp;row=340&amp;col=7&amp;number=0.301&amp;sourceID=14","0.301")</f>
        <v>0.301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HYPERLINK("http://141.218.60.56/~jnz1568/getInfo.php?workbook=14_13.xlsx&amp;sheet=U0&amp;row=341&amp;col=6&amp;number=4.7&amp;sourceID=14","4.7")</f>
        <v>4.7</v>
      </c>
      <c r="G341" s="4" t="str">
        <f>HYPERLINK("http://141.218.60.56/~jnz1568/getInfo.php?workbook=14_13.xlsx&amp;sheet=U0&amp;row=341&amp;col=7&amp;number=0.297&amp;sourceID=14","0.297")</f>
        <v>0.297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HYPERLINK("http://141.218.60.56/~jnz1568/getInfo.php?workbook=14_13.xlsx&amp;sheet=U0&amp;row=342&amp;col=6&amp;number=4.8&amp;sourceID=14","4.8")</f>
        <v>4.8</v>
      </c>
      <c r="G342" s="4" t="str">
        <f>HYPERLINK("http://141.218.60.56/~jnz1568/getInfo.php?workbook=14_13.xlsx&amp;sheet=U0&amp;row=342&amp;col=7&amp;number=0.291&amp;sourceID=14","0.291")</f>
        <v>0.291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HYPERLINK("http://141.218.60.56/~jnz1568/getInfo.php?workbook=14_13.xlsx&amp;sheet=U0&amp;row=343&amp;col=6&amp;number=4.9&amp;sourceID=14","4.9")</f>
        <v>4.9</v>
      </c>
      <c r="G343" s="4" t="str">
        <f>HYPERLINK("http://141.218.60.56/~jnz1568/getInfo.php?workbook=14_13.xlsx&amp;sheet=U0&amp;row=343&amp;col=7&amp;number=0.282&amp;sourceID=14","0.282")</f>
        <v>0.282</v>
      </c>
    </row>
    <row r="344" spans="1:7">
      <c r="A344" s="3">
        <v>14</v>
      </c>
      <c r="B344" s="3">
        <v>13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HYPERLINK("http://141.218.60.56/~jnz1568/getInfo.php?workbook=14_13.xlsx&amp;sheet=U0&amp;row=344&amp;col=6&amp;number=3&amp;sourceID=14","3")</f>
        <v>3</v>
      </c>
      <c r="G344" s="4" t="str">
        <f>HYPERLINK("http://141.218.60.56/~jnz1568/getInfo.php?workbook=14_13.xlsx&amp;sheet=U0&amp;row=344&amp;col=7&amp;number=0.112&amp;sourceID=14","0.112")</f>
        <v>0.112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HYPERLINK("http://141.218.60.56/~jnz1568/getInfo.php?workbook=14_13.xlsx&amp;sheet=U0&amp;row=345&amp;col=6&amp;number=3.1&amp;sourceID=14","3.1")</f>
        <v>3.1</v>
      </c>
      <c r="G345" s="4" t="str">
        <f>HYPERLINK("http://141.218.60.56/~jnz1568/getInfo.php?workbook=14_13.xlsx&amp;sheet=U0&amp;row=345&amp;col=7&amp;number=0.113&amp;sourceID=14","0.113")</f>
        <v>0.113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HYPERLINK("http://141.218.60.56/~jnz1568/getInfo.php?workbook=14_13.xlsx&amp;sheet=U0&amp;row=346&amp;col=6&amp;number=3.2&amp;sourceID=14","3.2")</f>
        <v>3.2</v>
      </c>
      <c r="G346" s="4" t="str">
        <f>HYPERLINK("http://141.218.60.56/~jnz1568/getInfo.php?workbook=14_13.xlsx&amp;sheet=U0&amp;row=346&amp;col=7&amp;number=0.115&amp;sourceID=14","0.115")</f>
        <v>0.115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HYPERLINK("http://141.218.60.56/~jnz1568/getInfo.php?workbook=14_13.xlsx&amp;sheet=U0&amp;row=347&amp;col=6&amp;number=3.3&amp;sourceID=14","3.3")</f>
        <v>3.3</v>
      </c>
      <c r="G347" s="4" t="str">
        <f>HYPERLINK("http://141.218.60.56/~jnz1568/getInfo.php?workbook=14_13.xlsx&amp;sheet=U0&amp;row=347&amp;col=7&amp;number=0.118&amp;sourceID=14","0.118")</f>
        <v>0.118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HYPERLINK("http://141.218.60.56/~jnz1568/getInfo.php?workbook=14_13.xlsx&amp;sheet=U0&amp;row=348&amp;col=6&amp;number=3.4&amp;sourceID=14","3.4")</f>
        <v>3.4</v>
      </c>
      <c r="G348" s="4" t="str">
        <f>HYPERLINK("http://141.218.60.56/~jnz1568/getInfo.php?workbook=14_13.xlsx&amp;sheet=U0&amp;row=348&amp;col=7&amp;number=0.121&amp;sourceID=14","0.121")</f>
        <v>0.121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HYPERLINK("http://141.218.60.56/~jnz1568/getInfo.php?workbook=14_13.xlsx&amp;sheet=U0&amp;row=349&amp;col=6&amp;number=3.5&amp;sourceID=14","3.5")</f>
        <v>3.5</v>
      </c>
      <c r="G349" s="4" t="str">
        <f>HYPERLINK("http://141.218.60.56/~jnz1568/getInfo.php?workbook=14_13.xlsx&amp;sheet=U0&amp;row=349&amp;col=7&amp;number=0.125&amp;sourceID=14","0.125")</f>
        <v>0.125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HYPERLINK("http://141.218.60.56/~jnz1568/getInfo.php?workbook=14_13.xlsx&amp;sheet=U0&amp;row=350&amp;col=6&amp;number=3.6&amp;sourceID=14","3.6")</f>
        <v>3.6</v>
      </c>
      <c r="G350" s="4" t="str">
        <f>HYPERLINK("http://141.218.60.56/~jnz1568/getInfo.php?workbook=14_13.xlsx&amp;sheet=U0&amp;row=350&amp;col=7&amp;number=0.128&amp;sourceID=14","0.128")</f>
        <v>0.128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HYPERLINK("http://141.218.60.56/~jnz1568/getInfo.php?workbook=14_13.xlsx&amp;sheet=U0&amp;row=351&amp;col=6&amp;number=3.7&amp;sourceID=14","3.7")</f>
        <v>3.7</v>
      </c>
      <c r="G351" s="4" t="str">
        <f>HYPERLINK("http://141.218.60.56/~jnz1568/getInfo.php?workbook=14_13.xlsx&amp;sheet=U0&amp;row=351&amp;col=7&amp;number=0.13&amp;sourceID=14","0.13")</f>
        <v>0.13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HYPERLINK("http://141.218.60.56/~jnz1568/getInfo.php?workbook=14_13.xlsx&amp;sheet=U0&amp;row=352&amp;col=6&amp;number=3.8&amp;sourceID=14","3.8")</f>
        <v>3.8</v>
      </c>
      <c r="G352" s="4" t="str">
        <f>HYPERLINK("http://141.218.60.56/~jnz1568/getInfo.php?workbook=14_13.xlsx&amp;sheet=U0&amp;row=352&amp;col=7&amp;number=0.131&amp;sourceID=14","0.131")</f>
        <v>0.131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HYPERLINK("http://141.218.60.56/~jnz1568/getInfo.php?workbook=14_13.xlsx&amp;sheet=U0&amp;row=353&amp;col=6&amp;number=3.9&amp;sourceID=14","3.9")</f>
        <v>3.9</v>
      </c>
      <c r="G353" s="4" t="str">
        <f>HYPERLINK("http://141.218.60.56/~jnz1568/getInfo.php?workbook=14_13.xlsx&amp;sheet=U0&amp;row=353&amp;col=7&amp;number=0.132&amp;sourceID=14","0.132")</f>
        <v>0.132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HYPERLINK("http://141.218.60.56/~jnz1568/getInfo.php?workbook=14_13.xlsx&amp;sheet=U0&amp;row=354&amp;col=6&amp;number=4&amp;sourceID=14","4")</f>
        <v>4</v>
      </c>
      <c r="G354" s="4" t="str">
        <f>HYPERLINK("http://141.218.60.56/~jnz1568/getInfo.php?workbook=14_13.xlsx&amp;sheet=U0&amp;row=354&amp;col=7&amp;number=0.133&amp;sourceID=14","0.133")</f>
        <v>0.133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HYPERLINK("http://141.218.60.56/~jnz1568/getInfo.php?workbook=14_13.xlsx&amp;sheet=U0&amp;row=355&amp;col=6&amp;number=4.1&amp;sourceID=14","4.1")</f>
        <v>4.1</v>
      </c>
      <c r="G355" s="4" t="str">
        <f>HYPERLINK("http://141.218.60.56/~jnz1568/getInfo.php?workbook=14_13.xlsx&amp;sheet=U0&amp;row=355&amp;col=7&amp;number=0.134&amp;sourceID=14","0.134")</f>
        <v>0.134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HYPERLINK("http://141.218.60.56/~jnz1568/getInfo.php?workbook=14_13.xlsx&amp;sheet=U0&amp;row=356&amp;col=6&amp;number=4.2&amp;sourceID=14","4.2")</f>
        <v>4.2</v>
      </c>
      <c r="G356" s="4" t="str">
        <f>HYPERLINK("http://141.218.60.56/~jnz1568/getInfo.php?workbook=14_13.xlsx&amp;sheet=U0&amp;row=356&amp;col=7&amp;number=0.136&amp;sourceID=14","0.136")</f>
        <v>0.136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HYPERLINK("http://141.218.60.56/~jnz1568/getInfo.php?workbook=14_13.xlsx&amp;sheet=U0&amp;row=357&amp;col=6&amp;number=4.3&amp;sourceID=14","4.3")</f>
        <v>4.3</v>
      </c>
      <c r="G357" s="4" t="str">
        <f>HYPERLINK("http://141.218.60.56/~jnz1568/getInfo.php?workbook=14_13.xlsx&amp;sheet=U0&amp;row=357&amp;col=7&amp;number=0.14&amp;sourceID=14","0.14")</f>
        <v>0.14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HYPERLINK("http://141.218.60.56/~jnz1568/getInfo.php?workbook=14_13.xlsx&amp;sheet=U0&amp;row=358&amp;col=6&amp;number=4.4&amp;sourceID=14","4.4")</f>
        <v>4.4</v>
      </c>
      <c r="G358" s="4" t="str">
        <f>HYPERLINK("http://141.218.60.56/~jnz1568/getInfo.php?workbook=14_13.xlsx&amp;sheet=U0&amp;row=358&amp;col=7&amp;number=0.145&amp;sourceID=14","0.145")</f>
        <v>0.145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HYPERLINK("http://141.218.60.56/~jnz1568/getInfo.php?workbook=14_13.xlsx&amp;sheet=U0&amp;row=359&amp;col=6&amp;number=4.5&amp;sourceID=14","4.5")</f>
        <v>4.5</v>
      </c>
      <c r="G359" s="4" t="str">
        <f>HYPERLINK("http://141.218.60.56/~jnz1568/getInfo.php?workbook=14_13.xlsx&amp;sheet=U0&amp;row=359&amp;col=7&amp;number=0.15&amp;sourceID=14","0.15")</f>
        <v>0.15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HYPERLINK("http://141.218.60.56/~jnz1568/getInfo.php?workbook=14_13.xlsx&amp;sheet=U0&amp;row=360&amp;col=6&amp;number=4.6&amp;sourceID=14","4.6")</f>
        <v>4.6</v>
      </c>
      <c r="G360" s="4" t="str">
        <f>HYPERLINK("http://141.218.60.56/~jnz1568/getInfo.php?workbook=14_13.xlsx&amp;sheet=U0&amp;row=360&amp;col=7&amp;number=0.156&amp;sourceID=14","0.156")</f>
        <v>0.156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HYPERLINK("http://141.218.60.56/~jnz1568/getInfo.php?workbook=14_13.xlsx&amp;sheet=U0&amp;row=361&amp;col=6&amp;number=4.7&amp;sourceID=14","4.7")</f>
        <v>4.7</v>
      </c>
      <c r="G361" s="4" t="str">
        <f>HYPERLINK("http://141.218.60.56/~jnz1568/getInfo.php?workbook=14_13.xlsx&amp;sheet=U0&amp;row=361&amp;col=7&amp;number=0.161&amp;sourceID=14","0.161")</f>
        <v>0.161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HYPERLINK("http://141.218.60.56/~jnz1568/getInfo.php?workbook=14_13.xlsx&amp;sheet=U0&amp;row=362&amp;col=6&amp;number=4.8&amp;sourceID=14","4.8")</f>
        <v>4.8</v>
      </c>
      <c r="G362" s="4" t="str">
        <f>HYPERLINK("http://141.218.60.56/~jnz1568/getInfo.php?workbook=14_13.xlsx&amp;sheet=U0&amp;row=362&amp;col=7&amp;number=0.165&amp;sourceID=14","0.165")</f>
        <v>0.165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HYPERLINK("http://141.218.60.56/~jnz1568/getInfo.php?workbook=14_13.xlsx&amp;sheet=U0&amp;row=363&amp;col=6&amp;number=4.9&amp;sourceID=14","4.9")</f>
        <v>4.9</v>
      </c>
      <c r="G363" s="4" t="str">
        <f>HYPERLINK("http://141.218.60.56/~jnz1568/getInfo.php?workbook=14_13.xlsx&amp;sheet=U0&amp;row=363&amp;col=7&amp;number=0.168&amp;sourceID=14","0.168")</f>
        <v>0.168</v>
      </c>
    </row>
    <row r="364" spans="1:7">
      <c r="A364" s="3">
        <v>14</v>
      </c>
      <c r="B364" s="3">
        <v>13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HYPERLINK("http://141.218.60.56/~jnz1568/getInfo.php?workbook=14_13.xlsx&amp;sheet=U0&amp;row=364&amp;col=6&amp;number=3&amp;sourceID=14","3")</f>
        <v>3</v>
      </c>
      <c r="G364" s="4" t="str">
        <f>HYPERLINK("http://141.218.60.56/~jnz1568/getInfo.php?workbook=14_13.xlsx&amp;sheet=U0&amp;row=364&amp;col=7&amp;number=0.154&amp;sourceID=14","0.154")</f>
        <v>0.154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HYPERLINK("http://141.218.60.56/~jnz1568/getInfo.php?workbook=14_13.xlsx&amp;sheet=U0&amp;row=365&amp;col=6&amp;number=3.1&amp;sourceID=14","3.1")</f>
        <v>3.1</v>
      </c>
      <c r="G365" s="4" t="str">
        <f>HYPERLINK("http://141.218.60.56/~jnz1568/getInfo.php?workbook=14_13.xlsx&amp;sheet=U0&amp;row=365&amp;col=7&amp;number=0.156&amp;sourceID=14","0.156")</f>
        <v>0.156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HYPERLINK("http://141.218.60.56/~jnz1568/getInfo.php?workbook=14_13.xlsx&amp;sheet=U0&amp;row=366&amp;col=6&amp;number=3.2&amp;sourceID=14","3.2")</f>
        <v>3.2</v>
      </c>
      <c r="G366" s="4" t="str">
        <f>HYPERLINK("http://141.218.60.56/~jnz1568/getInfo.php?workbook=14_13.xlsx&amp;sheet=U0&amp;row=366&amp;col=7&amp;number=0.158&amp;sourceID=14","0.158")</f>
        <v>0.158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HYPERLINK("http://141.218.60.56/~jnz1568/getInfo.php?workbook=14_13.xlsx&amp;sheet=U0&amp;row=367&amp;col=6&amp;number=3.3&amp;sourceID=14","3.3")</f>
        <v>3.3</v>
      </c>
      <c r="G367" s="4" t="str">
        <f>HYPERLINK("http://141.218.60.56/~jnz1568/getInfo.php?workbook=14_13.xlsx&amp;sheet=U0&amp;row=367&amp;col=7&amp;number=0.16&amp;sourceID=14","0.16")</f>
        <v>0.16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HYPERLINK("http://141.218.60.56/~jnz1568/getInfo.php?workbook=14_13.xlsx&amp;sheet=U0&amp;row=368&amp;col=6&amp;number=3.4&amp;sourceID=14","3.4")</f>
        <v>3.4</v>
      </c>
      <c r="G368" s="4" t="str">
        <f>HYPERLINK("http://141.218.60.56/~jnz1568/getInfo.php?workbook=14_13.xlsx&amp;sheet=U0&amp;row=368&amp;col=7&amp;number=0.162&amp;sourceID=14","0.162")</f>
        <v>0.162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HYPERLINK("http://141.218.60.56/~jnz1568/getInfo.php?workbook=14_13.xlsx&amp;sheet=U0&amp;row=369&amp;col=6&amp;number=3.5&amp;sourceID=14","3.5")</f>
        <v>3.5</v>
      </c>
      <c r="G369" s="4" t="str">
        <f>HYPERLINK("http://141.218.60.56/~jnz1568/getInfo.php?workbook=14_13.xlsx&amp;sheet=U0&amp;row=369&amp;col=7&amp;number=0.164&amp;sourceID=14","0.164")</f>
        <v>0.164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HYPERLINK("http://141.218.60.56/~jnz1568/getInfo.php?workbook=14_13.xlsx&amp;sheet=U0&amp;row=370&amp;col=6&amp;number=3.6&amp;sourceID=14","3.6")</f>
        <v>3.6</v>
      </c>
      <c r="G370" s="4" t="str">
        <f>HYPERLINK("http://141.218.60.56/~jnz1568/getInfo.php?workbook=14_13.xlsx&amp;sheet=U0&amp;row=370&amp;col=7&amp;number=0.165&amp;sourceID=14","0.165")</f>
        <v>0.165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HYPERLINK("http://141.218.60.56/~jnz1568/getInfo.php?workbook=14_13.xlsx&amp;sheet=U0&amp;row=371&amp;col=6&amp;number=3.7&amp;sourceID=14","3.7")</f>
        <v>3.7</v>
      </c>
      <c r="G371" s="4" t="str">
        <f>HYPERLINK("http://141.218.60.56/~jnz1568/getInfo.php?workbook=14_13.xlsx&amp;sheet=U0&amp;row=371&amp;col=7&amp;number=0.164&amp;sourceID=14","0.164")</f>
        <v>0.164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HYPERLINK("http://141.218.60.56/~jnz1568/getInfo.php?workbook=14_13.xlsx&amp;sheet=U0&amp;row=372&amp;col=6&amp;number=3.8&amp;sourceID=14","3.8")</f>
        <v>3.8</v>
      </c>
      <c r="G372" s="4" t="str">
        <f>HYPERLINK("http://141.218.60.56/~jnz1568/getInfo.php?workbook=14_13.xlsx&amp;sheet=U0&amp;row=372&amp;col=7&amp;number=0.162&amp;sourceID=14","0.162")</f>
        <v>0.162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HYPERLINK("http://141.218.60.56/~jnz1568/getInfo.php?workbook=14_13.xlsx&amp;sheet=U0&amp;row=373&amp;col=6&amp;number=3.9&amp;sourceID=14","3.9")</f>
        <v>3.9</v>
      </c>
      <c r="G373" s="4" t="str">
        <f>HYPERLINK("http://141.218.60.56/~jnz1568/getInfo.php?workbook=14_13.xlsx&amp;sheet=U0&amp;row=373&amp;col=7&amp;number=0.159&amp;sourceID=14","0.159")</f>
        <v>0.159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HYPERLINK("http://141.218.60.56/~jnz1568/getInfo.php?workbook=14_13.xlsx&amp;sheet=U0&amp;row=374&amp;col=6&amp;number=4&amp;sourceID=14","4")</f>
        <v>4</v>
      </c>
      <c r="G374" s="4" t="str">
        <f>HYPERLINK("http://141.218.60.56/~jnz1568/getInfo.php?workbook=14_13.xlsx&amp;sheet=U0&amp;row=374&amp;col=7&amp;number=0.156&amp;sourceID=14","0.156")</f>
        <v>0.156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HYPERLINK("http://141.218.60.56/~jnz1568/getInfo.php?workbook=14_13.xlsx&amp;sheet=U0&amp;row=375&amp;col=6&amp;number=4.1&amp;sourceID=14","4.1")</f>
        <v>4.1</v>
      </c>
      <c r="G375" s="4" t="str">
        <f>HYPERLINK("http://141.218.60.56/~jnz1568/getInfo.php?workbook=14_13.xlsx&amp;sheet=U0&amp;row=375&amp;col=7&amp;number=0.152&amp;sourceID=14","0.152")</f>
        <v>0.152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HYPERLINK("http://141.218.60.56/~jnz1568/getInfo.php?workbook=14_13.xlsx&amp;sheet=U0&amp;row=376&amp;col=6&amp;number=4.2&amp;sourceID=14","4.2")</f>
        <v>4.2</v>
      </c>
      <c r="G376" s="4" t="str">
        <f>HYPERLINK("http://141.218.60.56/~jnz1568/getInfo.php?workbook=14_13.xlsx&amp;sheet=U0&amp;row=376&amp;col=7&amp;number=0.149&amp;sourceID=14","0.149")</f>
        <v>0.149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HYPERLINK("http://141.218.60.56/~jnz1568/getInfo.php?workbook=14_13.xlsx&amp;sheet=U0&amp;row=377&amp;col=6&amp;number=4.3&amp;sourceID=14","4.3")</f>
        <v>4.3</v>
      </c>
      <c r="G377" s="4" t="str">
        <f>HYPERLINK("http://141.218.60.56/~jnz1568/getInfo.php?workbook=14_13.xlsx&amp;sheet=U0&amp;row=377&amp;col=7&amp;number=0.146&amp;sourceID=14","0.146")</f>
        <v>0.146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HYPERLINK("http://141.218.60.56/~jnz1568/getInfo.php?workbook=14_13.xlsx&amp;sheet=U0&amp;row=378&amp;col=6&amp;number=4.4&amp;sourceID=14","4.4")</f>
        <v>4.4</v>
      </c>
      <c r="G378" s="4" t="str">
        <f>HYPERLINK("http://141.218.60.56/~jnz1568/getInfo.php?workbook=14_13.xlsx&amp;sheet=U0&amp;row=378&amp;col=7&amp;number=0.145&amp;sourceID=14","0.145")</f>
        <v>0.145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HYPERLINK("http://141.218.60.56/~jnz1568/getInfo.php?workbook=14_13.xlsx&amp;sheet=U0&amp;row=379&amp;col=6&amp;number=4.5&amp;sourceID=14","4.5")</f>
        <v>4.5</v>
      </c>
      <c r="G379" s="4" t="str">
        <f>HYPERLINK("http://141.218.60.56/~jnz1568/getInfo.php?workbook=14_13.xlsx&amp;sheet=U0&amp;row=379&amp;col=7&amp;number=0.144&amp;sourceID=14","0.144")</f>
        <v>0.144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HYPERLINK("http://141.218.60.56/~jnz1568/getInfo.php?workbook=14_13.xlsx&amp;sheet=U0&amp;row=380&amp;col=6&amp;number=4.6&amp;sourceID=14","4.6")</f>
        <v>4.6</v>
      </c>
      <c r="G380" s="4" t="str">
        <f>HYPERLINK("http://141.218.60.56/~jnz1568/getInfo.php?workbook=14_13.xlsx&amp;sheet=U0&amp;row=380&amp;col=7&amp;number=0.144&amp;sourceID=14","0.144")</f>
        <v>0.144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HYPERLINK("http://141.218.60.56/~jnz1568/getInfo.php?workbook=14_13.xlsx&amp;sheet=U0&amp;row=381&amp;col=6&amp;number=4.7&amp;sourceID=14","4.7")</f>
        <v>4.7</v>
      </c>
      <c r="G381" s="4" t="str">
        <f>HYPERLINK("http://141.218.60.56/~jnz1568/getInfo.php?workbook=14_13.xlsx&amp;sheet=U0&amp;row=381&amp;col=7&amp;number=0.144&amp;sourceID=14","0.144")</f>
        <v>0.144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HYPERLINK("http://141.218.60.56/~jnz1568/getInfo.php?workbook=14_13.xlsx&amp;sheet=U0&amp;row=382&amp;col=6&amp;number=4.8&amp;sourceID=14","4.8")</f>
        <v>4.8</v>
      </c>
      <c r="G382" s="4" t="str">
        <f>HYPERLINK("http://141.218.60.56/~jnz1568/getInfo.php?workbook=14_13.xlsx&amp;sheet=U0&amp;row=382&amp;col=7&amp;number=0.143&amp;sourceID=14","0.143")</f>
        <v>0.143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HYPERLINK("http://141.218.60.56/~jnz1568/getInfo.php?workbook=14_13.xlsx&amp;sheet=U0&amp;row=383&amp;col=6&amp;number=4.9&amp;sourceID=14","4.9")</f>
        <v>4.9</v>
      </c>
      <c r="G383" s="4" t="str">
        <f>HYPERLINK("http://141.218.60.56/~jnz1568/getInfo.php?workbook=14_13.xlsx&amp;sheet=U0&amp;row=383&amp;col=7&amp;number=0.142&amp;sourceID=14","0.142")</f>
        <v>0.142</v>
      </c>
    </row>
    <row r="384" spans="1:7">
      <c r="A384" s="3">
        <v>14</v>
      </c>
      <c r="B384" s="3">
        <v>13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HYPERLINK("http://141.218.60.56/~jnz1568/getInfo.php?workbook=14_13.xlsx&amp;sheet=U0&amp;row=384&amp;col=6&amp;number=3&amp;sourceID=14","3")</f>
        <v>3</v>
      </c>
      <c r="G384" s="4" t="str">
        <f>HYPERLINK("http://141.218.60.56/~jnz1568/getInfo.php?workbook=14_13.xlsx&amp;sheet=U0&amp;row=384&amp;col=7&amp;number=0.203&amp;sourceID=14","0.203")</f>
        <v>0.203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HYPERLINK("http://141.218.60.56/~jnz1568/getInfo.php?workbook=14_13.xlsx&amp;sheet=U0&amp;row=385&amp;col=6&amp;number=3.1&amp;sourceID=14","3.1")</f>
        <v>3.1</v>
      </c>
      <c r="G385" s="4" t="str">
        <f>HYPERLINK("http://141.218.60.56/~jnz1568/getInfo.php?workbook=14_13.xlsx&amp;sheet=U0&amp;row=385&amp;col=7&amp;number=0.208&amp;sourceID=14","0.208")</f>
        <v>0.208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HYPERLINK("http://141.218.60.56/~jnz1568/getInfo.php?workbook=14_13.xlsx&amp;sheet=U0&amp;row=386&amp;col=6&amp;number=3.2&amp;sourceID=14","3.2")</f>
        <v>3.2</v>
      </c>
      <c r="G386" s="4" t="str">
        <f>HYPERLINK("http://141.218.60.56/~jnz1568/getInfo.php?workbook=14_13.xlsx&amp;sheet=U0&amp;row=386&amp;col=7&amp;number=0.215&amp;sourceID=14","0.215")</f>
        <v>0.215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HYPERLINK("http://141.218.60.56/~jnz1568/getInfo.php?workbook=14_13.xlsx&amp;sheet=U0&amp;row=387&amp;col=6&amp;number=3.3&amp;sourceID=14","3.3")</f>
        <v>3.3</v>
      </c>
      <c r="G387" s="4" t="str">
        <f>HYPERLINK("http://141.218.60.56/~jnz1568/getInfo.php?workbook=14_13.xlsx&amp;sheet=U0&amp;row=387&amp;col=7&amp;number=0.222&amp;sourceID=14","0.222")</f>
        <v>0.222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HYPERLINK("http://141.218.60.56/~jnz1568/getInfo.php?workbook=14_13.xlsx&amp;sheet=U0&amp;row=388&amp;col=6&amp;number=3.4&amp;sourceID=14","3.4")</f>
        <v>3.4</v>
      </c>
      <c r="G388" s="4" t="str">
        <f>HYPERLINK("http://141.218.60.56/~jnz1568/getInfo.php?workbook=14_13.xlsx&amp;sheet=U0&amp;row=388&amp;col=7&amp;number=0.23&amp;sourceID=14","0.23")</f>
        <v>0.23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HYPERLINK("http://141.218.60.56/~jnz1568/getInfo.php?workbook=14_13.xlsx&amp;sheet=U0&amp;row=389&amp;col=6&amp;number=3.5&amp;sourceID=14","3.5")</f>
        <v>3.5</v>
      </c>
      <c r="G389" s="4" t="str">
        <f>HYPERLINK("http://141.218.60.56/~jnz1568/getInfo.php?workbook=14_13.xlsx&amp;sheet=U0&amp;row=389&amp;col=7&amp;number=0.238&amp;sourceID=14","0.238")</f>
        <v>0.238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HYPERLINK("http://141.218.60.56/~jnz1568/getInfo.php?workbook=14_13.xlsx&amp;sheet=U0&amp;row=390&amp;col=6&amp;number=3.6&amp;sourceID=14","3.6")</f>
        <v>3.6</v>
      </c>
      <c r="G390" s="4" t="str">
        <f>HYPERLINK("http://141.218.60.56/~jnz1568/getInfo.php?workbook=14_13.xlsx&amp;sheet=U0&amp;row=390&amp;col=7&amp;number=0.246&amp;sourceID=14","0.246")</f>
        <v>0.246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HYPERLINK("http://141.218.60.56/~jnz1568/getInfo.php?workbook=14_13.xlsx&amp;sheet=U0&amp;row=391&amp;col=6&amp;number=3.7&amp;sourceID=14","3.7")</f>
        <v>3.7</v>
      </c>
      <c r="G391" s="4" t="str">
        <f>HYPERLINK("http://141.218.60.56/~jnz1568/getInfo.php?workbook=14_13.xlsx&amp;sheet=U0&amp;row=391&amp;col=7&amp;number=0.252&amp;sourceID=14","0.252")</f>
        <v>0.252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HYPERLINK("http://141.218.60.56/~jnz1568/getInfo.php?workbook=14_13.xlsx&amp;sheet=U0&amp;row=392&amp;col=6&amp;number=3.8&amp;sourceID=14","3.8")</f>
        <v>3.8</v>
      </c>
      <c r="G392" s="4" t="str">
        <f>HYPERLINK("http://141.218.60.56/~jnz1568/getInfo.php?workbook=14_13.xlsx&amp;sheet=U0&amp;row=392&amp;col=7&amp;number=0.257&amp;sourceID=14","0.257")</f>
        <v>0.257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HYPERLINK("http://141.218.60.56/~jnz1568/getInfo.php?workbook=14_13.xlsx&amp;sheet=U0&amp;row=393&amp;col=6&amp;number=3.9&amp;sourceID=14","3.9")</f>
        <v>3.9</v>
      </c>
      <c r="G393" s="4" t="str">
        <f>HYPERLINK("http://141.218.60.56/~jnz1568/getInfo.php?workbook=14_13.xlsx&amp;sheet=U0&amp;row=393&amp;col=7&amp;number=0.261&amp;sourceID=14","0.261")</f>
        <v>0.261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HYPERLINK("http://141.218.60.56/~jnz1568/getInfo.php?workbook=14_13.xlsx&amp;sheet=U0&amp;row=394&amp;col=6&amp;number=4&amp;sourceID=14","4")</f>
        <v>4</v>
      </c>
      <c r="G394" s="4" t="str">
        <f>HYPERLINK("http://141.218.60.56/~jnz1568/getInfo.php?workbook=14_13.xlsx&amp;sheet=U0&amp;row=394&amp;col=7&amp;number=0.266&amp;sourceID=14","0.266")</f>
        <v>0.266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HYPERLINK("http://141.218.60.56/~jnz1568/getInfo.php?workbook=14_13.xlsx&amp;sheet=U0&amp;row=395&amp;col=6&amp;number=4.1&amp;sourceID=14","4.1")</f>
        <v>4.1</v>
      </c>
      <c r="G395" s="4" t="str">
        <f>HYPERLINK("http://141.218.60.56/~jnz1568/getInfo.php?workbook=14_13.xlsx&amp;sheet=U0&amp;row=395&amp;col=7&amp;number=0.27&amp;sourceID=14","0.27")</f>
        <v>0.27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HYPERLINK("http://141.218.60.56/~jnz1568/getInfo.php?workbook=14_13.xlsx&amp;sheet=U0&amp;row=396&amp;col=6&amp;number=4.2&amp;sourceID=14","4.2")</f>
        <v>4.2</v>
      </c>
      <c r="G396" s="4" t="str">
        <f>HYPERLINK("http://141.218.60.56/~jnz1568/getInfo.php?workbook=14_13.xlsx&amp;sheet=U0&amp;row=396&amp;col=7&amp;number=0.276&amp;sourceID=14","0.276")</f>
        <v>0.276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HYPERLINK("http://141.218.60.56/~jnz1568/getInfo.php?workbook=14_13.xlsx&amp;sheet=U0&amp;row=397&amp;col=6&amp;number=4.3&amp;sourceID=14","4.3")</f>
        <v>4.3</v>
      </c>
      <c r="G397" s="4" t="str">
        <f>HYPERLINK("http://141.218.60.56/~jnz1568/getInfo.php?workbook=14_13.xlsx&amp;sheet=U0&amp;row=397&amp;col=7&amp;number=0.283&amp;sourceID=14","0.283")</f>
        <v>0.283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HYPERLINK("http://141.218.60.56/~jnz1568/getInfo.php?workbook=14_13.xlsx&amp;sheet=U0&amp;row=398&amp;col=6&amp;number=4.4&amp;sourceID=14","4.4")</f>
        <v>4.4</v>
      </c>
      <c r="G398" s="4" t="str">
        <f>HYPERLINK("http://141.218.60.56/~jnz1568/getInfo.php?workbook=14_13.xlsx&amp;sheet=U0&amp;row=398&amp;col=7&amp;number=0.292&amp;sourceID=14","0.292")</f>
        <v>0.292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HYPERLINK("http://141.218.60.56/~jnz1568/getInfo.php?workbook=14_13.xlsx&amp;sheet=U0&amp;row=399&amp;col=6&amp;number=4.5&amp;sourceID=14","4.5")</f>
        <v>4.5</v>
      </c>
      <c r="G399" s="4" t="str">
        <f>HYPERLINK("http://141.218.60.56/~jnz1568/getInfo.php?workbook=14_13.xlsx&amp;sheet=U0&amp;row=399&amp;col=7&amp;number=0.302&amp;sourceID=14","0.302")</f>
        <v>0.302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HYPERLINK("http://141.218.60.56/~jnz1568/getInfo.php?workbook=14_13.xlsx&amp;sheet=U0&amp;row=400&amp;col=6&amp;number=4.6&amp;sourceID=14","4.6")</f>
        <v>4.6</v>
      </c>
      <c r="G400" s="4" t="str">
        <f>HYPERLINK("http://141.218.60.56/~jnz1568/getInfo.php?workbook=14_13.xlsx&amp;sheet=U0&amp;row=400&amp;col=7&amp;number=0.312&amp;sourceID=14","0.312")</f>
        <v>0.312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HYPERLINK("http://141.218.60.56/~jnz1568/getInfo.php?workbook=14_13.xlsx&amp;sheet=U0&amp;row=401&amp;col=6&amp;number=4.7&amp;sourceID=14","4.7")</f>
        <v>4.7</v>
      </c>
      <c r="G401" s="4" t="str">
        <f>HYPERLINK("http://141.218.60.56/~jnz1568/getInfo.php?workbook=14_13.xlsx&amp;sheet=U0&amp;row=401&amp;col=7&amp;number=0.323&amp;sourceID=14","0.323")</f>
        <v>0.323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HYPERLINK("http://141.218.60.56/~jnz1568/getInfo.php?workbook=14_13.xlsx&amp;sheet=U0&amp;row=402&amp;col=6&amp;number=4.8&amp;sourceID=14","4.8")</f>
        <v>4.8</v>
      </c>
      <c r="G402" s="4" t="str">
        <f>HYPERLINK("http://141.218.60.56/~jnz1568/getInfo.php?workbook=14_13.xlsx&amp;sheet=U0&amp;row=402&amp;col=7&amp;number=0.334&amp;sourceID=14","0.334")</f>
        <v>0.334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HYPERLINK("http://141.218.60.56/~jnz1568/getInfo.php?workbook=14_13.xlsx&amp;sheet=U0&amp;row=403&amp;col=6&amp;number=4.9&amp;sourceID=14","4.9")</f>
        <v>4.9</v>
      </c>
      <c r="G403" s="4" t="str">
        <f>HYPERLINK("http://141.218.60.56/~jnz1568/getInfo.php?workbook=14_13.xlsx&amp;sheet=U0&amp;row=403&amp;col=7&amp;number=0.343&amp;sourceID=14","0.343")</f>
        <v>0.343</v>
      </c>
    </row>
    <row r="404" spans="1:7">
      <c r="A404" s="3">
        <v>14</v>
      </c>
      <c r="B404" s="3">
        <v>13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HYPERLINK("http://141.218.60.56/~jnz1568/getInfo.php?workbook=14_13.xlsx&amp;sheet=U0&amp;row=404&amp;col=6&amp;number=3&amp;sourceID=14","3")</f>
        <v>3</v>
      </c>
      <c r="G404" s="4" t="str">
        <f>HYPERLINK("http://141.218.60.56/~jnz1568/getInfo.php?workbook=14_13.xlsx&amp;sheet=U0&amp;row=404&amp;col=7&amp;number=0.132&amp;sourceID=14","0.132")</f>
        <v>0.132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HYPERLINK("http://141.218.60.56/~jnz1568/getInfo.php?workbook=14_13.xlsx&amp;sheet=U0&amp;row=405&amp;col=6&amp;number=3.1&amp;sourceID=14","3.1")</f>
        <v>3.1</v>
      </c>
      <c r="G405" s="4" t="str">
        <f>HYPERLINK("http://141.218.60.56/~jnz1568/getInfo.php?workbook=14_13.xlsx&amp;sheet=U0&amp;row=405&amp;col=7&amp;number=0.135&amp;sourceID=14","0.135")</f>
        <v>0.135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HYPERLINK("http://141.218.60.56/~jnz1568/getInfo.php?workbook=14_13.xlsx&amp;sheet=U0&amp;row=406&amp;col=6&amp;number=3.2&amp;sourceID=14","3.2")</f>
        <v>3.2</v>
      </c>
      <c r="G406" s="4" t="str">
        <f>HYPERLINK("http://141.218.60.56/~jnz1568/getInfo.php?workbook=14_13.xlsx&amp;sheet=U0&amp;row=406&amp;col=7&amp;number=0.139&amp;sourceID=14","0.139")</f>
        <v>0.139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HYPERLINK("http://141.218.60.56/~jnz1568/getInfo.php?workbook=14_13.xlsx&amp;sheet=U0&amp;row=407&amp;col=6&amp;number=3.3&amp;sourceID=14","3.3")</f>
        <v>3.3</v>
      </c>
      <c r="G407" s="4" t="str">
        <f>HYPERLINK("http://141.218.60.56/~jnz1568/getInfo.php?workbook=14_13.xlsx&amp;sheet=U0&amp;row=407&amp;col=7&amp;number=0.143&amp;sourceID=14","0.143")</f>
        <v>0.143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HYPERLINK("http://141.218.60.56/~jnz1568/getInfo.php?workbook=14_13.xlsx&amp;sheet=U0&amp;row=408&amp;col=6&amp;number=3.4&amp;sourceID=14","3.4")</f>
        <v>3.4</v>
      </c>
      <c r="G408" s="4" t="str">
        <f>HYPERLINK("http://141.218.60.56/~jnz1568/getInfo.php?workbook=14_13.xlsx&amp;sheet=U0&amp;row=408&amp;col=7&amp;number=0.148&amp;sourceID=14","0.148")</f>
        <v>0.148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HYPERLINK("http://141.218.60.56/~jnz1568/getInfo.php?workbook=14_13.xlsx&amp;sheet=U0&amp;row=409&amp;col=6&amp;number=3.5&amp;sourceID=14","3.5")</f>
        <v>3.5</v>
      </c>
      <c r="G409" s="4" t="str">
        <f>HYPERLINK("http://141.218.60.56/~jnz1568/getInfo.php?workbook=14_13.xlsx&amp;sheet=U0&amp;row=409&amp;col=7&amp;number=0.153&amp;sourceID=14","0.153")</f>
        <v>0.153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HYPERLINK("http://141.218.60.56/~jnz1568/getInfo.php?workbook=14_13.xlsx&amp;sheet=U0&amp;row=410&amp;col=6&amp;number=3.6&amp;sourceID=14","3.6")</f>
        <v>3.6</v>
      </c>
      <c r="G410" s="4" t="str">
        <f>HYPERLINK("http://141.218.60.56/~jnz1568/getInfo.php?workbook=14_13.xlsx&amp;sheet=U0&amp;row=410&amp;col=7&amp;number=0.158&amp;sourceID=14","0.158")</f>
        <v>0.158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HYPERLINK("http://141.218.60.56/~jnz1568/getInfo.php?workbook=14_13.xlsx&amp;sheet=U0&amp;row=411&amp;col=6&amp;number=3.7&amp;sourceID=14","3.7")</f>
        <v>3.7</v>
      </c>
      <c r="G411" s="4" t="str">
        <f>HYPERLINK("http://141.218.60.56/~jnz1568/getInfo.php?workbook=14_13.xlsx&amp;sheet=U0&amp;row=411&amp;col=7&amp;number=0.161&amp;sourceID=14","0.161")</f>
        <v>0.161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HYPERLINK("http://141.218.60.56/~jnz1568/getInfo.php?workbook=14_13.xlsx&amp;sheet=U0&amp;row=412&amp;col=6&amp;number=3.8&amp;sourceID=14","3.8")</f>
        <v>3.8</v>
      </c>
      <c r="G412" s="4" t="str">
        <f>HYPERLINK("http://141.218.60.56/~jnz1568/getInfo.php?workbook=14_13.xlsx&amp;sheet=U0&amp;row=412&amp;col=7&amp;number=0.162&amp;sourceID=14","0.162")</f>
        <v>0.162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HYPERLINK("http://141.218.60.56/~jnz1568/getInfo.php?workbook=14_13.xlsx&amp;sheet=U0&amp;row=413&amp;col=6&amp;number=3.9&amp;sourceID=14","3.9")</f>
        <v>3.9</v>
      </c>
      <c r="G413" s="4" t="str">
        <f>HYPERLINK("http://141.218.60.56/~jnz1568/getInfo.php?workbook=14_13.xlsx&amp;sheet=U0&amp;row=413&amp;col=7&amp;number=0.161&amp;sourceID=14","0.161")</f>
        <v>0.161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HYPERLINK("http://141.218.60.56/~jnz1568/getInfo.php?workbook=14_13.xlsx&amp;sheet=U0&amp;row=414&amp;col=6&amp;number=4&amp;sourceID=14","4")</f>
        <v>4</v>
      </c>
      <c r="G414" s="4" t="str">
        <f>HYPERLINK("http://141.218.60.56/~jnz1568/getInfo.php?workbook=14_13.xlsx&amp;sheet=U0&amp;row=414&amp;col=7&amp;number=0.159&amp;sourceID=14","0.159")</f>
        <v>0.159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HYPERLINK("http://141.218.60.56/~jnz1568/getInfo.php?workbook=14_13.xlsx&amp;sheet=U0&amp;row=415&amp;col=6&amp;number=4.1&amp;sourceID=14","4.1")</f>
        <v>4.1</v>
      </c>
      <c r="G415" s="4" t="str">
        <f>HYPERLINK("http://141.218.60.56/~jnz1568/getInfo.php?workbook=14_13.xlsx&amp;sheet=U0&amp;row=415&amp;col=7&amp;number=0.156&amp;sourceID=14","0.156")</f>
        <v>0.156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HYPERLINK("http://141.218.60.56/~jnz1568/getInfo.php?workbook=14_13.xlsx&amp;sheet=U0&amp;row=416&amp;col=6&amp;number=4.2&amp;sourceID=14","4.2")</f>
        <v>4.2</v>
      </c>
      <c r="G416" s="4" t="str">
        <f>HYPERLINK("http://141.218.60.56/~jnz1568/getInfo.php?workbook=14_13.xlsx&amp;sheet=U0&amp;row=416&amp;col=7&amp;number=0.154&amp;sourceID=14","0.154")</f>
        <v>0.154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HYPERLINK("http://141.218.60.56/~jnz1568/getInfo.php?workbook=14_13.xlsx&amp;sheet=U0&amp;row=417&amp;col=6&amp;number=4.3&amp;sourceID=14","4.3")</f>
        <v>4.3</v>
      </c>
      <c r="G417" s="4" t="str">
        <f>HYPERLINK("http://141.218.60.56/~jnz1568/getInfo.php?workbook=14_13.xlsx&amp;sheet=U0&amp;row=417&amp;col=7&amp;number=0.151&amp;sourceID=14","0.151")</f>
        <v>0.151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HYPERLINK("http://141.218.60.56/~jnz1568/getInfo.php?workbook=14_13.xlsx&amp;sheet=U0&amp;row=418&amp;col=6&amp;number=4.4&amp;sourceID=14","4.4")</f>
        <v>4.4</v>
      </c>
      <c r="G418" s="4" t="str">
        <f>HYPERLINK("http://141.218.60.56/~jnz1568/getInfo.php?workbook=14_13.xlsx&amp;sheet=U0&amp;row=418&amp;col=7&amp;number=0.149&amp;sourceID=14","0.149")</f>
        <v>0.149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HYPERLINK("http://141.218.60.56/~jnz1568/getInfo.php?workbook=14_13.xlsx&amp;sheet=U0&amp;row=419&amp;col=6&amp;number=4.5&amp;sourceID=14","4.5")</f>
        <v>4.5</v>
      </c>
      <c r="G419" s="4" t="str">
        <f>HYPERLINK("http://141.218.60.56/~jnz1568/getInfo.php?workbook=14_13.xlsx&amp;sheet=U0&amp;row=419&amp;col=7&amp;number=0.147&amp;sourceID=14","0.147")</f>
        <v>0.147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HYPERLINK("http://141.218.60.56/~jnz1568/getInfo.php?workbook=14_13.xlsx&amp;sheet=U0&amp;row=420&amp;col=6&amp;number=4.6&amp;sourceID=14","4.6")</f>
        <v>4.6</v>
      </c>
      <c r="G420" s="4" t="str">
        <f>HYPERLINK("http://141.218.60.56/~jnz1568/getInfo.php?workbook=14_13.xlsx&amp;sheet=U0&amp;row=420&amp;col=7&amp;number=0.145&amp;sourceID=14","0.145")</f>
        <v>0.145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HYPERLINK("http://141.218.60.56/~jnz1568/getInfo.php?workbook=14_13.xlsx&amp;sheet=U0&amp;row=421&amp;col=6&amp;number=4.7&amp;sourceID=14","4.7")</f>
        <v>4.7</v>
      </c>
      <c r="G421" s="4" t="str">
        <f>HYPERLINK("http://141.218.60.56/~jnz1568/getInfo.php?workbook=14_13.xlsx&amp;sheet=U0&amp;row=421&amp;col=7&amp;number=0.143&amp;sourceID=14","0.143")</f>
        <v>0.143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HYPERLINK("http://141.218.60.56/~jnz1568/getInfo.php?workbook=14_13.xlsx&amp;sheet=U0&amp;row=422&amp;col=6&amp;number=4.8&amp;sourceID=14","4.8")</f>
        <v>4.8</v>
      </c>
      <c r="G422" s="4" t="str">
        <f>HYPERLINK("http://141.218.60.56/~jnz1568/getInfo.php?workbook=14_13.xlsx&amp;sheet=U0&amp;row=422&amp;col=7&amp;number=0.139&amp;sourceID=14","0.139")</f>
        <v>0.139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HYPERLINK("http://141.218.60.56/~jnz1568/getInfo.php?workbook=14_13.xlsx&amp;sheet=U0&amp;row=423&amp;col=6&amp;number=4.9&amp;sourceID=14","4.9")</f>
        <v>4.9</v>
      </c>
      <c r="G423" s="4" t="str">
        <f>HYPERLINK("http://141.218.60.56/~jnz1568/getInfo.php?workbook=14_13.xlsx&amp;sheet=U0&amp;row=423&amp;col=7&amp;number=0.134&amp;sourceID=14","0.134")</f>
        <v>0.134</v>
      </c>
    </row>
    <row r="424" spans="1:7">
      <c r="A424" s="3">
        <v>14</v>
      </c>
      <c r="B424" s="3">
        <v>13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HYPERLINK("http://141.218.60.56/~jnz1568/getInfo.php?workbook=14_13.xlsx&amp;sheet=U0&amp;row=424&amp;col=6&amp;number=3&amp;sourceID=14","3")</f>
        <v>3</v>
      </c>
      <c r="G424" s="4" t="str">
        <f>HYPERLINK("http://141.218.60.56/~jnz1568/getInfo.php?workbook=14_13.xlsx&amp;sheet=U0&amp;row=424&amp;col=7&amp;number=0.321&amp;sourceID=14","0.321")</f>
        <v>0.321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HYPERLINK("http://141.218.60.56/~jnz1568/getInfo.php?workbook=14_13.xlsx&amp;sheet=U0&amp;row=425&amp;col=6&amp;number=3.1&amp;sourceID=14","3.1")</f>
        <v>3.1</v>
      </c>
      <c r="G425" s="4" t="str">
        <f>HYPERLINK("http://141.218.60.56/~jnz1568/getInfo.php?workbook=14_13.xlsx&amp;sheet=U0&amp;row=425&amp;col=7&amp;number=0.324&amp;sourceID=14","0.324")</f>
        <v>0.324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HYPERLINK("http://141.218.60.56/~jnz1568/getInfo.php?workbook=14_13.xlsx&amp;sheet=U0&amp;row=426&amp;col=6&amp;number=3.2&amp;sourceID=14","3.2")</f>
        <v>3.2</v>
      </c>
      <c r="G426" s="4" t="str">
        <f>HYPERLINK("http://141.218.60.56/~jnz1568/getInfo.php?workbook=14_13.xlsx&amp;sheet=U0&amp;row=426&amp;col=7&amp;number=0.328&amp;sourceID=14","0.328")</f>
        <v>0.328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HYPERLINK("http://141.218.60.56/~jnz1568/getInfo.php?workbook=14_13.xlsx&amp;sheet=U0&amp;row=427&amp;col=6&amp;number=3.3&amp;sourceID=14","3.3")</f>
        <v>3.3</v>
      </c>
      <c r="G427" s="4" t="str">
        <f>HYPERLINK("http://141.218.60.56/~jnz1568/getInfo.php?workbook=14_13.xlsx&amp;sheet=U0&amp;row=427&amp;col=7&amp;number=0.332&amp;sourceID=14","0.332")</f>
        <v>0.332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HYPERLINK("http://141.218.60.56/~jnz1568/getInfo.php?workbook=14_13.xlsx&amp;sheet=U0&amp;row=428&amp;col=6&amp;number=3.4&amp;sourceID=14","3.4")</f>
        <v>3.4</v>
      </c>
      <c r="G428" s="4" t="str">
        <f>HYPERLINK("http://141.218.60.56/~jnz1568/getInfo.php?workbook=14_13.xlsx&amp;sheet=U0&amp;row=428&amp;col=7&amp;number=0.336&amp;sourceID=14","0.336")</f>
        <v>0.336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HYPERLINK("http://141.218.60.56/~jnz1568/getInfo.php?workbook=14_13.xlsx&amp;sheet=U0&amp;row=429&amp;col=6&amp;number=3.5&amp;sourceID=14","3.5")</f>
        <v>3.5</v>
      </c>
      <c r="G429" s="4" t="str">
        <f>HYPERLINK("http://141.218.60.56/~jnz1568/getInfo.php?workbook=14_13.xlsx&amp;sheet=U0&amp;row=429&amp;col=7&amp;number=0.341&amp;sourceID=14","0.341")</f>
        <v>0.341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HYPERLINK("http://141.218.60.56/~jnz1568/getInfo.php?workbook=14_13.xlsx&amp;sheet=U0&amp;row=430&amp;col=6&amp;number=3.6&amp;sourceID=14","3.6")</f>
        <v>3.6</v>
      </c>
      <c r="G430" s="4" t="str">
        <f>HYPERLINK("http://141.218.60.56/~jnz1568/getInfo.php?workbook=14_13.xlsx&amp;sheet=U0&amp;row=430&amp;col=7&amp;number=0.345&amp;sourceID=14","0.345")</f>
        <v>0.345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HYPERLINK("http://141.218.60.56/~jnz1568/getInfo.php?workbook=14_13.xlsx&amp;sheet=U0&amp;row=431&amp;col=6&amp;number=3.7&amp;sourceID=14","3.7")</f>
        <v>3.7</v>
      </c>
      <c r="G431" s="4" t="str">
        <f>HYPERLINK("http://141.218.60.56/~jnz1568/getInfo.php?workbook=14_13.xlsx&amp;sheet=U0&amp;row=431&amp;col=7&amp;number=0.349&amp;sourceID=14","0.349")</f>
        <v>0.349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HYPERLINK("http://141.218.60.56/~jnz1568/getInfo.php?workbook=14_13.xlsx&amp;sheet=U0&amp;row=432&amp;col=6&amp;number=3.8&amp;sourceID=14","3.8")</f>
        <v>3.8</v>
      </c>
      <c r="G432" s="4" t="str">
        <f>HYPERLINK("http://141.218.60.56/~jnz1568/getInfo.php?workbook=14_13.xlsx&amp;sheet=U0&amp;row=432&amp;col=7&amp;number=0.351&amp;sourceID=14","0.351")</f>
        <v>0.351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HYPERLINK("http://141.218.60.56/~jnz1568/getInfo.php?workbook=14_13.xlsx&amp;sheet=U0&amp;row=433&amp;col=6&amp;number=3.9&amp;sourceID=14","3.9")</f>
        <v>3.9</v>
      </c>
      <c r="G433" s="4" t="str">
        <f>HYPERLINK("http://141.218.60.56/~jnz1568/getInfo.php?workbook=14_13.xlsx&amp;sheet=U0&amp;row=433&amp;col=7&amp;number=0.352&amp;sourceID=14","0.352")</f>
        <v>0.352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HYPERLINK("http://141.218.60.56/~jnz1568/getInfo.php?workbook=14_13.xlsx&amp;sheet=U0&amp;row=434&amp;col=6&amp;number=4&amp;sourceID=14","4")</f>
        <v>4</v>
      </c>
      <c r="G434" s="4" t="str">
        <f>HYPERLINK("http://141.218.60.56/~jnz1568/getInfo.php?workbook=14_13.xlsx&amp;sheet=U0&amp;row=434&amp;col=7&amp;number=0.352&amp;sourceID=14","0.352")</f>
        <v>0.352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HYPERLINK("http://141.218.60.56/~jnz1568/getInfo.php?workbook=14_13.xlsx&amp;sheet=U0&amp;row=435&amp;col=6&amp;number=4.1&amp;sourceID=14","4.1")</f>
        <v>4.1</v>
      </c>
      <c r="G435" s="4" t="str">
        <f>HYPERLINK("http://141.218.60.56/~jnz1568/getInfo.php?workbook=14_13.xlsx&amp;sheet=U0&amp;row=435&amp;col=7&amp;number=0.353&amp;sourceID=14","0.353")</f>
        <v>0.353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HYPERLINK("http://141.218.60.56/~jnz1568/getInfo.php?workbook=14_13.xlsx&amp;sheet=U0&amp;row=436&amp;col=6&amp;number=4.2&amp;sourceID=14","4.2")</f>
        <v>4.2</v>
      </c>
      <c r="G436" s="4" t="str">
        <f>HYPERLINK("http://141.218.60.56/~jnz1568/getInfo.php?workbook=14_13.xlsx&amp;sheet=U0&amp;row=436&amp;col=7&amp;number=0.354&amp;sourceID=14","0.354")</f>
        <v>0.354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HYPERLINK("http://141.218.60.56/~jnz1568/getInfo.php?workbook=14_13.xlsx&amp;sheet=U0&amp;row=437&amp;col=6&amp;number=4.3&amp;sourceID=14","4.3")</f>
        <v>4.3</v>
      </c>
      <c r="G437" s="4" t="str">
        <f>HYPERLINK("http://141.218.60.56/~jnz1568/getInfo.php?workbook=14_13.xlsx&amp;sheet=U0&amp;row=437&amp;col=7&amp;number=0.356&amp;sourceID=14","0.356")</f>
        <v>0.356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HYPERLINK("http://141.218.60.56/~jnz1568/getInfo.php?workbook=14_13.xlsx&amp;sheet=U0&amp;row=438&amp;col=6&amp;number=4.4&amp;sourceID=14","4.4")</f>
        <v>4.4</v>
      </c>
      <c r="G438" s="4" t="str">
        <f>HYPERLINK("http://141.218.60.56/~jnz1568/getInfo.php?workbook=14_13.xlsx&amp;sheet=U0&amp;row=438&amp;col=7&amp;number=0.359&amp;sourceID=14","0.359")</f>
        <v>0.359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HYPERLINK("http://141.218.60.56/~jnz1568/getInfo.php?workbook=14_13.xlsx&amp;sheet=U0&amp;row=439&amp;col=6&amp;number=4.5&amp;sourceID=14","4.5")</f>
        <v>4.5</v>
      </c>
      <c r="G439" s="4" t="str">
        <f>HYPERLINK("http://141.218.60.56/~jnz1568/getInfo.php?workbook=14_13.xlsx&amp;sheet=U0&amp;row=439&amp;col=7&amp;number=0.364&amp;sourceID=14","0.364")</f>
        <v>0.364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HYPERLINK("http://141.218.60.56/~jnz1568/getInfo.php?workbook=14_13.xlsx&amp;sheet=U0&amp;row=440&amp;col=6&amp;number=4.6&amp;sourceID=14","4.6")</f>
        <v>4.6</v>
      </c>
      <c r="G440" s="4" t="str">
        <f>HYPERLINK("http://141.218.60.56/~jnz1568/getInfo.php?workbook=14_13.xlsx&amp;sheet=U0&amp;row=440&amp;col=7&amp;number=0.372&amp;sourceID=14","0.372")</f>
        <v>0.372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HYPERLINK("http://141.218.60.56/~jnz1568/getInfo.php?workbook=14_13.xlsx&amp;sheet=U0&amp;row=441&amp;col=6&amp;number=4.7&amp;sourceID=14","4.7")</f>
        <v>4.7</v>
      </c>
      <c r="G441" s="4" t="str">
        <f>HYPERLINK("http://141.218.60.56/~jnz1568/getInfo.php?workbook=14_13.xlsx&amp;sheet=U0&amp;row=441&amp;col=7&amp;number=0.384&amp;sourceID=14","0.384")</f>
        <v>0.384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HYPERLINK("http://141.218.60.56/~jnz1568/getInfo.php?workbook=14_13.xlsx&amp;sheet=U0&amp;row=442&amp;col=6&amp;number=4.8&amp;sourceID=14","4.8")</f>
        <v>4.8</v>
      </c>
      <c r="G442" s="4" t="str">
        <f>HYPERLINK("http://141.218.60.56/~jnz1568/getInfo.php?workbook=14_13.xlsx&amp;sheet=U0&amp;row=442&amp;col=7&amp;number=0.4&amp;sourceID=14","0.4")</f>
        <v>0.4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HYPERLINK("http://141.218.60.56/~jnz1568/getInfo.php?workbook=14_13.xlsx&amp;sheet=U0&amp;row=443&amp;col=6&amp;number=4.9&amp;sourceID=14","4.9")</f>
        <v>4.9</v>
      </c>
      <c r="G443" s="4" t="str">
        <f>HYPERLINK("http://141.218.60.56/~jnz1568/getInfo.php?workbook=14_13.xlsx&amp;sheet=U0&amp;row=443&amp;col=7&amp;number=0.419&amp;sourceID=14","0.419")</f>
        <v>0.419</v>
      </c>
    </row>
    <row r="444" spans="1:7">
      <c r="A444" s="3">
        <v>14</v>
      </c>
      <c r="B444" s="3">
        <v>13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HYPERLINK("http://141.218.60.56/~jnz1568/getInfo.php?workbook=14_13.xlsx&amp;sheet=U0&amp;row=444&amp;col=6&amp;number=3&amp;sourceID=14","3")</f>
        <v>3</v>
      </c>
      <c r="G444" s="4" t="str">
        <f>HYPERLINK("http://141.218.60.56/~jnz1568/getInfo.php?workbook=14_13.xlsx&amp;sheet=U0&amp;row=444&amp;col=7&amp;number=0.284&amp;sourceID=14","0.284")</f>
        <v>0.284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HYPERLINK("http://141.218.60.56/~jnz1568/getInfo.php?workbook=14_13.xlsx&amp;sheet=U0&amp;row=445&amp;col=6&amp;number=3.1&amp;sourceID=14","3.1")</f>
        <v>3.1</v>
      </c>
      <c r="G445" s="4" t="str">
        <f>HYPERLINK("http://141.218.60.56/~jnz1568/getInfo.php?workbook=14_13.xlsx&amp;sheet=U0&amp;row=445&amp;col=7&amp;number=0.284&amp;sourceID=14","0.284")</f>
        <v>0.284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HYPERLINK("http://141.218.60.56/~jnz1568/getInfo.php?workbook=14_13.xlsx&amp;sheet=U0&amp;row=446&amp;col=6&amp;number=3.2&amp;sourceID=14","3.2")</f>
        <v>3.2</v>
      </c>
      <c r="G446" s="4" t="str">
        <f>HYPERLINK("http://141.218.60.56/~jnz1568/getInfo.php?workbook=14_13.xlsx&amp;sheet=U0&amp;row=446&amp;col=7&amp;number=0.283&amp;sourceID=14","0.283")</f>
        <v>0.283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HYPERLINK("http://141.218.60.56/~jnz1568/getInfo.php?workbook=14_13.xlsx&amp;sheet=U0&amp;row=447&amp;col=6&amp;number=3.3&amp;sourceID=14","3.3")</f>
        <v>3.3</v>
      </c>
      <c r="G447" s="4" t="str">
        <f>HYPERLINK("http://141.218.60.56/~jnz1568/getInfo.php?workbook=14_13.xlsx&amp;sheet=U0&amp;row=447&amp;col=7&amp;number=0.283&amp;sourceID=14","0.283")</f>
        <v>0.283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HYPERLINK("http://141.218.60.56/~jnz1568/getInfo.php?workbook=14_13.xlsx&amp;sheet=U0&amp;row=448&amp;col=6&amp;number=3.4&amp;sourceID=14","3.4")</f>
        <v>3.4</v>
      </c>
      <c r="G448" s="4" t="str">
        <f>HYPERLINK("http://141.218.60.56/~jnz1568/getInfo.php?workbook=14_13.xlsx&amp;sheet=U0&amp;row=448&amp;col=7&amp;number=0.282&amp;sourceID=14","0.282")</f>
        <v>0.282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HYPERLINK("http://141.218.60.56/~jnz1568/getInfo.php?workbook=14_13.xlsx&amp;sheet=U0&amp;row=449&amp;col=6&amp;number=3.5&amp;sourceID=14","3.5")</f>
        <v>3.5</v>
      </c>
      <c r="G449" s="4" t="str">
        <f>HYPERLINK("http://141.218.60.56/~jnz1568/getInfo.php?workbook=14_13.xlsx&amp;sheet=U0&amp;row=449&amp;col=7&amp;number=0.282&amp;sourceID=14","0.282")</f>
        <v>0.282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HYPERLINK("http://141.218.60.56/~jnz1568/getInfo.php?workbook=14_13.xlsx&amp;sheet=U0&amp;row=450&amp;col=6&amp;number=3.6&amp;sourceID=14","3.6")</f>
        <v>3.6</v>
      </c>
      <c r="G450" s="4" t="str">
        <f>HYPERLINK("http://141.218.60.56/~jnz1568/getInfo.php?workbook=14_13.xlsx&amp;sheet=U0&amp;row=450&amp;col=7&amp;number=0.281&amp;sourceID=14","0.281")</f>
        <v>0.281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HYPERLINK("http://141.218.60.56/~jnz1568/getInfo.php?workbook=14_13.xlsx&amp;sheet=U0&amp;row=451&amp;col=6&amp;number=3.7&amp;sourceID=14","3.7")</f>
        <v>3.7</v>
      </c>
      <c r="G451" s="4" t="str">
        <f>HYPERLINK("http://141.218.60.56/~jnz1568/getInfo.php?workbook=14_13.xlsx&amp;sheet=U0&amp;row=451&amp;col=7&amp;number=0.28&amp;sourceID=14","0.28")</f>
        <v>0.28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HYPERLINK("http://141.218.60.56/~jnz1568/getInfo.php?workbook=14_13.xlsx&amp;sheet=U0&amp;row=452&amp;col=6&amp;number=3.8&amp;sourceID=14","3.8")</f>
        <v>3.8</v>
      </c>
      <c r="G452" s="4" t="str">
        <f>HYPERLINK("http://141.218.60.56/~jnz1568/getInfo.php?workbook=14_13.xlsx&amp;sheet=U0&amp;row=452&amp;col=7&amp;number=0.279&amp;sourceID=14","0.279")</f>
        <v>0.279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HYPERLINK("http://141.218.60.56/~jnz1568/getInfo.php?workbook=14_13.xlsx&amp;sheet=U0&amp;row=453&amp;col=6&amp;number=3.9&amp;sourceID=14","3.9")</f>
        <v>3.9</v>
      </c>
      <c r="G453" s="4" t="str">
        <f>HYPERLINK("http://141.218.60.56/~jnz1568/getInfo.php?workbook=14_13.xlsx&amp;sheet=U0&amp;row=453&amp;col=7&amp;number=0.279&amp;sourceID=14","0.279")</f>
        <v>0.279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HYPERLINK("http://141.218.60.56/~jnz1568/getInfo.php?workbook=14_13.xlsx&amp;sheet=U0&amp;row=454&amp;col=6&amp;number=4&amp;sourceID=14","4")</f>
        <v>4</v>
      </c>
      <c r="G454" s="4" t="str">
        <f>HYPERLINK("http://141.218.60.56/~jnz1568/getInfo.php?workbook=14_13.xlsx&amp;sheet=U0&amp;row=454&amp;col=7&amp;number=0.278&amp;sourceID=14","0.278")</f>
        <v>0.278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HYPERLINK("http://141.218.60.56/~jnz1568/getInfo.php?workbook=14_13.xlsx&amp;sheet=U0&amp;row=455&amp;col=6&amp;number=4.1&amp;sourceID=14","4.1")</f>
        <v>4.1</v>
      </c>
      <c r="G455" s="4" t="str">
        <f>HYPERLINK("http://141.218.60.56/~jnz1568/getInfo.php?workbook=14_13.xlsx&amp;sheet=U0&amp;row=455&amp;col=7&amp;number=0.277&amp;sourceID=14","0.277")</f>
        <v>0.277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HYPERLINK("http://141.218.60.56/~jnz1568/getInfo.php?workbook=14_13.xlsx&amp;sheet=U0&amp;row=456&amp;col=6&amp;number=4.2&amp;sourceID=14","4.2")</f>
        <v>4.2</v>
      </c>
      <c r="G456" s="4" t="str">
        <f>HYPERLINK("http://141.218.60.56/~jnz1568/getInfo.php?workbook=14_13.xlsx&amp;sheet=U0&amp;row=456&amp;col=7&amp;number=0.276&amp;sourceID=14","0.276")</f>
        <v>0.276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HYPERLINK("http://141.218.60.56/~jnz1568/getInfo.php?workbook=14_13.xlsx&amp;sheet=U0&amp;row=457&amp;col=6&amp;number=4.3&amp;sourceID=14","4.3")</f>
        <v>4.3</v>
      </c>
      <c r="G457" s="4" t="str">
        <f>HYPERLINK("http://141.218.60.56/~jnz1568/getInfo.php?workbook=14_13.xlsx&amp;sheet=U0&amp;row=457&amp;col=7&amp;number=0.276&amp;sourceID=14","0.276")</f>
        <v>0.276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HYPERLINK("http://141.218.60.56/~jnz1568/getInfo.php?workbook=14_13.xlsx&amp;sheet=U0&amp;row=458&amp;col=6&amp;number=4.4&amp;sourceID=14","4.4")</f>
        <v>4.4</v>
      </c>
      <c r="G458" s="4" t="str">
        <f>HYPERLINK("http://141.218.60.56/~jnz1568/getInfo.php?workbook=14_13.xlsx&amp;sheet=U0&amp;row=458&amp;col=7&amp;number=0.277&amp;sourceID=14","0.277")</f>
        <v>0.277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HYPERLINK("http://141.218.60.56/~jnz1568/getInfo.php?workbook=14_13.xlsx&amp;sheet=U0&amp;row=459&amp;col=6&amp;number=4.5&amp;sourceID=14","4.5")</f>
        <v>4.5</v>
      </c>
      <c r="G459" s="4" t="str">
        <f>HYPERLINK("http://141.218.60.56/~jnz1568/getInfo.php?workbook=14_13.xlsx&amp;sheet=U0&amp;row=459&amp;col=7&amp;number=0.279&amp;sourceID=14","0.279")</f>
        <v>0.279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HYPERLINK("http://141.218.60.56/~jnz1568/getInfo.php?workbook=14_13.xlsx&amp;sheet=U0&amp;row=460&amp;col=6&amp;number=4.6&amp;sourceID=14","4.6")</f>
        <v>4.6</v>
      </c>
      <c r="G460" s="4" t="str">
        <f>HYPERLINK("http://141.218.60.56/~jnz1568/getInfo.php?workbook=14_13.xlsx&amp;sheet=U0&amp;row=460&amp;col=7&amp;number=0.283&amp;sourceID=14","0.283")</f>
        <v>0.283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HYPERLINK("http://141.218.60.56/~jnz1568/getInfo.php?workbook=14_13.xlsx&amp;sheet=U0&amp;row=461&amp;col=6&amp;number=4.7&amp;sourceID=14","4.7")</f>
        <v>4.7</v>
      </c>
      <c r="G461" s="4" t="str">
        <f>HYPERLINK("http://141.218.60.56/~jnz1568/getInfo.php?workbook=14_13.xlsx&amp;sheet=U0&amp;row=461&amp;col=7&amp;number=0.29&amp;sourceID=14","0.29")</f>
        <v>0.29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HYPERLINK("http://141.218.60.56/~jnz1568/getInfo.php?workbook=14_13.xlsx&amp;sheet=U0&amp;row=462&amp;col=6&amp;number=4.8&amp;sourceID=14","4.8")</f>
        <v>4.8</v>
      </c>
      <c r="G462" s="4" t="str">
        <f>HYPERLINK("http://141.218.60.56/~jnz1568/getInfo.php?workbook=14_13.xlsx&amp;sheet=U0&amp;row=462&amp;col=7&amp;number=0.299&amp;sourceID=14","0.299")</f>
        <v>0.299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HYPERLINK("http://141.218.60.56/~jnz1568/getInfo.php?workbook=14_13.xlsx&amp;sheet=U0&amp;row=463&amp;col=6&amp;number=4.9&amp;sourceID=14","4.9")</f>
        <v>4.9</v>
      </c>
      <c r="G463" s="4" t="str">
        <f>HYPERLINK("http://141.218.60.56/~jnz1568/getInfo.php?workbook=14_13.xlsx&amp;sheet=U0&amp;row=463&amp;col=7&amp;number=0.311&amp;sourceID=14","0.311")</f>
        <v>0.311</v>
      </c>
    </row>
    <row r="464" spans="1:7">
      <c r="A464" s="3">
        <v>14</v>
      </c>
      <c r="B464" s="3">
        <v>13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HYPERLINK("http://141.218.60.56/~jnz1568/getInfo.php?workbook=14_13.xlsx&amp;sheet=U0&amp;row=464&amp;col=6&amp;number=3&amp;sourceID=14","3")</f>
        <v>3</v>
      </c>
      <c r="G464" s="4" t="str">
        <f>HYPERLINK("http://141.218.60.56/~jnz1568/getInfo.php?workbook=14_13.xlsx&amp;sheet=U0&amp;row=464&amp;col=7&amp;number=0.14&amp;sourceID=14","0.14")</f>
        <v>0.14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HYPERLINK("http://141.218.60.56/~jnz1568/getInfo.php?workbook=14_13.xlsx&amp;sheet=U0&amp;row=465&amp;col=6&amp;number=3.1&amp;sourceID=14","3.1")</f>
        <v>3.1</v>
      </c>
      <c r="G465" s="4" t="str">
        <f>HYPERLINK("http://141.218.60.56/~jnz1568/getInfo.php?workbook=14_13.xlsx&amp;sheet=U0&amp;row=465&amp;col=7&amp;number=0.139&amp;sourceID=14","0.139")</f>
        <v>0.139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HYPERLINK("http://141.218.60.56/~jnz1568/getInfo.php?workbook=14_13.xlsx&amp;sheet=U0&amp;row=466&amp;col=6&amp;number=3.2&amp;sourceID=14","3.2")</f>
        <v>3.2</v>
      </c>
      <c r="G466" s="4" t="str">
        <f>HYPERLINK("http://141.218.60.56/~jnz1568/getInfo.php?workbook=14_13.xlsx&amp;sheet=U0&amp;row=466&amp;col=7&amp;number=0.138&amp;sourceID=14","0.138")</f>
        <v>0.138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HYPERLINK("http://141.218.60.56/~jnz1568/getInfo.php?workbook=14_13.xlsx&amp;sheet=U0&amp;row=467&amp;col=6&amp;number=3.3&amp;sourceID=14","3.3")</f>
        <v>3.3</v>
      </c>
      <c r="G467" s="4" t="str">
        <f>HYPERLINK("http://141.218.60.56/~jnz1568/getInfo.php?workbook=14_13.xlsx&amp;sheet=U0&amp;row=467&amp;col=7&amp;number=0.137&amp;sourceID=14","0.137")</f>
        <v>0.137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HYPERLINK("http://141.218.60.56/~jnz1568/getInfo.php?workbook=14_13.xlsx&amp;sheet=U0&amp;row=468&amp;col=6&amp;number=3.4&amp;sourceID=14","3.4")</f>
        <v>3.4</v>
      </c>
      <c r="G468" s="4" t="str">
        <f>HYPERLINK("http://141.218.60.56/~jnz1568/getInfo.php?workbook=14_13.xlsx&amp;sheet=U0&amp;row=468&amp;col=7&amp;number=0.136&amp;sourceID=14","0.136")</f>
        <v>0.136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HYPERLINK("http://141.218.60.56/~jnz1568/getInfo.php?workbook=14_13.xlsx&amp;sheet=U0&amp;row=469&amp;col=6&amp;number=3.5&amp;sourceID=14","3.5")</f>
        <v>3.5</v>
      </c>
      <c r="G469" s="4" t="str">
        <f>HYPERLINK("http://141.218.60.56/~jnz1568/getInfo.php?workbook=14_13.xlsx&amp;sheet=U0&amp;row=469&amp;col=7&amp;number=0.135&amp;sourceID=14","0.135")</f>
        <v>0.135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HYPERLINK("http://141.218.60.56/~jnz1568/getInfo.php?workbook=14_13.xlsx&amp;sheet=U0&amp;row=470&amp;col=6&amp;number=3.6&amp;sourceID=14","3.6")</f>
        <v>3.6</v>
      </c>
      <c r="G470" s="4" t="str">
        <f>HYPERLINK("http://141.218.60.56/~jnz1568/getInfo.php?workbook=14_13.xlsx&amp;sheet=U0&amp;row=470&amp;col=7&amp;number=0.133&amp;sourceID=14","0.133")</f>
        <v>0.133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HYPERLINK("http://141.218.60.56/~jnz1568/getInfo.php?workbook=14_13.xlsx&amp;sheet=U0&amp;row=471&amp;col=6&amp;number=3.7&amp;sourceID=14","3.7")</f>
        <v>3.7</v>
      </c>
      <c r="G471" s="4" t="str">
        <f>HYPERLINK("http://141.218.60.56/~jnz1568/getInfo.php?workbook=14_13.xlsx&amp;sheet=U0&amp;row=471&amp;col=7&amp;number=0.131&amp;sourceID=14","0.131")</f>
        <v>0.131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HYPERLINK("http://141.218.60.56/~jnz1568/getInfo.php?workbook=14_13.xlsx&amp;sheet=U0&amp;row=472&amp;col=6&amp;number=3.8&amp;sourceID=14","3.8")</f>
        <v>3.8</v>
      </c>
      <c r="G472" s="4" t="str">
        <f>HYPERLINK("http://141.218.60.56/~jnz1568/getInfo.php?workbook=14_13.xlsx&amp;sheet=U0&amp;row=472&amp;col=7&amp;number=0.129&amp;sourceID=14","0.129")</f>
        <v>0.129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HYPERLINK("http://141.218.60.56/~jnz1568/getInfo.php?workbook=14_13.xlsx&amp;sheet=U0&amp;row=473&amp;col=6&amp;number=3.9&amp;sourceID=14","3.9")</f>
        <v>3.9</v>
      </c>
      <c r="G473" s="4" t="str">
        <f>HYPERLINK("http://141.218.60.56/~jnz1568/getInfo.php?workbook=14_13.xlsx&amp;sheet=U0&amp;row=473&amp;col=7&amp;number=0.127&amp;sourceID=14","0.127")</f>
        <v>0.127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HYPERLINK("http://141.218.60.56/~jnz1568/getInfo.php?workbook=14_13.xlsx&amp;sheet=U0&amp;row=474&amp;col=6&amp;number=4&amp;sourceID=14","4")</f>
        <v>4</v>
      </c>
      <c r="G474" s="4" t="str">
        <f>HYPERLINK("http://141.218.60.56/~jnz1568/getInfo.php?workbook=14_13.xlsx&amp;sheet=U0&amp;row=474&amp;col=7&amp;number=0.125&amp;sourceID=14","0.125")</f>
        <v>0.125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HYPERLINK("http://141.218.60.56/~jnz1568/getInfo.php?workbook=14_13.xlsx&amp;sheet=U0&amp;row=475&amp;col=6&amp;number=4.1&amp;sourceID=14","4.1")</f>
        <v>4.1</v>
      </c>
      <c r="G475" s="4" t="str">
        <f>HYPERLINK("http://141.218.60.56/~jnz1568/getInfo.php?workbook=14_13.xlsx&amp;sheet=U0&amp;row=475&amp;col=7&amp;number=0.123&amp;sourceID=14","0.123")</f>
        <v>0.123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HYPERLINK("http://141.218.60.56/~jnz1568/getInfo.php?workbook=14_13.xlsx&amp;sheet=U0&amp;row=476&amp;col=6&amp;number=4.2&amp;sourceID=14","4.2")</f>
        <v>4.2</v>
      </c>
      <c r="G476" s="4" t="str">
        <f>HYPERLINK("http://141.218.60.56/~jnz1568/getInfo.php?workbook=14_13.xlsx&amp;sheet=U0&amp;row=476&amp;col=7&amp;number=0.121&amp;sourceID=14","0.121")</f>
        <v>0.121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HYPERLINK("http://141.218.60.56/~jnz1568/getInfo.php?workbook=14_13.xlsx&amp;sheet=U0&amp;row=477&amp;col=6&amp;number=4.3&amp;sourceID=14","4.3")</f>
        <v>4.3</v>
      </c>
      <c r="G477" s="4" t="str">
        <f>HYPERLINK("http://141.218.60.56/~jnz1568/getInfo.php?workbook=14_13.xlsx&amp;sheet=U0&amp;row=477&amp;col=7&amp;number=0.119&amp;sourceID=14","0.119")</f>
        <v>0.119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HYPERLINK("http://141.218.60.56/~jnz1568/getInfo.php?workbook=14_13.xlsx&amp;sheet=U0&amp;row=478&amp;col=6&amp;number=4.4&amp;sourceID=14","4.4")</f>
        <v>4.4</v>
      </c>
      <c r="G478" s="4" t="str">
        <f>HYPERLINK("http://141.218.60.56/~jnz1568/getInfo.php?workbook=14_13.xlsx&amp;sheet=U0&amp;row=478&amp;col=7&amp;number=0.117&amp;sourceID=14","0.117")</f>
        <v>0.117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HYPERLINK("http://141.218.60.56/~jnz1568/getInfo.php?workbook=14_13.xlsx&amp;sheet=U0&amp;row=479&amp;col=6&amp;number=4.5&amp;sourceID=14","4.5")</f>
        <v>4.5</v>
      </c>
      <c r="G479" s="4" t="str">
        <f>HYPERLINK("http://141.218.60.56/~jnz1568/getInfo.php?workbook=14_13.xlsx&amp;sheet=U0&amp;row=479&amp;col=7&amp;number=0.114&amp;sourceID=14","0.114")</f>
        <v>0.114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HYPERLINK("http://141.218.60.56/~jnz1568/getInfo.php?workbook=14_13.xlsx&amp;sheet=U0&amp;row=480&amp;col=6&amp;number=4.6&amp;sourceID=14","4.6")</f>
        <v>4.6</v>
      </c>
      <c r="G480" s="4" t="str">
        <f>HYPERLINK("http://141.218.60.56/~jnz1568/getInfo.php?workbook=14_13.xlsx&amp;sheet=U0&amp;row=480&amp;col=7&amp;number=0.111&amp;sourceID=14","0.111")</f>
        <v>0.111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HYPERLINK("http://141.218.60.56/~jnz1568/getInfo.php?workbook=14_13.xlsx&amp;sheet=U0&amp;row=481&amp;col=6&amp;number=4.7&amp;sourceID=14","4.7")</f>
        <v>4.7</v>
      </c>
      <c r="G481" s="4" t="str">
        <f>HYPERLINK("http://141.218.60.56/~jnz1568/getInfo.php?workbook=14_13.xlsx&amp;sheet=U0&amp;row=481&amp;col=7&amp;number=0.108&amp;sourceID=14","0.108")</f>
        <v>0.108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HYPERLINK("http://141.218.60.56/~jnz1568/getInfo.php?workbook=14_13.xlsx&amp;sheet=U0&amp;row=482&amp;col=6&amp;number=4.8&amp;sourceID=14","4.8")</f>
        <v>4.8</v>
      </c>
      <c r="G482" s="4" t="str">
        <f>HYPERLINK("http://141.218.60.56/~jnz1568/getInfo.php?workbook=14_13.xlsx&amp;sheet=U0&amp;row=482&amp;col=7&amp;number=0.104&amp;sourceID=14","0.104")</f>
        <v>0.104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HYPERLINK("http://141.218.60.56/~jnz1568/getInfo.php?workbook=14_13.xlsx&amp;sheet=U0&amp;row=483&amp;col=6&amp;number=4.9&amp;sourceID=14","4.9")</f>
        <v>4.9</v>
      </c>
      <c r="G483" s="4" t="str">
        <f>HYPERLINK("http://141.218.60.56/~jnz1568/getInfo.php?workbook=14_13.xlsx&amp;sheet=U0&amp;row=483&amp;col=7&amp;number=0.0999&amp;sourceID=14","0.0999")</f>
        <v>0.0999</v>
      </c>
    </row>
    <row r="484" spans="1:7">
      <c r="A484" s="3">
        <v>14</v>
      </c>
      <c r="B484" s="3">
        <v>13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HYPERLINK("http://141.218.60.56/~jnz1568/getInfo.php?workbook=14_13.xlsx&amp;sheet=U0&amp;row=484&amp;col=6&amp;number=3&amp;sourceID=14","3")</f>
        <v>3</v>
      </c>
      <c r="G484" s="4" t="str">
        <f>HYPERLINK("http://141.218.60.56/~jnz1568/getInfo.php?workbook=14_13.xlsx&amp;sheet=U0&amp;row=484&amp;col=7&amp;number=0.341&amp;sourceID=14","0.341")</f>
        <v>0.341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HYPERLINK("http://141.218.60.56/~jnz1568/getInfo.php?workbook=14_13.xlsx&amp;sheet=U0&amp;row=485&amp;col=6&amp;number=3.1&amp;sourceID=14","3.1")</f>
        <v>3.1</v>
      </c>
      <c r="G485" s="4" t="str">
        <f>HYPERLINK("http://141.218.60.56/~jnz1568/getInfo.php?workbook=14_13.xlsx&amp;sheet=U0&amp;row=485&amp;col=7&amp;number=0.344&amp;sourceID=14","0.344")</f>
        <v>0.344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HYPERLINK("http://141.218.60.56/~jnz1568/getInfo.php?workbook=14_13.xlsx&amp;sheet=U0&amp;row=486&amp;col=6&amp;number=3.2&amp;sourceID=14","3.2")</f>
        <v>3.2</v>
      </c>
      <c r="G486" s="4" t="str">
        <f>HYPERLINK("http://141.218.60.56/~jnz1568/getInfo.php?workbook=14_13.xlsx&amp;sheet=U0&amp;row=486&amp;col=7&amp;number=0.348&amp;sourceID=14","0.348")</f>
        <v>0.348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HYPERLINK("http://141.218.60.56/~jnz1568/getInfo.php?workbook=14_13.xlsx&amp;sheet=U0&amp;row=487&amp;col=6&amp;number=3.3&amp;sourceID=14","3.3")</f>
        <v>3.3</v>
      </c>
      <c r="G487" s="4" t="str">
        <f>HYPERLINK("http://141.218.60.56/~jnz1568/getInfo.php?workbook=14_13.xlsx&amp;sheet=U0&amp;row=487&amp;col=7&amp;number=0.352&amp;sourceID=14","0.352")</f>
        <v>0.352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HYPERLINK("http://141.218.60.56/~jnz1568/getInfo.php?workbook=14_13.xlsx&amp;sheet=U0&amp;row=488&amp;col=6&amp;number=3.4&amp;sourceID=14","3.4")</f>
        <v>3.4</v>
      </c>
      <c r="G488" s="4" t="str">
        <f>HYPERLINK("http://141.218.60.56/~jnz1568/getInfo.php?workbook=14_13.xlsx&amp;sheet=U0&amp;row=488&amp;col=7&amp;number=0.357&amp;sourceID=14","0.357")</f>
        <v>0.357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HYPERLINK("http://141.218.60.56/~jnz1568/getInfo.php?workbook=14_13.xlsx&amp;sheet=U0&amp;row=489&amp;col=6&amp;number=3.5&amp;sourceID=14","3.5")</f>
        <v>3.5</v>
      </c>
      <c r="G489" s="4" t="str">
        <f>HYPERLINK("http://141.218.60.56/~jnz1568/getInfo.php?workbook=14_13.xlsx&amp;sheet=U0&amp;row=489&amp;col=7&amp;number=0.363&amp;sourceID=14","0.363")</f>
        <v>0.363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HYPERLINK("http://141.218.60.56/~jnz1568/getInfo.php?workbook=14_13.xlsx&amp;sheet=U0&amp;row=490&amp;col=6&amp;number=3.6&amp;sourceID=14","3.6")</f>
        <v>3.6</v>
      </c>
      <c r="G490" s="4" t="str">
        <f>HYPERLINK("http://141.218.60.56/~jnz1568/getInfo.php?workbook=14_13.xlsx&amp;sheet=U0&amp;row=490&amp;col=7&amp;number=0.371&amp;sourceID=14","0.371")</f>
        <v>0.371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HYPERLINK("http://141.218.60.56/~jnz1568/getInfo.php?workbook=14_13.xlsx&amp;sheet=U0&amp;row=491&amp;col=6&amp;number=3.7&amp;sourceID=14","3.7")</f>
        <v>3.7</v>
      </c>
      <c r="G491" s="4" t="str">
        <f>HYPERLINK("http://141.218.60.56/~jnz1568/getInfo.php?workbook=14_13.xlsx&amp;sheet=U0&amp;row=491&amp;col=7&amp;number=0.38&amp;sourceID=14","0.38")</f>
        <v>0.38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HYPERLINK("http://141.218.60.56/~jnz1568/getInfo.php?workbook=14_13.xlsx&amp;sheet=U0&amp;row=492&amp;col=6&amp;number=3.8&amp;sourceID=14","3.8")</f>
        <v>3.8</v>
      </c>
      <c r="G492" s="4" t="str">
        <f>HYPERLINK("http://141.218.60.56/~jnz1568/getInfo.php?workbook=14_13.xlsx&amp;sheet=U0&amp;row=492&amp;col=7&amp;number=0.39&amp;sourceID=14","0.39")</f>
        <v>0.39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HYPERLINK("http://141.218.60.56/~jnz1568/getInfo.php?workbook=14_13.xlsx&amp;sheet=U0&amp;row=493&amp;col=6&amp;number=3.9&amp;sourceID=14","3.9")</f>
        <v>3.9</v>
      </c>
      <c r="G493" s="4" t="str">
        <f>HYPERLINK("http://141.218.60.56/~jnz1568/getInfo.php?workbook=14_13.xlsx&amp;sheet=U0&amp;row=493&amp;col=7&amp;number=0.402&amp;sourceID=14","0.402")</f>
        <v>0.402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HYPERLINK("http://141.218.60.56/~jnz1568/getInfo.php?workbook=14_13.xlsx&amp;sheet=U0&amp;row=494&amp;col=6&amp;number=4&amp;sourceID=14","4")</f>
        <v>4</v>
      </c>
      <c r="G494" s="4" t="str">
        <f>HYPERLINK("http://141.218.60.56/~jnz1568/getInfo.php?workbook=14_13.xlsx&amp;sheet=U0&amp;row=494&amp;col=7&amp;number=0.416&amp;sourceID=14","0.416")</f>
        <v>0.416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HYPERLINK("http://141.218.60.56/~jnz1568/getInfo.php?workbook=14_13.xlsx&amp;sheet=U0&amp;row=495&amp;col=6&amp;number=4.1&amp;sourceID=14","4.1")</f>
        <v>4.1</v>
      </c>
      <c r="G495" s="4" t="str">
        <f>HYPERLINK("http://141.218.60.56/~jnz1568/getInfo.php?workbook=14_13.xlsx&amp;sheet=U0&amp;row=495&amp;col=7&amp;number=0.432&amp;sourceID=14","0.432")</f>
        <v>0.432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HYPERLINK("http://141.218.60.56/~jnz1568/getInfo.php?workbook=14_13.xlsx&amp;sheet=U0&amp;row=496&amp;col=6&amp;number=4.2&amp;sourceID=14","4.2")</f>
        <v>4.2</v>
      </c>
      <c r="G496" s="4" t="str">
        <f>HYPERLINK("http://141.218.60.56/~jnz1568/getInfo.php?workbook=14_13.xlsx&amp;sheet=U0&amp;row=496&amp;col=7&amp;number=0.449&amp;sourceID=14","0.449")</f>
        <v>0.449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HYPERLINK("http://141.218.60.56/~jnz1568/getInfo.php?workbook=14_13.xlsx&amp;sheet=U0&amp;row=497&amp;col=6&amp;number=4.3&amp;sourceID=14","4.3")</f>
        <v>4.3</v>
      </c>
      <c r="G497" s="4" t="str">
        <f>HYPERLINK("http://141.218.60.56/~jnz1568/getInfo.php?workbook=14_13.xlsx&amp;sheet=U0&amp;row=497&amp;col=7&amp;number=0.465&amp;sourceID=14","0.465")</f>
        <v>0.465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HYPERLINK("http://141.218.60.56/~jnz1568/getInfo.php?workbook=14_13.xlsx&amp;sheet=U0&amp;row=498&amp;col=6&amp;number=4.4&amp;sourceID=14","4.4")</f>
        <v>4.4</v>
      </c>
      <c r="G498" s="4" t="str">
        <f>HYPERLINK("http://141.218.60.56/~jnz1568/getInfo.php?workbook=14_13.xlsx&amp;sheet=U0&amp;row=498&amp;col=7&amp;number=0.481&amp;sourceID=14","0.481")</f>
        <v>0.481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HYPERLINK("http://141.218.60.56/~jnz1568/getInfo.php?workbook=14_13.xlsx&amp;sheet=U0&amp;row=499&amp;col=6&amp;number=4.5&amp;sourceID=14","4.5")</f>
        <v>4.5</v>
      </c>
      <c r="G499" s="4" t="str">
        <f>HYPERLINK("http://141.218.60.56/~jnz1568/getInfo.php?workbook=14_13.xlsx&amp;sheet=U0&amp;row=499&amp;col=7&amp;number=0.495&amp;sourceID=14","0.495")</f>
        <v>0.495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HYPERLINK("http://141.218.60.56/~jnz1568/getInfo.php?workbook=14_13.xlsx&amp;sheet=U0&amp;row=500&amp;col=6&amp;number=4.6&amp;sourceID=14","4.6")</f>
        <v>4.6</v>
      </c>
      <c r="G500" s="4" t="str">
        <f>HYPERLINK("http://141.218.60.56/~jnz1568/getInfo.php?workbook=14_13.xlsx&amp;sheet=U0&amp;row=500&amp;col=7&amp;number=0.508&amp;sourceID=14","0.508")</f>
        <v>0.508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HYPERLINK("http://141.218.60.56/~jnz1568/getInfo.php?workbook=14_13.xlsx&amp;sheet=U0&amp;row=501&amp;col=6&amp;number=4.7&amp;sourceID=14","4.7")</f>
        <v>4.7</v>
      </c>
      <c r="G501" s="4" t="str">
        <f>HYPERLINK("http://141.218.60.56/~jnz1568/getInfo.php?workbook=14_13.xlsx&amp;sheet=U0&amp;row=501&amp;col=7&amp;number=0.519&amp;sourceID=14","0.519")</f>
        <v>0.519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HYPERLINK("http://141.218.60.56/~jnz1568/getInfo.php?workbook=14_13.xlsx&amp;sheet=U0&amp;row=502&amp;col=6&amp;number=4.8&amp;sourceID=14","4.8")</f>
        <v>4.8</v>
      </c>
      <c r="G502" s="4" t="str">
        <f>HYPERLINK("http://141.218.60.56/~jnz1568/getInfo.php?workbook=14_13.xlsx&amp;sheet=U0&amp;row=502&amp;col=7&amp;number=0.529&amp;sourceID=14","0.529")</f>
        <v>0.529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HYPERLINK("http://141.218.60.56/~jnz1568/getInfo.php?workbook=14_13.xlsx&amp;sheet=U0&amp;row=503&amp;col=6&amp;number=4.9&amp;sourceID=14","4.9")</f>
        <v>4.9</v>
      </c>
      <c r="G503" s="4" t="str">
        <f>HYPERLINK("http://141.218.60.56/~jnz1568/getInfo.php?workbook=14_13.xlsx&amp;sheet=U0&amp;row=503&amp;col=7&amp;number=0.54&amp;sourceID=14","0.54")</f>
        <v>0.54</v>
      </c>
    </row>
    <row r="504" spans="1:7">
      <c r="A504" s="3">
        <v>14</v>
      </c>
      <c r="B504" s="3">
        <v>13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HYPERLINK("http://141.218.60.56/~jnz1568/getInfo.php?workbook=14_13.xlsx&amp;sheet=U0&amp;row=504&amp;col=6&amp;number=3&amp;sourceID=14","3")</f>
        <v>3</v>
      </c>
      <c r="G504" s="4" t="str">
        <f>HYPERLINK("http://141.218.60.56/~jnz1568/getInfo.php?workbook=14_13.xlsx&amp;sheet=U0&amp;row=504&amp;col=7&amp;number=0.206&amp;sourceID=14","0.206")</f>
        <v>0.206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HYPERLINK("http://141.218.60.56/~jnz1568/getInfo.php?workbook=14_13.xlsx&amp;sheet=U0&amp;row=505&amp;col=6&amp;number=3.1&amp;sourceID=14","3.1")</f>
        <v>3.1</v>
      </c>
      <c r="G505" s="4" t="str">
        <f>HYPERLINK("http://141.218.60.56/~jnz1568/getInfo.php?workbook=14_13.xlsx&amp;sheet=U0&amp;row=505&amp;col=7&amp;number=0.206&amp;sourceID=14","0.206")</f>
        <v>0.206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HYPERLINK("http://141.218.60.56/~jnz1568/getInfo.php?workbook=14_13.xlsx&amp;sheet=U0&amp;row=506&amp;col=6&amp;number=3.2&amp;sourceID=14","3.2")</f>
        <v>3.2</v>
      </c>
      <c r="G506" s="4" t="str">
        <f>HYPERLINK("http://141.218.60.56/~jnz1568/getInfo.php?workbook=14_13.xlsx&amp;sheet=U0&amp;row=506&amp;col=7&amp;number=0.205&amp;sourceID=14","0.205")</f>
        <v>0.205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HYPERLINK("http://141.218.60.56/~jnz1568/getInfo.php?workbook=14_13.xlsx&amp;sheet=U0&amp;row=507&amp;col=6&amp;number=3.3&amp;sourceID=14","3.3")</f>
        <v>3.3</v>
      </c>
      <c r="G507" s="4" t="str">
        <f>HYPERLINK("http://141.218.60.56/~jnz1568/getInfo.php?workbook=14_13.xlsx&amp;sheet=U0&amp;row=507&amp;col=7&amp;number=0.204&amp;sourceID=14","0.204")</f>
        <v>0.204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HYPERLINK("http://141.218.60.56/~jnz1568/getInfo.php?workbook=14_13.xlsx&amp;sheet=U0&amp;row=508&amp;col=6&amp;number=3.4&amp;sourceID=14","3.4")</f>
        <v>3.4</v>
      </c>
      <c r="G508" s="4" t="str">
        <f>HYPERLINK("http://141.218.60.56/~jnz1568/getInfo.php?workbook=14_13.xlsx&amp;sheet=U0&amp;row=508&amp;col=7&amp;number=0.203&amp;sourceID=14","0.203")</f>
        <v>0.203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HYPERLINK("http://141.218.60.56/~jnz1568/getInfo.php?workbook=14_13.xlsx&amp;sheet=U0&amp;row=509&amp;col=6&amp;number=3.5&amp;sourceID=14","3.5")</f>
        <v>3.5</v>
      </c>
      <c r="G509" s="4" t="str">
        <f>HYPERLINK("http://141.218.60.56/~jnz1568/getInfo.php?workbook=14_13.xlsx&amp;sheet=U0&amp;row=509&amp;col=7&amp;number=0.202&amp;sourceID=14","0.202")</f>
        <v>0.202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HYPERLINK("http://141.218.60.56/~jnz1568/getInfo.php?workbook=14_13.xlsx&amp;sheet=U0&amp;row=510&amp;col=6&amp;number=3.6&amp;sourceID=14","3.6")</f>
        <v>3.6</v>
      </c>
      <c r="G510" s="4" t="str">
        <f>HYPERLINK("http://141.218.60.56/~jnz1568/getInfo.php?workbook=14_13.xlsx&amp;sheet=U0&amp;row=510&amp;col=7&amp;number=0.201&amp;sourceID=14","0.201")</f>
        <v>0.201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HYPERLINK("http://141.218.60.56/~jnz1568/getInfo.php?workbook=14_13.xlsx&amp;sheet=U0&amp;row=511&amp;col=6&amp;number=3.7&amp;sourceID=14","3.7")</f>
        <v>3.7</v>
      </c>
      <c r="G511" s="4" t="str">
        <f>HYPERLINK("http://141.218.60.56/~jnz1568/getInfo.php?workbook=14_13.xlsx&amp;sheet=U0&amp;row=511&amp;col=7&amp;number=0.201&amp;sourceID=14","0.201")</f>
        <v>0.201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HYPERLINK("http://141.218.60.56/~jnz1568/getInfo.php?workbook=14_13.xlsx&amp;sheet=U0&amp;row=512&amp;col=6&amp;number=3.8&amp;sourceID=14","3.8")</f>
        <v>3.8</v>
      </c>
      <c r="G512" s="4" t="str">
        <f>HYPERLINK("http://141.218.60.56/~jnz1568/getInfo.php?workbook=14_13.xlsx&amp;sheet=U0&amp;row=512&amp;col=7&amp;number=0.201&amp;sourceID=14","0.201")</f>
        <v>0.201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HYPERLINK("http://141.218.60.56/~jnz1568/getInfo.php?workbook=14_13.xlsx&amp;sheet=U0&amp;row=513&amp;col=6&amp;number=3.9&amp;sourceID=14","3.9")</f>
        <v>3.9</v>
      </c>
      <c r="G513" s="4" t="str">
        <f>HYPERLINK("http://141.218.60.56/~jnz1568/getInfo.php?workbook=14_13.xlsx&amp;sheet=U0&amp;row=513&amp;col=7&amp;number=0.202&amp;sourceID=14","0.202")</f>
        <v>0.202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HYPERLINK("http://141.218.60.56/~jnz1568/getInfo.php?workbook=14_13.xlsx&amp;sheet=U0&amp;row=514&amp;col=6&amp;number=4&amp;sourceID=14","4")</f>
        <v>4</v>
      </c>
      <c r="G514" s="4" t="str">
        <f>HYPERLINK("http://141.218.60.56/~jnz1568/getInfo.php?workbook=14_13.xlsx&amp;sheet=U0&amp;row=514&amp;col=7&amp;number=0.203&amp;sourceID=14","0.203")</f>
        <v>0.203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HYPERLINK("http://141.218.60.56/~jnz1568/getInfo.php?workbook=14_13.xlsx&amp;sheet=U0&amp;row=515&amp;col=6&amp;number=4.1&amp;sourceID=14","4.1")</f>
        <v>4.1</v>
      </c>
      <c r="G515" s="4" t="str">
        <f>HYPERLINK("http://141.218.60.56/~jnz1568/getInfo.php?workbook=14_13.xlsx&amp;sheet=U0&amp;row=515&amp;col=7&amp;number=0.204&amp;sourceID=14","0.204")</f>
        <v>0.204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HYPERLINK("http://141.218.60.56/~jnz1568/getInfo.php?workbook=14_13.xlsx&amp;sheet=U0&amp;row=516&amp;col=6&amp;number=4.2&amp;sourceID=14","4.2")</f>
        <v>4.2</v>
      </c>
      <c r="G516" s="4" t="str">
        <f>HYPERLINK("http://141.218.60.56/~jnz1568/getInfo.php?workbook=14_13.xlsx&amp;sheet=U0&amp;row=516&amp;col=7&amp;number=0.204&amp;sourceID=14","0.204")</f>
        <v>0.204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HYPERLINK("http://141.218.60.56/~jnz1568/getInfo.php?workbook=14_13.xlsx&amp;sheet=U0&amp;row=517&amp;col=6&amp;number=4.3&amp;sourceID=14","4.3")</f>
        <v>4.3</v>
      </c>
      <c r="G517" s="4" t="str">
        <f>HYPERLINK("http://141.218.60.56/~jnz1568/getInfo.php?workbook=14_13.xlsx&amp;sheet=U0&amp;row=517&amp;col=7&amp;number=0.204&amp;sourceID=14","0.204")</f>
        <v>0.204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HYPERLINK("http://141.218.60.56/~jnz1568/getInfo.php?workbook=14_13.xlsx&amp;sheet=U0&amp;row=518&amp;col=6&amp;number=4.4&amp;sourceID=14","4.4")</f>
        <v>4.4</v>
      </c>
      <c r="G518" s="4" t="str">
        <f>HYPERLINK("http://141.218.60.56/~jnz1568/getInfo.php?workbook=14_13.xlsx&amp;sheet=U0&amp;row=518&amp;col=7&amp;number=0.202&amp;sourceID=14","0.202")</f>
        <v>0.202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HYPERLINK("http://141.218.60.56/~jnz1568/getInfo.php?workbook=14_13.xlsx&amp;sheet=U0&amp;row=519&amp;col=6&amp;number=4.5&amp;sourceID=14","4.5")</f>
        <v>4.5</v>
      </c>
      <c r="G519" s="4" t="str">
        <f>HYPERLINK("http://141.218.60.56/~jnz1568/getInfo.php?workbook=14_13.xlsx&amp;sheet=U0&amp;row=519&amp;col=7&amp;number=0.199&amp;sourceID=14","0.199")</f>
        <v>0.199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HYPERLINK("http://141.218.60.56/~jnz1568/getInfo.php?workbook=14_13.xlsx&amp;sheet=U0&amp;row=520&amp;col=6&amp;number=4.6&amp;sourceID=14","4.6")</f>
        <v>4.6</v>
      </c>
      <c r="G520" s="4" t="str">
        <f>HYPERLINK("http://141.218.60.56/~jnz1568/getInfo.php?workbook=14_13.xlsx&amp;sheet=U0&amp;row=520&amp;col=7&amp;number=0.195&amp;sourceID=14","0.195")</f>
        <v>0.195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HYPERLINK("http://141.218.60.56/~jnz1568/getInfo.php?workbook=14_13.xlsx&amp;sheet=U0&amp;row=521&amp;col=6&amp;number=4.7&amp;sourceID=14","4.7")</f>
        <v>4.7</v>
      </c>
      <c r="G521" s="4" t="str">
        <f>HYPERLINK("http://141.218.60.56/~jnz1568/getInfo.php?workbook=14_13.xlsx&amp;sheet=U0&amp;row=521&amp;col=7&amp;number=0.189&amp;sourceID=14","0.189")</f>
        <v>0.189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HYPERLINK("http://141.218.60.56/~jnz1568/getInfo.php?workbook=14_13.xlsx&amp;sheet=U0&amp;row=522&amp;col=6&amp;number=4.8&amp;sourceID=14","4.8")</f>
        <v>4.8</v>
      </c>
      <c r="G522" s="4" t="str">
        <f>HYPERLINK("http://141.218.60.56/~jnz1568/getInfo.php?workbook=14_13.xlsx&amp;sheet=U0&amp;row=522&amp;col=7&amp;number=0.181&amp;sourceID=14","0.181")</f>
        <v>0.181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HYPERLINK("http://141.218.60.56/~jnz1568/getInfo.php?workbook=14_13.xlsx&amp;sheet=U0&amp;row=523&amp;col=6&amp;number=4.9&amp;sourceID=14","4.9")</f>
        <v>4.9</v>
      </c>
      <c r="G523" s="4" t="str">
        <f>HYPERLINK("http://141.218.60.56/~jnz1568/getInfo.php?workbook=14_13.xlsx&amp;sheet=U0&amp;row=523&amp;col=7&amp;number=0.172&amp;sourceID=14","0.172")</f>
        <v>0.172</v>
      </c>
    </row>
    <row r="524" spans="1:7">
      <c r="A524" s="3">
        <v>14</v>
      </c>
      <c r="B524" s="3">
        <v>13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HYPERLINK("http://141.218.60.56/~jnz1568/getInfo.php?workbook=14_13.xlsx&amp;sheet=U0&amp;row=524&amp;col=6&amp;number=3&amp;sourceID=14","3")</f>
        <v>3</v>
      </c>
      <c r="G524" s="4" t="str">
        <f>HYPERLINK("http://141.218.60.56/~jnz1568/getInfo.php?workbook=14_13.xlsx&amp;sheet=U0&amp;row=524&amp;col=7&amp;number=0.0512&amp;sourceID=14","0.0512")</f>
        <v>0.0512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HYPERLINK("http://141.218.60.56/~jnz1568/getInfo.php?workbook=14_13.xlsx&amp;sheet=U0&amp;row=525&amp;col=6&amp;number=3.1&amp;sourceID=14","3.1")</f>
        <v>3.1</v>
      </c>
      <c r="G525" s="4" t="str">
        <f>HYPERLINK("http://141.218.60.56/~jnz1568/getInfo.php?workbook=14_13.xlsx&amp;sheet=U0&amp;row=525&amp;col=7&amp;number=0.0521&amp;sourceID=14","0.0521")</f>
        <v>0.0521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HYPERLINK("http://141.218.60.56/~jnz1568/getInfo.php?workbook=14_13.xlsx&amp;sheet=U0&amp;row=526&amp;col=6&amp;number=3.2&amp;sourceID=14","3.2")</f>
        <v>3.2</v>
      </c>
      <c r="G526" s="4" t="str">
        <f>HYPERLINK("http://141.218.60.56/~jnz1568/getInfo.php?workbook=14_13.xlsx&amp;sheet=U0&amp;row=526&amp;col=7&amp;number=0.0532&amp;sourceID=14","0.0532")</f>
        <v>0.0532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HYPERLINK("http://141.218.60.56/~jnz1568/getInfo.php?workbook=14_13.xlsx&amp;sheet=U0&amp;row=527&amp;col=6&amp;number=3.3&amp;sourceID=14","3.3")</f>
        <v>3.3</v>
      </c>
      <c r="G527" s="4" t="str">
        <f>HYPERLINK("http://141.218.60.56/~jnz1568/getInfo.php?workbook=14_13.xlsx&amp;sheet=U0&amp;row=527&amp;col=7&amp;number=0.0547&amp;sourceID=14","0.0547")</f>
        <v>0.0547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HYPERLINK("http://141.218.60.56/~jnz1568/getInfo.php?workbook=14_13.xlsx&amp;sheet=U0&amp;row=528&amp;col=6&amp;number=3.4&amp;sourceID=14","3.4")</f>
        <v>3.4</v>
      </c>
      <c r="G528" s="4" t="str">
        <f>HYPERLINK("http://141.218.60.56/~jnz1568/getInfo.php?workbook=14_13.xlsx&amp;sheet=U0&amp;row=528&amp;col=7&amp;number=0.0565&amp;sourceID=14","0.0565")</f>
        <v>0.0565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HYPERLINK("http://141.218.60.56/~jnz1568/getInfo.php?workbook=14_13.xlsx&amp;sheet=U0&amp;row=529&amp;col=6&amp;number=3.5&amp;sourceID=14","3.5")</f>
        <v>3.5</v>
      </c>
      <c r="G529" s="4" t="str">
        <f>HYPERLINK("http://141.218.60.56/~jnz1568/getInfo.php?workbook=14_13.xlsx&amp;sheet=U0&amp;row=529&amp;col=7&amp;number=0.0588&amp;sourceID=14","0.0588")</f>
        <v>0.0588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HYPERLINK("http://141.218.60.56/~jnz1568/getInfo.php?workbook=14_13.xlsx&amp;sheet=U0&amp;row=530&amp;col=6&amp;number=3.6&amp;sourceID=14","3.6")</f>
        <v>3.6</v>
      </c>
      <c r="G530" s="4" t="str">
        <f>HYPERLINK("http://141.218.60.56/~jnz1568/getInfo.php?workbook=14_13.xlsx&amp;sheet=U0&amp;row=530&amp;col=7&amp;number=0.0616&amp;sourceID=14","0.0616")</f>
        <v>0.0616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HYPERLINK("http://141.218.60.56/~jnz1568/getInfo.php?workbook=14_13.xlsx&amp;sheet=U0&amp;row=531&amp;col=6&amp;number=3.7&amp;sourceID=14","3.7")</f>
        <v>3.7</v>
      </c>
      <c r="G531" s="4" t="str">
        <f>HYPERLINK("http://141.218.60.56/~jnz1568/getInfo.php?workbook=14_13.xlsx&amp;sheet=U0&amp;row=531&amp;col=7&amp;number=0.0653&amp;sourceID=14","0.0653")</f>
        <v>0.0653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HYPERLINK("http://141.218.60.56/~jnz1568/getInfo.php?workbook=14_13.xlsx&amp;sheet=U0&amp;row=532&amp;col=6&amp;number=3.8&amp;sourceID=14","3.8")</f>
        <v>3.8</v>
      </c>
      <c r="G532" s="4" t="str">
        <f>HYPERLINK("http://141.218.60.56/~jnz1568/getInfo.php?workbook=14_13.xlsx&amp;sheet=U0&amp;row=532&amp;col=7&amp;number=0.0699&amp;sourceID=14","0.0699")</f>
        <v>0.0699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HYPERLINK("http://141.218.60.56/~jnz1568/getInfo.php?workbook=14_13.xlsx&amp;sheet=U0&amp;row=533&amp;col=6&amp;number=3.9&amp;sourceID=14","3.9")</f>
        <v>3.9</v>
      </c>
      <c r="G533" s="4" t="str">
        <f>HYPERLINK("http://141.218.60.56/~jnz1568/getInfo.php?workbook=14_13.xlsx&amp;sheet=U0&amp;row=533&amp;col=7&amp;number=0.0756&amp;sourceID=14","0.0756")</f>
        <v>0.0756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HYPERLINK("http://141.218.60.56/~jnz1568/getInfo.php?workbook=14_13.xlsx&amp;sheet=U0&amp;row=534&amp;col=6&amp;number=4&amp;sourceID=14","4")</f>
        <v>4</v>
      </c>
      <c r="G534" s="4" t="str">
        <f>HYPERLINK("http://141.218.60.56/~jnz1568/getInfo.php?workbook=14_13.xlsx&amp;sheet=U0&amp;row=534&amp;col=7&amp;number=0.0824&amp;sourceID=14","0.0824")</f>
        <v>0.0824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HYPERLINK("http://141.218.60.56/~jnz1568/getInfo.php?workbook=14_13.xlsx&amp;sheet=U0&amp;row=535&amp;col=6&amp;number=4.1&amp;sourceID=14","4.1")</f>
        <v>4.1</v>
      </c>
      <c r="G535" s="4" t="str">
        <f>HYPERLINK("http://141.218.60.56/~jnz1568/getInfo.php?workbook=14_13.xlsx&amp;sheet=U0&amp;row=535&amp;col=7&amp;number=0.09&amp;sourceID=14","0.09")</f>
        <v>0.09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HYPERLINK("http://141.218.60.56/~jnz1568/getInfo.php?workbook=14_13.xlsx&amp;sheet=U0&amp;row=536&amp;col=6&amp;number=4.2&amp;sourceID=14","4.2")</f>
        <v>4.2</v>
      </c>
      <c r="G536" s="4" t="str">
        <f>HYPERLINK("http://141.218.60.56/~jnz1568/getInfo.php?workbook=14_13.xlsx&amp;sheet=U0&amp;row=536&amp;col=7&amp;number=0.0983&amp;sourceID=14","0.0983")</f>
        <v>0.0983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HYPERLINK("http://141.218.60.56/~jnz1568/getInfo.php?workbook=14_13.xlsx&amp;sheet=U0&amp;row=537&amp;col=6&amp;number=4.3&amp;sourceID=14","4.3")</f>
        <v>4.3</v>
      </c>
      <c r="G537" s="4" t="str">
        <f>HYPERLINK("http://141.218.60.56/~jnz1568/getInfo.php?workbook=14_13.xlsx&amp;sheet=U0&amp;row=537&amp;col=7&amp;number=0.107&amp;sourceID=14","0.107")</f>
        <v>0.107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HYPERLINK("http://141.218.60.56/~jnz1568/getInfo.php?workbook=14_13.xlsx&amp;sheet=U0&amp;row=538&amp;col=6&amp;number=4.4&amp;sourceID=14","4.4")</f>
        <v>4.4</v>
      </c>
      <c r="G538" s="4" t="str">
        <f>HYPERLINK("http://141.218.60.56/~jnz1568/getInfo.php?workbook=14_13.xlsx&amp;sheet=U0&amp;row=538&amp;col=7&amp;number=0.115&amp;sourceID=14","0.115")</f>
        <v>0.115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HYPERLINK("http://141.218.60.56/~jnz1568/getInfo.php?workbook=14_13.xlsx&amp;sheet=U0&amp;row=539&amp;col=6&amp;number=4.5&amp;sourceID=14","4.5")</f>
        <v>4.5</v>
      </c>
      <c r="G539" s="4" t="str">
        <f>HYPERLINK("http://141.218.60.56/~jnz1568/getInfo.php?workbook=14_13.xlsx&amp;sheet=U0&amp;row=539&amp;col=7&amp;number=0.123&amp;sourceID=14","0.123")</f>
        <v>0.123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HYPERLINK("http://141.218.60.56/~jnz1568/getInfo.php?workbook=14_13.xlsx&amp;sheet=U0&amp;row=540&amp;col=6&amp;number=4.6&amp;sourceID=14","4.6")</f>
        <v>4.6</v>
      </c>
      <c r="G540" s="4" t="str">
        <f>HYPERLINK("http://141.218.60.56/~jnz1568/getInfo.php?workbook=14_13.xlsx&amp;sheet=U0&amp;row=540&amp;col=7&amp;number=0.129&amp;sourceID=14","0.129")</f>
        <v>0.129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HYPERLINK("http://141.218.60.56/~jnz1568/getInfo.php?workbook=14_13.xlsx&amp;sheet=U0&amp;row=541&amp;col=6&amp;number=4.7&amp;sourceID=14","4.7")</f>
        <v>4.7</v>
      </c>
      <c r="G541" s="4" t="str">
        <f>HYPERLINK("http://141.218.60.56/~jnz1568/getInfo.php?workbook=14_13.xlsx&amp;sheet=U0&amp;row=541&amp;col=7&amp;number=0.133&amp;sourceID=14","0.133")</f>
        <v>0.133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HYPERLINK("http://141.218.60.56/~jnz1568/getInfo.php?workbook=14_13.xlsx&amp;sheet=U0&amp;row=542&amp;col=6&amp;number=4.8&amp;sourceID=14","4.8")</f>
        <v>4.8</v>
      </c>
      <c r="G542" s="4" t="str">
        <f>HYPERLINK("http://141.218.60.56/~jnz1568/getInfo.php?workbook=14_13.xlsx&amp;sheet=U0&amp;row=542&amp;col=7&amp;number=0.134&amp;sourceID=14","0.134")</f>
        <v>0.134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HYPERLINK("http://141.218.60.56/~jnz1568/getInfo.php?workbook=14_13.xlsx&amp;sheet=U0&amp;row=543&amp;col=6&amp;number=4.9&amp;sourceID=14","4.9")</f>
        <v>4.9</v>
      </c>
      <c r="G543" s="4" t="str">
        <f>HYPERLINK("http://141.218.60.56/~jnz1568/getInfo.php?workbook=14_13.xlsx&amp;sheet=U0&amp;row=543&amp;col=7&amp;number=0.132&amp;sourceID=14","0.132")</f>
        <v>0.132</v>
      </c>
    </row>
    <row r="544" spans="1:7">
      <c r="A544" s="3">
        <v>14</v>
      </c>
      <c r="B544" s="3">
        <v>13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HYPERLINK("http://141.218.60.56/~jnz1568/getInfo.php?workbook=14_13.xlsx&amp;sheet=U0&amp;row=544&amp;col=6&amp;number=3&amp;sourceID=14","3")</f>
        <v>3</v>
      </c>
      <c r="G544" s="4" t="str">
        <f>HYPERLINK("http://141.218.60.56/~jnz1568/getInfo.php?workbook=14_13.xlsx&amp;sheet=U0&amp;row=544&amp;col=7&amp;number=0.0694&amp;sourceID=14","0.0694")</f>
        <v>0.0694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HYPERLINK("http://141.218.60.56/~jnz1568/getInfo.php?workbook=14_13.xlsx&amp;sheet=U0&amp;row=545&amp;col=6&amp;number=3.1&amp;sourceID=14","3.1")</f>
        <v>3.1</v>
      </c>
      <c r="G545" s="4" t="str">
        <f>HYPERLINK("http://141.218.60.56/~jnz1568/getInfo.php?workbook=14_13.xlsx&amp;sheet=U0&amp;row=545&amp;col=7&amp;number=0.0701&amp;sourceID=14","0.0701")</f>
        <v>0.0701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HYPERLINK("http://141.218.60.56/~jnz1568/getInfo.php?workbook=14_13.xlsx&amp;sheet=U0&amp;row=546&amp;col=6&amp;number=3.2&amp;sourceID=14","3.2")</f>
        <v>3.2</v>
      </c>
      <c r="G546" s="4" t="str">
        <f>HYPERLINK("http://141.218.60.56/~jnz1568/getInfo.php?workbook=14_13.xlsx&amp;sheet=U0&amp;row=546&amp;col=7&amp;number=0.0709&amp;sourceID=14","0.0709")</f>
        <v>0.0709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HYPERLINK("http://141.218.60.56/~jnz1568/getInfo.php?workbook=14_13.xlsx&amp;sheet=U0&amp;row=547&amp;col=6&amp;number=3.3&amp;sourceID=14","3.3")</f>
        <v>3.3</v>
      </c>
      <c r="G547" s="4" t="str">
        <f>HYPERLINK("http://141.218.60.56/~jnz1568/getInfo.php?workbook=14_13.xlsx&amp;sheet=U0&amp;row=547&amp;col=7&amp;number=0.072&amp;sourceID=14","0.072")</f>
        <v>0.072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HYPERLINK("http://141.218.60.56/~jnz1568/getInfo.php?workbook=14_13.xlsx&amp;sheet=U0&amp;row=548&amp;col=6&amp;number=3.4&amp;sourceID=14","3.4")</f>
        <v>3.4</v>
      </c>
      <c r="G548" s="4" t="str">
        <f>HYPERLINK("http://141.218.60.56/~jnz1568/getInfo.php?workbook=14_13.xlsx&amp;sheet=U0&amp;row=548&amp;col=7&amp;number=0.0733&amp;sourceID=14","0.0733")</f>
        <v>0.0733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HYPERLINK("http://141.218.60.56/~jnz1568/getInfo.php?workbook=14_13.xlsx&amp;sheet=U0&amp;row=549&amp;col=6&amp;number=3.5&amp;sourceID=14","3.5")</f>
        <v>3.5</v>
      </c>
      <c r="G549" s="4" t="str">
        <f>HYPERLINK("http://141.218.60.56/~jnz1568/getInfo.php?workbook=14_13.xlsx&amp;sheet=U0&amp;row=549&amp;col=7&amp;number=0.075&amp;sourceID=14","0.075")</f>
        <v>0.075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HYPERLINK("http://141.218.60.56/~jnz1568/getInfo.php?workbook=14_13.xlsx&amp;sheet=U0&amp;row=550&amp;col=6&amp;number=3.6&amp;sourceID=14","3.6")</f>
        <v>3.6</v>
      </c>
      <c r="G550" s="4" t="str">
        <f>HYPERLINK("http://141.218.60.56/~jnz1568/getInfo.php?workbook=14_13.xlsx&amp;sheet=U0&amp;row=550&amp;col=7&amp;number=0.077&amp;sourceID=14","0.077")</f>
        <v>0.077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HYPERLINK("http://141.218.60.56/~jnz1568/getInfo.php?workbook=14_13.xlsx&amp;sheet=U0&amp;row=551&amp;col=6&amp;number=3.7&amp;sourceID=14","3.7")</f>
        <v>3.7</v>
      </c>
      <c r="G551" s="4" t="str">
        <f>HYPERLINK("http://141.218.60.56/~jnz1568/getInfo.php?workbook=14_13.xlsx&amp;sheet=U0&amp;row=551&amp;col=7&amp;number=0.0795&amp;sourceID=14","0.0795")</f>
        <v>0.0795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HYPERLINK("http://141.218.60.56/~jnz1568/getInfo.php?workbook=14_13.xlsx&amp;sheet=U0&amp;row=552&amp;col=6&amp;number=3.8&amp;sourceID=14","3.8")</f>
        <v>3.8</v>
      </c>
      <c r="G552" s="4" t="str">
        <f>HYPERLINK("http://141.218.60.56/~jnz1568/getInfo.php?workbook=14_13.xlsx&amp;sheet=U0&amp;row=552&amp;col=7&amp;number=0.0825&amp;sourceID=14","0.0825")</f>
        <v>0.0825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HYPERLINK("http://141.218.60.56/~jnz1568/getInfo.php?workbook=14_13.xlsx&amp;sheet=U0&amp;row=553&amp;col=6&amp;number=3.9&amp;sourceID=14","3.9")</f>
        <v>3.9</v>
      </c>
      <c r="G553" s="4" t="str">
        <f>HYPERLINK("http://141.218.60.56/~jnz1568/getInfo.php?workbook=14_13.xlsx&amp;sheet=U0&amp;row=553&amp;col=7&amp;number=0.0862&amp;sourceID=14","0.0862")</f>
        <v>0.0862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HYPERLINK("http://141.218.60.56/~jnz1568/getInfo.php?workbook=14_13.xlsx&amp;sheet=U0&amp;row=554&amp;col=6&amp;number=4&amp;sourceID=14","4")</f>
        <v>4</v>
      </c>
      <c r="G554" s="4" t="str">
        <f>HYPERLINK("http://141.218.60.56/~jnz1568/getInfo.php?workbook=14_13.xlsx&amp;sheet=U0&amp;row=554&amp;col=7&amp;number=0.0906&amp;sourceID=14","0.0906")</f>
        <v>0.0906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HYPERLINK("http://141.218.60.56/~jnz1568/getInfo.php?workbook=14_13.xlsx&amp;sheet=U0&amp;row=555&amp;col=6&amp;number=4.1&amp;sourceID=14","4.1")</f>
        <v>4.1</v>
      </c>
      <c r="G555" s="4" t="str">
        <f>HYPERLINK("http://141.218.60.56/~jnz1568/getInfo.php?workbook=14_13.xlsx&amp;sheet=U0&amp;row=555&amp;col=7&amp;number=0.0958&amp;sourceID=14","0.0958")</f>
        <v>0.0958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HYPERLINK("http://141.218.60.56/~jnz1568/getInfo.php?workbook=14_13.xlsx&amp;sheet=U0&amp;row=556&amp;col=6&amp;number=4.2&amp;sourceID=14","4.2")</f>
        <v>4.2</v>
      </c>
      <c r="G556" s="4" t="str">
        <f>HYPERLINK("http://141.218.60.56/~jnz1568/getInfo.php?workbook=14_13.xlsx&amp;sheet=U0&amp;row=556&amp;col=7&amp;number=0.102&amp;sourceID=14","0.102")</f>
        <v>0.102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HYPERLINK("http://141.218.60.56/~jnz1568/getInfo.php?workbook=14_13.xlsx&amp;sheet=U0&amp;row=557&amp;col=6&amp;number=4.3&amp;sourceID=14","4.3")</f>
        <v>4.3</v>
      </c>
      <c r="G557" s="4" t="str">
        <f>HYPERLINK("http://141.218.60.56/~jnz1568/getInfo.php?workbook=14_13.xlsx&amp;sheet=U0&amp;row=557&amp;col=7&amp;number=0.108&amp;sourceID=14","0.108")</f>
        <v>0.108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HYPERLINK("http://141.218.60.56/~jnz1568/getInfo.php?workbook=14_13.xlsx&amp;sheet=U0&amp;row=558&amp;col=6&amp;number=4.4&amp;sourceID=14","4.4")</f>
        <v>4.4</v>
      </c>
      <c r="G558" s="4" t="str">
        <f>HYPERLINK("http://141.218.60.56/~jnz1568/getInfo.php?workbook=14_13.xlsx&amp;sheet=U0&amp;row=558&amp;col=7&amp;number=0.115&amp;sourceID=14","0.115")</f>
        <v>0.115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HYPERLINK("http://141.218.60.56/~jnz1568/getInfo.php?workbook=14_13.xlsx&amp;sheet=U0&amp;row=559&amp;col=6&amp;number=4.5&amp;sourceID=14","4.5")</f>
        <v>4.5</v>
      </c>
      <c r="G559" s="4" t="str">
        <f>HYPERLINK("http://141.218.60.56/~jnz1568/getInfo.php?workbook=14_13.xlsx&amp;sheet=U0&amp;row=559&amp;col=7&amp;number=0.122&amp;sourceID=14","0.122")</f>
        <v>0.122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HYPERLINK("http://141.218.60.56/~jnz1568/getInfo.php?workbook=14_13.xlsx&amp;sheet=U0&amp;row=560&amp;col=6&amp;number=4.6&amp;sourceID=14","4.6")</f>
        <v>4.6</v>
      </c>
      <c r="G560" s="4" t="str">
        <f>HYPERLINK("http://141.218.60.56/~jnz1568/getInfo.php?workbook=14_13.xlsx&amp;sheet=U0&amp;row=560&amp;col=7&amp;number=0.127&amp;sourceID=14","0.127")</f>
        <v>0.127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HYPERLINK("http://141.218.60.56/~jnz1568/getInfo.php?workbook=14_13.xlsx&amp;sheet=U0&amp;row=561&amp;col=6&amp;number=4.7&amp;sourceID=14","4.7")</f>
        <v>4.7</v>
      </c>
      <c r="G561" s="4" t="str">
        <f>HYPERLINK("http://141.218.60.56/~jnz1568/getInfo.php?workbook=14_13.xlsx&amp;sheet=U0&amp;row=561&amp;col=7&amp;number=0.131&amp;sourceID=14","0.131")</f>
        <v>0.131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HYPERLINK("http://141.218.60.56/~jnz1568/getInfo.php?workbook=14_13.xlsx&amp;sheet=U0&amp;row=562&amp;col=6&amp;number=4.8&amp;sourceID=14","4.8")</f>
        <v>4.8</v>
      </c>
      <c r="G562" s="4" t="str">
        <f>HYPERLINK("http://141.218.60.56/~jnz1568/getInfo.php?workbook=14_13.xlsx&amp;sheet=U0&amp;row=562&amp;col=7&amp;number=0.133&amp;sourceID=14","0.133")</f>
        <v>0.133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HYPERLINK("http://141.218.60.56/~jnz1568/getInfo.php?workbook=14_13.xlsx&amp;sheet=U0&amp;row=563&amp;col=6&amp;number=4.9&amp;sourceID=14","4.9")</f>
        <v>4.9</v>
      </c>
      <c r="G563" s="4" t="str">
        <f>HYPERLINK("http://141.218.60.56/~jnz1568/getInfo.php?workbook=14_13.xlsx&amp;sheet=U0&amp;row=563&amp;col=7&amp;number=0.132&amp;sourceID=14","0.132")</f>
        <v>0.132</v>
      </c>
    </row>
    <row r="564" spans="1:7">
      <c r="A564" s="3">
        <v>14</v>
      </c>
      <c r="B564" s="3">
        <v>13</v>
      </c>
      <c r="C564" s="3">
        <v>2</v>
      </c>
      <c r="D564" s="3">
        <v>3</v>
      </c>
      <c r="E564" s="3">
        <v>1</v>
      </c>
      <c r="F564" s="4" t="str">
        <f>HYPERLINK("http://141.218.60.56/~jnz1568/getInfo.php?workbook=14_13.xlsx&amp;sheet=U0&amp;row=564&amp;col=6&amp;number=3&amp;sourceID=14","3")</f>
        <v>3</v>
      </c>
      <c r="G564" s="4" t="str">
        <f>HYPERLINK("http://141.218.60.56/~jnz1568/getInfo.php?workbook=14_13.xlsx&amp;sheet=U0&amp;row=564&amp;col=7&amp;number=0.521&amp;sourceID=14","0.521")</f>
        <v>0.521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HYPERLINK("http://141.218.60.56/~jnz1568/getInfo.php?workbook=14_13.xlsx&amp;sheet=U0&amp;row=565&amp;col=6&amp;number=3.1&amp;sourceID=14","3.1")</f>
        <v>3.1</v>
      </c>
      <c r="G565" s="4" t="str">
        <f>HYPERLINK("http://141.218.60.56/~jnz1568/getInfo.php?workbook=14_13.xlsx&amp;sheet=U0&amp;row=565&amp;col=7&amp;number=0.516&amp;sourceID=14","0.516")</f>
        <v>0.516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HYPERLINK("http://141.218.60.56/~jnz1568/getInfo.php?workbook=14_13.xlsx&amp;sheet=U0&amp;row=566&amp;col=6&amp;number=3.2&amp;sourceID=14","3.2")</f>
        <v>3.2</v>
      </c>
      <c r="G566" s="4" t="str">
        <f>HYPERLINK("http://141.218.60.56/~jnz1568/getInfo.php?workbook=14_13.xlsx&amp;sheet=U0&amp;row=566&amp;col=7&amp;number=0.51&amp;sourceID=14","0.51")</f>
        <v>0.51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HYPERLINK("http://141.218.60.56/~jnz1568/getInfo.php?workbook=14_13.xlsx&amp;sheet=U0&amp;row=567&amp;col=6&amp;number=3.3&amp;sourceID=14","3.3")</f>
        <v>3.3</v>
      </c>
      <c r="G567" s="4" t="str">
        <f>HYPERLINK("http://141.218.60.56/~jnz1568/getInfo.php?workbook=14_13.xlsx&amp;sheet=U0&amp;row=567&amp;col=7&amp;number=0.503&amp;sourceID=14","0.503")</f>
        <v>0.503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HYPERLINK("http://141.218.60.56/~jnz1568/getInfo.php?workbook=14_13.xlsx&amp;sheet=U0&amp;row=568&amp;col=6&amp;number=3.4&amp;sourceID=14","3.4")</f>
        <v>3.4</v>
      </c>
      <c r="G568" s="4" t="str">
        <f>HYPERLINK("http://141.218.60.56/~jnz1568/getInfo.php?workbook=14_13.xlsx&amp;sheet=U0&amp;row=568&amp;col=7&amp;number=0.495&amp;sourceID=14","0.495")</f>
        <v>0.495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HYPERLINK("http://141.218.60.56/~jnz1568/getInfo.php?workbook=14_13.xlsx&amp;sheet=U0&amp;row=569&amp;col=6&amp;number=3.5&amp;sourceID=14","3.5")</f>
        <v>3.5</v>
      </c>
      <c r="G569" s="4" t="str">
        <f>HYPERLINK("http://141.218.60.56/~jnz1568/getInfo.php?workbook=14_13.xlsx&amp;sheet=U0&amp;row=569&amp;col=7&amp;number=0.486&amp;sourceID=14","0.486")</f>
        <v>0.486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HYPERLINK("http://141.218.60.56/~jnz1568/getInfo.php?workbook=14_13.xlsx&amp;sheet=U0&amp;row=570&amp;col=6&amp;number=3.6&amp;sourceID=14","3.6")</f>
        <v>3.6</v>
      </c>
      <c r="G570" s="4" t="str">
        <f>HYPERLINK("http://141.218.60.56/~jnz1568/getInfo.php?workbook=14_13.xlsx&amp;sheet=U0&amp;row=570&amp;col=7&amp;number=0.477&amp;sourceID=14","0.477")</f>
        <v>0.477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HYPERLINK("http://141.218.60.56/~jnz1568/getInfo.php?workbook=14_13.xlsx&amp;sheet=U0&amp;row=571&amp;col=6&amp;number=3.7&amp;sourceID=14","3.7")</f>
        <v>3.7</v>
      </c>
      <c r="G571" s="4" t="str">
        <f>HYPERLINK("http://141.218.60.56/~jnz1568/getInfo.php?workbook=14_13.xlsx&amp;sheet=U0&amp;row=571&amp;col=7&amp;number=0.469&amp;sourceID=14","0.469")</f>
        <v>0.469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HYPERLINK("http://141.218.60.56/~jnz1568/getInfo.php?workbook=14_13.xlsx&amp;sheet=U0&amp;row=572&amp;col=6&amp;number=3.8&amp;sourceID=14","3.8")</f>
        <v>3.8</v>
      </c>
      <c r="G572" s="4" t="str">
        <f>HYPERLINK("http://141.218.60.56/~jnz1568/getInfo.php?workbook=14_13.xlsx&amp;sheet=U0&amp;row=572&amp;col=7&amp;number=0.462&amp;sourceID=14","0.462")</f>
        <v>0.462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HYPERLINK("http://141.218.60.56/~jnz1568/getInfo.php?workbook=14_13.xlsx&amp;sheet=U0&amp;row=573&amp;col=6&amp;number=3.9&amp;sourceID=14","3.9")</f>
        <v>3.9</v>
      </c>
      <c r="G573" s="4" t="str">
        <f>HYPERLINK("http://141.218.60.56/~jnz1568/getInfo.php?workbook=14_13.xlsx&amp;sheet=U0&amp;row=573&amp;col=7&amp;number=0.455&amp;sourceID=14","0.455")</f>
        <v>0.455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HYPERLINK("http://141.218.60.56/~jnz1568/getInfo.php?workbook=14_13.xlsx&amp;sheet=U0&amp;row=574&amp;col=6&amp;number=4&amp;sourceID=14","4")</f>
        <v>4</v>
      </c>
      <c r="G574" s="4" t="str">
        <f>HYPERLINK("http://141.218.60.56/~jnz1568/getInfo.php?workbook=14_13.xlsx&amp;sheet=U0&amp;row=574&amp;col=7&amp;number=0.449&amp;sourceID=14","0.449")</f>
        <v>0.449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HYPERLINK("http://141.218.60.56/~jnz1568/getInfo.php?workbook=14_13.xlsx&amp;sheet=U0&amp;row=575&amp;col=6&amp;number=4.1&amp;sourceID=14","4.1")</f>
        <v>4.1</v>
      </c>
      <c r="G575" s="4" t="str">
        <f>HYPERLINK("http://141.218.60.56/~jnz1568/getInfo.php?workbook=14_13.xlsx&amp;sheet=U0&amp;row=575&amp;col=7&amp;number=0.444&amp;sourceID=14","0.444")</f>
        <v>0.444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HYPERLINK("http://141.218.60.56/~jnz1568/getInfo.php?workbook=14_13.xlsx&amp;sheet=U0&amp;row=576&amp;col=6&amp;number=4.2&amp;sourceID=14","4.2")</f>
        <v>4.2</v>
      </c>
      <c r="G576" s="4" t="str">
        <f>HYPERLINK("http://141.218.60.56/~jnz1568/getInfo.php?workbook=14_13.xlsx&amp;sheet=U0&amp;row=576&amp;col=7&amp;number=0.44&amp;sourceID=14","0.44")</f>
        <v>0.44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HYPERLINK("http://141.218.60.56/~jnz1568/getInfo.php?workbook=14_13.xlsx&amp;sheet=U0&amp;row=577&amp;col=6&amp;number=4.3&amp;sourceID=14","4.3")</f>
        <v>4.3</v>
      </c>
      <c r="G577" s="4" t="str">
        <f>HYPERLINK("http://141.218.60.56/~jnz1568/getInfo.php?workbook=14_13.xlsx&amp;sheet=U0&amp;row=577&amp;col=7&amp;number=0.436&amp;sourceID=14","0.436")</f>
        <v>0.436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HYPERLINK("http://141.218.60.56/~jnz1568/getInfo.php?workbook=14_13.xlsx&amp;sheet=U0&amp;row=578&amp;col=6&amp;number=4.4&amp;sourceID=14","4.4")</f>
        <v>4.4</v>
      </c>
      <c r="G578" s="4" t="str">
        <f>HYPERLINK("http://141.218.60.56/~jnz1568/getInfo.php?workbook=14_13.xlsx&amp;sheet=U0&amp;row=578&amp;col=7&amp;number=0.43&amp;sourceID=14","0.43")</f>
        <v>0.43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HYPERLINK("http://141.218.60.56/~jnz1568/getInfo.php?workbook=14_13.xlsx&amp;sheet=U0&amp;row=579&amp;col=6&amp;number=4.5&amp;sourceID=14","4.5")</f>
        <v>4.5</v>
      </c>
      <c r="G579" s="4" t="str">
        <f>HYPERLINK("http://141.218.60.56/~jnz1568/getInfo.php?workbook=14_13.xlsx&amp;sheet=U0&amp;row=579&amp;col=7&amp;number=0.423&amp;sourceID=14","0.423")</f>
        <v>0.423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HYPERLINK("http://141.218.60.56/~jnz1568/getInfo.php?workbook=14_13.xlsx&amp;sheet=U0&amp;row=580&amp;col=6&amp;number=4.6&amp;sourceID=14","4.6")</f>
        <v>4.6</v>
      </c>
      <c r="G580" s="4" t="str">
        <f>HYPERLINK("http://141.218.60.56/~jnz1568/getInfo.php?workbook=14_13.xlsx&amp;sheet=U0&amp;row=580&amp;col=7&amp;number=0.412&amp;sourceID=14","0.412")</f>
        <v>0.412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HYPERLINK("http://141.218.60.56/~jnz1568/getInfo.php?workbook=14_13.xlsx&amp;sheet=U0&amp;row=581&amp;col=6&amp;number=4.7&amp;sourceID=14","4.7")</f>
        <v>4.7</v>
      </c>
      <c r="G581" s="4" t="str">
        <f>HYPERLINK("http://141.218.60.56/~jnz1568/getInfo.php?workbook=14_13.xlsx&amp;sheet=U0&amp;row=581&amp;col=7&amp;number=0.397&amp;sourceID=14","0.397")</f>
        <v>0.397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HYPERLINK("http://141.218.60.56/~jnz1568/getInfo.php?workbook=14_13.xlsx&amp;sheet=U0&amp;row=582&amp;col=6&amp;number=4.8&amp;sourceID=14","4.8")</f>
        <v>4.8</v>
      </c>
      <c r="G582" s="4" t="str">
        <f>HYPERLINK("http://141.218.60.56/~jnz1568/getInfo.php?workbook=14_13.xlsx&amp;sheet=U0&amp;row=582&amp;col=7&amp;number=0.378&amp;sourceID=14","0.378")</f>
        <v>0.378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HYPERLINK("http://141.218.60.56/~jnz1568/getInfo.php?workbook=14_13.xlsx&amp;sheet=U0&amp;row=583&amp;col=6&amp;number=4.9&amp;sourceID=14","4.9")</f>
        <v>4.9</v>
      </c>
      <c r="G583" s="4" t="str">
        <f>HYPERLINK("http://141.218.60.56/~jnz1568/getInfo.php?workbook=14_13.xlsx&amp;sheet=U0&amp;row=583&amp;col=7&amp;number=0.357&amp;sourceID=14","0.357")</f>
        <v>0.357</v>
      </c>
    </row>
    <row r="584" spans="1:7">
      <c r="A584" s="3">
        <v>14</v>
      </c>
      <c r="B584" s="3">
        <v>13</v>
      </c>
      <c r="C584" s="3">
        <v>2</v>
      </c>
      <c r="D584" s="3">
        <v>4</v>
      </c>
      <c r="E584" s="3">
        <v>1</v>
      </c>
      <c r="F584" s="4" t="str">
        <f>HYPERLINK("http://141.218.60.56/~jnz1568/getInfo.php?workbook=14_13.xlsx&amp;sheet=U0&amp;row=584&amp;col=6&amp;number=3&amp;sourceID=14","3")</f>
        <v>3</v>
      </c>
      <c r="G584" s="4" t="str">
        <f>HYPERLINK("http://141.218.60.56/~jnz1568/getInfo.php?workbook=14_13.xlsx&amp;sheet=U0&amp;row=584&amp;col=7&amp;number=1.22&amp;sourceID=14","1.22")</f>
        <v>1.22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HYPERLINK("http://141.218.60.56/~jnz1568/getInfo.php?workbook=14_13.xlsx&amp;sheet=U0&amp;row=585&amp;col=6&amp;number=3.1&amp;sourceID=14","3.1")</f>
        <v>3.1</v>
      </c>
      <c r="G585" s="4" t="str">
        <f>HYPERLINK("http://141.218.60.56/~jnz1568/getInfo.php?workbook=14_13.xlsx&amp;sheet=U0&amp;row=585&amp;col=7&amp;number=1.21&amp;sourceID=14","1.21")</f>
        <v>1.21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HYPERLINK("http://141.218.60.56/~jnz1568/getInfo.php?workbook=14_13.xlsx&amp;sheet=U0&amp;row=586&amp;col=6&amp;number=3.2&amp;sourceID=14","3.2")</f>
        <v>3.2</v>
      </c>
      <c r="G586" s="4" t="str">
        <f>HYPERLINK("http://141.218.60.56/~jnz1568/getInfo.php?workbook=14_13.xlsx&amp;sheet=U0&amp;row=586&amp;col=7&amp;number=1.21&amp;sourceID=14","1.21")</f>
        <v>1.21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HYPERLINK("http://141.218.60.56/~jnz1568/getInfo.php?workbook=14_13.xlsx&amp;sheet=U0&amp;row=587&amp;col=6&amp;number=3.3&amp;sourceID=14","3.3")</f>
        <v>3.3</v>
      </c>
      <c r="G587" s="4" t="str">
        <f>HYPERLINK("http://141.218.60.56/~jnz1568/getInfo.php?workbook=14_13.xlsx&amp;sheet=U0&amp;row=587&amp;col=7&amp;number=1.21&amp;sourceID=14","1.21")</f>
        <v>1.21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HYPERLINK("http://141.218.60.56/~jnz1568/getInfo.php?workbook=14_13.xlsx&amp;sheet=U0&amp;row=588&amp;col=6&amp;number=3.4&amp;sourceID=14","3.4")</f>
        <v>3.4</v>
      </c>
      <c r="G588" s="4" t="str">
        <f>HYPERLINK("http://141.218.60.56/~jnz1568/getInfo.php?workbook=14_13.xlsx&amp;sheet=U0&amp;row=588&amp;col=7&amp;number=1.2&amp;sourceID=14","1.2")</f>
        <v>1.2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HYPERLINK("http://141.218.60.56/~jnz1568/getInfo.php?workbook=14_13.xlsx&amp;sheet=U0&amp;row=589&amp;col=6&amp;number=3.5&amp;sourceID=14","3.5")</f>
        <v>3.5</v>
      </c>
      <c r="G589" s="4" t="str">
        <f>HYPERLINK("http://141.218.60.56/~jnz1568/getInfo.php?workbook=14_13.xlsx&amp;sheet=U0&amp;row=589&amp;col=7&amp;number=1.2&amp;sourceID=14","1.2")</f>
        <v>1.2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HYPERLINK("http://141.218.60.56/~jnz1568/getInfo.php?workbook=14_13.xlsx&amp;sheet=U0&amp;row=590&amp;col=6&amp;number=3.6&amp;sourceID=14","3.6")</f>
        <v>3.6</v>
      </c>
      <c r="G590" s="4" t="str">
        <f>HYPERLINK("http://141.218.60.56/~jnz1568/getInfo.php?workbook=14_13.xlsx&amp;sheet=U0&amp;row=590&amp;col=7&amp;number=1.19&amp;sourceID=14","1.19")</f>
        <v>1.19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HYPERLINK("http://141.218.60.56/~jnz1568/getInfo.php?workbook=14_13.xlsx&amp;sheet=U0&amp;row=591&amp;col=6&amp;number=3.7&amp;sourceID=14","3.7")</f>
        <v>3.7</v>
      </c>
      <c r="G591" s="4" t="str">
        <f>HYPERLINK("http://141.218.60.56/~jnz1568/getInfo.php?workbook=14_13.xlsx&amp;sheet=U0&amp;row=591&amp;col=7&amp;number=1.18&amp;sourceID=14","1.18")</f>
        <v>1.18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HYPERLINK("http://141.218.60.56/~jnz1568/getInfo.php?workbook=14_13.xlsx&amp;sheet=U0&amp;row=592&amp;col=6&amp;number=3.8&amp;sourceID=14","3.8")</f>
        <v>3.8</v>
      </c>
      <c r="G592" s="4" t="str">
        <f>HYPERLINK("http://141.218.60.56/~jnz1568/getInfo.php?workbook=14_13.xlsx&amp;sheet=U0&amp;row=592&amp;col=7&amp;number=1.17&amp;sourceID=14","1.17")</f>
        <v>1.17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HYPERLINK("http://141.218.60.56/~jnz1568/getInfo.php?workbook=14_13.xlsx&amp;sheet=U0&amp;row=593&amp;col=6&amp;number=3.9&amp;sourceID=14","3.9")</f>
        <v>3.9</v>
      </c>
      <c r="G593" s="4" t="str">
        <f>HYPERLINK("http://141.218.60.56/~jnz1568/getInfo.php?workbook=14_13.xlsx&amp;sheet=U0&amp;row=593&amp;col=7&amp;number=1.16&amp;sourceID=14","1.16")</f>
        <v>1.16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HYPERLINK("http://141.218.60.56/~jnz1568/getInfo.php?workbook=14_13.xlsx&amp;sheet=U0&amp;row=594&amp;col=6&amp;number=4&amp;sourceID=14","4")</f>
        <v>4</v>
      </c>
      <c r="G594" s="4" t="str">
        <f>HYPERLINK("http://141.218.60.56/~jnz1568/getInfo.php?workbook=14_13.xlsx&amp;sheet=U0&amp;row=594&amp;col=7&amp;number=1.15&amp;sourceID=14","1.15")</f>
        <v>1.15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HYPERLINK("http://141.218.60.56/~jnz1568/getInfo.php?workbook=14_13.xlsx&amp;sheet=U0&amp;row=595&amp;col=6&amp;number=4.1&amp;sourceID=14","4.1")</f>
        <v>4.1</v>
      </c>
      <c r="G595" s="4" t="str">
        <f>HYPERLINK("http://141.218.60.56/~jnz1568/getInfo.php?workbook=14_13.xlsx&amp;sheet=U0&amp;row=595&amp;col=7&amp;number=1.14&amp;sourceID=14","1.14")</f>
        <v>1.14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HYPERLINK("http://141.218.60.56/~jnz1568/getInfo.php?workbook=14_13.xlsx&amp;sheet=U0&amp;row=596&amp;col=6&amp;number=4.2&amp;sourceID=14","4.2")</f>
        <v>4.2</v>
      </c>
      <c r="G596" s="4" t="str">
        <f>HYPERLINK("http://141.218.60.56/~jnz1568/getInfo.php?workbook=14_13.xlsx&amp;sheet=U0&amp;row=596&amp;col=7&amp;number=1.13&amp;sourceID=14","1.13")</f>
        <v>1.13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HYPERLINK("http://141.218.60.56/~jnz1568/getInfo.php?workbook=14_13.xlsx&amp;sheet=U0&amp;row=597&amp;col=6&amp;number=4.3&amp;sourceID=14","4.3")</f>
        <v>4.3</v>
      </c>
      <c r="G597" s="4" t="str">
        <f>HYPERLINK("http://141.218.60.56/~jnz1568/getInfo.php?workbook=14_13.xlsx&amp;sheet=U0&amp;row=597&amp;col=7&amp;number=1.12&amp;sourceID=14","1.12")</f>
        <v>1.12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HYPERLINK("http://141.218.60.56/~jnz1568/getInfo.php?workbook=14_13.xlsx&amp;sheet=U0&amp;row=598&amp;col=6&amp;number=4.4&amp;sourceID=14","4.4")</f>
        <v>4.4</v>
      </c>
      <c r="G598" s="4" t="str">
        <f>HYPERLINK("http://141.218.60.56/~jnz1568/getInfo.php?workbook=14_13.xlsx&amp;sheet=U0&amp;row=598&amp;col=7&amp;number=1.11&amp;sourceID=14","1.11")</f>
        <v>1.11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HYPERLINK("http://141.218.60.56/~jnz1568/getInfo.php?workbook=14_13.xlsx&amp;sheet=U0&amp;row=599&amp;col=6&amp;number=4.5&amp;sourceID=14","4.5")</f>
        <v>4.5</v>
      </c>
      <c r="G599" s="4" t="str">
        <f>HYPERLINK("http://141.218.60.56/~jnz1568/getInfo.php?workbook=14_13.xlsx&amp;sheet=U0&amp;row=599&amp;col=7&amp;number=1.09&amp;sourceID=14","1.09")</f>
        <v>1.09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HYPERLINK("http://141.218.60.56/~jnz1568/getInfo.php?workbook=14_13.xlsx&amp;sheet=U0&amp;row=600&amp;col=6&amp;number=4.6&amp;sourceID=14","4.6")</f>
        <v>4.6</v>
      </c>
      <c r="G600" s="4" t="str">
        <f>HYPERLINK("http://141.218.60.56/~jnz1568/getInfo.php?workbook=14_13.xlsx&amp;sheet=U0&amp;row=600&amp;col=7&amp;number=1.07&amp;sourceID=14","1.07")</f>
        <v>1.07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HYPERLINK("http://141.218.60.56/~jnz1568/getInfo.php?workbook=14_13.xlsx&amp;sheet=U0&amp;row=601&amp;col=6&amp;number=4.7&amp;sourceID=14","4.7")</f>
        <v>4.7</v>
      </c>
      <c r="G601" s="4" t="str">
        <f>HYPERLINK("http://141.218.60.56/~jnz1568/getInfo.php?workbook=14_13.xlsx&amp;sheet=U0&amp;row=601&amp;col=7&amp;number=1.03&amp;sourceID=14","1.03")</f>
        <v>1.03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HYPERLINK("http://141.218.60.56/~jnz1568/getInfo.php?workbook=14_13.xlsx&amp;sheet=U0&amp;row=602&amp;col=6&amp;number=4.8&amp;sourceID=14","4.8")</f>
        <v>4.8</v>
      </c>
      <c r="G602" s="4" t="str">
        <f>HYPERLINK("http://141.218.60.56/~jnz1568/getInfo.php?workbook=14_13.xlsx&amp;sheet=U0&amp;row=602&amp;col=7&amp;number=0.985&amp;sourceID=14","0.985")</f>
        <v>0.985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HYPERLINK("http://141.218.60.56/~jnz1568/getInfo.php?workbook=14_13.xlsx&amp;sheet=U0&amp;row=603&amp;col=6&amp;number=4.9&amp;sourceID=14","4.9")</f>
        <v>4.9</v>
      </c>
      <c r="G603" s="4" t="str">
        <f>HYPERLINK("http://141.218.60.56/~jnz1568/getInfo.php?workbook=14_13.xlsx&amp;sheet=U0&amp;row=603&amp;col=7&amp;number=0.929&amp;sourceID=14","0.929")</f>
        <v>0.929</v>
      </c>
    </row>
    <row r="604" spans="1:7">
      <c r="A604" s="3">
        <v>14</v>
      </c>
      <c r="B604" s="3">
        <v>13</v>
      </c>
      <c r="C604" s="3">
        <v>2</v>
      </c>
      <c r="D604" s="3">
        <v>5</v>
      </c>
      <c r="E604" s="3">
        <v>1</v>
      </c>
      <c r="F604" s="4" t="str">
        <f>HYPERLINK("http://141.218.60.56/~jnz1568/getInfo.php?workbook=14_13.xlsx&amp;sheet=U0&amp;row=604&amp;col=6&amp;number=3&amp;sourceID=14","3")</f>
        <v>3</v>
      </c>
      <c r="G604" s="4" t="str">
        <f>HYPERLINK("http://141.218.60.56/~jnz1568/getInfo.php?workbook=14_13.xlsx&amp;sheet=U0&amp;row=604&amp;col=7&amp;number=2.42&amp;sourceID=14","2.42")</f>
        <v>2.42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HYPERLINK("http://141.218.60.56/~jnz1568/getInfo.php?workbook=14_13.xlsx&amp;sheet=U0&amp;row=605&amp;col=6&amp;number=3.1&amp;sourceID=14","3.1")</f>
        <v>3.1</v>
      </c>
      <c r="G605" s="4" t="str">
        <f>HYPERLINK("http://141.218.60.56/~jnz1568/getInfo.php?workbook=14_13.xlsx&amp;sheet=U0&amp;row=605&amp;col=7&amp;number=2.42&amp;sourceID=14","2.42")</f>
        <v>2.42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HYPERLINK("http://141.218.60.56/~jnz1568/getInfo.php?workbook=14_13.xlsx&amp;sheet=U0&amp;row=606&amp;col=6&amp;number=3.2&amp;sourceID=14","3.2")</f>
        <v>3.2</v>
      </c>
      <c r="G606" s="4" t="str">
        <f>HYPERLINK("http://141.218.60.56/~jnz1568/getInfo.php?workbook=14_13.xlsx&amp;sheet=U0&amp;row=606&amp;col=7&amp;number=2.42&amp;sourceID=14","2.42")</f>
        <v>2.42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HYPERLINK("http://141.218.60.56/~jnz1568/getInfo.php?workbook=14_13.xlsx&amp;sheet=U0&amp;row=607&amp;col=6&amp;number=3.3&amp;sourceID=14","3.3")</f>
        <v>3.3</v>
      </c>
      <c r="G607" s="4" t="str">
        <f>HYPERLINK("http://141.218.60.56/~jnz1568/getInfo.php?workbook=14_13.xlsx&amp;sheet=U0&amp;row=607&amp;col=7&amp;number=2.42&amp;sourceID=14","2.42")</f>
        <v>2.42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HYPERLINK("http://141.218.60.56/~jnz1568/getInfo.php?workbook=14_13.xlsx&amp;sheet=U0&amp;row=608&amp;col=6&amp;number=3.4&amp;sourceID=14","3.4")</f>
        <v>3.4</v>
      </c>
      <c r="G608" s="4" t="str">
        <f>HYPERLINK("http://141.218.60.56/~jnz1568/getInfo.php?workbook=14_13.xlsx&amp;sheet=U0&amp;row=608&amp;col=7&amp;number=2.42&amp;sourceID=14","2.42")</f>
        <v>2.42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HYPERLINK("http://141.218.60.56/~jnz1568/getInfo.php?workbook=14_13.xlsx&amp;sheet=U0&amp;row=609&amp;col=6&amp;number=3.5&amp;sourceID=14","3.5")</f>
        <v>3.5</v>
      </c>
      <c r="G609" s="4" t="str">
        <f>HYPERLINK("http://141.218.60.56/~jnz1568/getInfo.php?workbook=14_13.xlsx&amp;sheet=U0&amp;row=609&amp;col=7&amp;number=2.42&amp;sourceID=14","2.42")</f>
        <v>2.42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HYPERLINK("http://141.218.60.56/~jnz1568/getInfo.php?workbook=14_13.xlsx&amp;sheet=U0&amp;row=610&amp;col=6&amp;number=3.6&amp;sourceID=14","3.6")</f>
        <v>3.6</v>
      </c>
      <c r="G610" s="4" t="str">
        <f>HYPERLINK("http://141.218.60.56/~jnz1568/getInfo.php?workbook=14_13.xlsx&amp;sheet=U0&amp;row=610&amp;col=7&amp;number=2.41&amp;sourceID=14","2.41")</f>
        <v>2.41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HYPERLINK("http://141.218.60.56/~jnz1568/getInfo.php?workbook=14_13.xlsx&amp;sheet=U0&amp;row=611&amp;col=6&amp;number=3.7&amp;sourceID=14","3.7")</f>
        <v>3.7</v>
      </c>
      <c r="G611" s="4" t="str">
        <f>HYPERLINK("http://141.218.60.56/~jnz1568/getInfo.php?workbook=14_13.xlsx&amp;sheet=U0&amp;row=611&amp;col=7&amp;number=2.39&amp;sourceID=14","2.39")</f>
        <v>2.39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HYPERLINK("http://141.218.60.56/~jnz1568/getInfo.php?workbook=14_13.xlsx&amp;sheet=U0&amp;row=612&amp;col=6&amp;number=3.8&amp;sourceID=14","3.8")</f>
        <v>3.8</v>
      </c>
      <c r="G612" s="4" t="str">
        <f>HYPERLINK("http://141.218.60.56/~jnz1568/getInfo.php?workbook=14_13.xlsx&amp;sheet=U0&amp;row=612&amp;col=7&amp;number=2.36&amp;sourceID=14","2.36")</f>
        <v>2.36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HYPERLINK("http://141.218.60.56/~jnz1568/getInfo.php?workbook=14_13.xlsx&amp;sheet=U0&amp;row=613&amp;col=6&amp;number=3.9&amp;sourceID=14","3.9")</f>
        <v>3.9</v>
      </c>
      <c r="G613" s="4" t="str">
        <f>HYPERLINK("http://141.218.60.56/~jnz1568/getInfo.php?workbook=14_13.xlsx&amp;sheet=U0&amp;row=613&amp;col=7&amp;number=2.33&amp;sourceID=14","2.33")</f>
        <v>2.33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HYPERLINK("http://141.218.60.56/~jnz1568/getInfo.php?workbook=14_13.xlsx&amp;sheet=U0&amp;row=614&amp;col=6&amp;number=4&amp;sourceID=14","4")</f>
        <v>4</v>
      </c>
      <c r="G614" s="4" t="str">
        <f>HYPERLINK("http://141.218.60.56/~jnz1568/getInfo.php?workbook=14_13.xlsx&amp;sheet=U0&amp;row=614&amp;col=7&amp;number=2.3&amp;sourceID=14","2.3")</f>
        <v>2.3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HYPERLINK("http://141.218.60.56/~jnz1568/getInfo.php?workbook=14_13.xlsx&amp;sheet=U0&amp;row=615&amp;col=6&amp;number=4.1&amp;sourceID=14","4.1")</f>
        <v>4.1</v>
      </c>
      <c r="G615" s="4" t="str">
        <f>HYPERLINK("http://141.218.60.56/~jnz1568/getInfo.php?workbook=14_13.xlsx&amp;sheet=U0&amp;row=615&amp;col=7&amp;number=2.27&amp;sourceID=14","2.27")</f>
        <v>2.27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HYPERLINK("http://141.218.60.56/~jnz1568/getInfo.php?workbook=14_13.xlsx&amp;sheet=U0&amp;row=616&amp;col=6&amp;number=4.2&amp;sourceID=14","4.2")</f>
        <v>4.2</v>
      </c>
      <c r="G616" s="4" t="str">
        <f>HYPERLINK("http://141.218.60.56/~jnz1568/getInfo.php?workbook=14_13.xlsx&amp;sheet=U0&amp;row=616&amp;col=7&amp;number=2.25&amp;sourceID=14","2.25")</f>
        <v>2.25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HYPERLINK("http://141.218.60.56/~jnz1568/getInfo.php?workbook=14_13.xlsx&amp;sheet=U0&amp;row=617&amp;col=6&amp;number=4.3&amp;sourceID=14","4.3")</f>
        <v>4.3</v>
      </c>
      <c r="G617" s="4" t="str">
        <f>HYPERLINK("http://141.218.60.56/~jnz1568/getInfo.php?workbook=14_13.xlsx&amp;sheet=U0&amp;row=617&amp;col=7&amp;number=2.22&amp;sourceID=14","2.22")</f>
        <v>2.22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HYPERLINK("http://141.218.60.56/~jnz1568/getInfo.php?workbook=14_13.xlsx&amp;sheet=U0&amp;row=618&amp;col=6&amp;number=4.4&amp;sourceID=14","4.4")</f>
        <v>4.4</v>
      </c>
      <c r="G618" s="4" t="str">
        <f>HYPERLINK("http://141.218.60.56/~jnz1568/getInfo.php?workbook=14_13.xlsx&amp;sheet=U0&amp;row=618&amp;col=7&amp;number=2.19&amp;sourceID=14","2.19")</f>
        <v>2.19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HYPERLINK("http://141.218.60.56/~jnz1568/getInfo.php?workbook=14_13.xlsx&amp;sheet=U0&amp;row=619&amp;col=6&amp;number=4.5&amp;sourceID=14","4.5")</f>
        <v>4.5</v>
      </c>
      <c r="G619" s="4" t="str">
        <f>HYPERLINK("http://141.218.60.56/~jnz1568/getInfo.php?workbook=14_13.xlsx&amp;sheet=U0&amp;row=619&amp;col=7&amp;number=2.15&amp;sourceID=14","2.15")</f>
        <v>2.15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HYPERLINK("http://141.218.60.56/~jnz1568/getInfo.php?workbook=14_13.xlsx&amp;sheet=U0&amp;row=620&amp;col=6&amp;number=4.6&amp;sourceID=14","4.6")</f>
        <v>4.6</v>
      </c>
      <c r="G620" s="4" t="str">
        <f>HYPERLINK("http://141.218.60.56/~jnz1568/getInfo.php?workbook=14_13.xlsx&amp;sheet=U0&amp;row=620&amp;col=7&amp;number=2.1&amp;sourceID=14","2.1")</f>
        <v>2.1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HYPERLINK("http://141.218.60.56/~jnz1568/getInfo.php?workbook=14_13.xlsx&amp;sheet=U0&amp;row=621&amp;col=6&amp;number=4.7&amp;sourceID=14","4.7")</f>
        <v>4.7</v>
      </c>
      <c r="G621" s="4" t="str">
        <f>HYPERLINK("http://141.218.60.56/~jnz1568/getInfo.php?workbook=14_13.xlsx&amp;sheet=U0&amp;row=621&amp;col=7&amp;number=2.03&amp;sourceID=14","2.03")</f>
        <v>2.03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HYPERLINK("http://141.218.60.56/~jnz1568/getInfo.php?workbook=14_13.xlsx&amp;sheet=U0&amp;row=622&amp;col=6&amp;number=4.8&amp;sourceID=14","4.8")</f>
        <v>4.8</v>
      </c>
      <c r="G622" s="4" t="str">
        <f>HYPERLINK("http://141.218.60.56/~jnz1568/getInfo.php?workbook=14_13.xlsx&amp;sheet=U0&amp;row=622&amp;col=7&amp;number=1.95&amp;sourceID=14","1.95")</f>
        <v>1.95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HYPERLINK("http://141.218.60.56/~jnz1568/getInfo.php?workbook=14_13.xlsx&amp;sheet=U0&amp;row=623&amp;col=6&amp;number=4.9&amp;sourceID=14","4.9")</f>
        <v>4.9</v>
      </c>
      <c r="G623" s="4" t="str">
        <f>HYPERLINK("http://141.218.60.56/~jnz1568/getInfo.php?workbook=14_13.xlsx&amp;sheet=U0&amp;row=623&amp;col=7&amp;number=1.85&amp;sourceID=14","1.85")</f>
        <v>1.85</v>
      </c>
    </row>
    <row r="624" spans="1:7">
      <c r="A624" s="3">
        <v>14</v>
      </c>
      <c r="B624" s="3">
        <v>13</v>
      </c>
      <c r="C624" s="3">
        <v>2</v>
      </c>
      <c r="D624" s="3">
        <v>6</v>
      </c>
      <c r="E624" s="3">
        <v>1</v>
      </c>
      <c r="F624" s="4" t="str">
        <f>HYPERLINK("http://141.218.60.56/~jnz1568/getInfo.php?workbook=14_13.xlsx&amp;sheet=U0&amp;row=624&amp;col=6&amp;number=3&amp;sourceID=14","3")</f>
        <v>3</v>
      </c>
      <c r="G624" s="4" t="str">
        <f>HYPERLINK("http://141.218.60.56/~jnz1568/getInfo.php?workbook=14_13.xlsx&amp;sheet=U0&amp;row=624&amp;col=7&amp;number=3.76&amp;sourceID=14","3.76")</f>
        <v>3.76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HYPERLINK("http://141.218.60.56/~jnz1568/getInfo.php?workbook=14_13.xlsx&amp;sheet=U0&amp;row=625&amp;col=6&amp;number=3.1&amp;sourceID=14","3.1")</f>
        <v>3.1</v>
      </c>
      <c r="G625" s="4" t="str">
        <f>HYPERLINK("http://141.218.60.56/~jnz1568/getInfo.php?workbook=14_13.xlsx&amp;sheet=U0&amp;row=625&amp;col=7&amp;number=3.8&amp;sourceID=14","3.8")</f>
        <v>3.8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HYPERLINK("http://141.218.60.56/~jnz1568/getInfo.php?workbook=14_13.xlsx&amp;sheet=U0&amp;row=626&amp;col=6&amp;number=3.2&amp;sourceID=14","3.2")</f>
        <v>3.2</v>
      </c>
      <c r="G626" s="4" t="str">
        <f>HYPERLINK("http://141.218.60.56/~jnz1568/getInfo.php?workbook=14_13.xlsx&amp;sheet=U0&amp;row=626&amp;col=7&amp;number=3.85&amp;sourceID=14","3.85")</f>
        <v>3.85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HYPERLINK("http://141.218.60.56/~jnz1568/getInfo.php?workbook=14_13.xlsx&amp;sheet=U0&amp;row=627&amp;col=6&amp;number=3.3&amp;sourceID=14","3.3")</f>
        <v>3.3</v>
      </c>
      <c r="G627" s="4" t="str">
        <f>HYPERLINK("http://141.218.60.56/~jnz1568/getInfo.php?workbook=14_13.xlsx&amp;sheet=U0&amp;row=627&amp;col=7&amp;number=3.9&amp;sourceID=14","3.9")</f>
        <v>3.9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HYPERLINK("http://141.218.60.56/~jnz1568/getInfo.php?workbook=14_13.xlsx&amp;sheet=U0&amp;row=628&amp;col=6&amp;number=3.4&amp;sourceID=14","3.4")</f>
        <v>3.4</v>
      </c>
      <c r="G628" s="4" t="str">
        <f>HYPERLINK("http://141.218.60.56/~jnz1568/getInfo.php?workbook=14_13.xlsx&amp;sheet=U0&amp;row=628&amp;col=7&amp;number=3.96&amp;sourceID=14","3.96")</f>
        <v>3.96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HYPERLINK("http://141.218.60.56/~jnz1568/getInfo.php?workbook=14_13.xlsx&amp;sheet=U0&amp;row=629&amp;col=6&amp;number=3.5&amp;sourceID=14","3.5")</f>
        <v>3.5</v>
      </c>
      <c r="G629" s="4" t="str">
        <f>HYPERLINK("http://141.218.60.56/~jnz1568/getInfo.php?workbook=14_13.xlsx&amp;sheet=U0&amp;row=629&amp;col=7&amp;number=4.03&amp;sourceID=14","4.03")</f>
        <v>4.03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HYPERLINK("http://141.218.60.56/~jnz1568/getInfo.php?workbook=14_13.xlsx&amp;sheet=U0&amp;row=630&amp;col=6&amp;number=3.6&amp;sourceID=14","3.6")</f>
        <v>3.6</v>
      </c>
      <c r="G630" s="4" t="str">
        <f>HYPERLINK("http://141.218.60.56/~jnz1568/getInfo.php?workbook=14_13.xlsx&amp;sheet=U0&amp;row=630&amp;col=7&amp;number=4.09&amp;sourceID=14","4.09")</f>
        <v>4.09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HYPERLINK("http://141.218.60.56/~jnz1568/getInfo.php?workbook=14_13.xlsx&amp;sheet=U0&amp;row=631&amp;col=6&amp;number=3.7&amp;sourceID=14","3.7")</f>
        <v>3.7</v>
      </c>
      <c r="G631" s="4" t="str">
        <f>HYPERLINK("http://141.218.60.56/~jnz1568/getInfo.php?workbook=14_13.xlsx&amp;sheet=U0&amp;row=631&amp;col=7&amp;number=4.14&amp;sourceID=14","4.14")</f>
        <v>4.14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HYPERLINK("http://141.218.60.56/~jnz1568/getInfo.php?workbook=14_13.xlsx&amp;sheet=U0&amp;row=632&amp;col=6&amp;number=3.8&amp;sourceID=14","3.8")</f>
        <v>3.8</v>
      </c>
      <c r="G632" s="4" t="str">
        <f>HYPERLINK("http://141.218.60.56/~jnz1568/getInfo.php?workbook=14_13.xlsx&amp;sheet=U0&amp;row=632&amp;col=7&amp;number=4.17&amp;sourceID=14","4.17")</f>
        <v>4.17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HYPERLINK("http://141.218.60.56/~jnz1568/getInfo.php?workbook=14_13.xlsx&amp;sheet=U0&amp;row=633&amp;col=6&amp;number=3.9&amp;sourceID=14","3.9")</f>
        <v>3.9</v>
      </c>
      <c r="G633" s="4" t="str">
        <f>HYPERLINK("http://141.218.60.56/~jnz1568/getInfo.php?workbook=14_13.xlsx&amp;sheet=U0&amp;row=633&amp;col=7&amp;number=4.18&amp;sourceID=14","4.18")</f>
        <v>4.18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HYPERLINK("http://141.218.60.56/~jnz1568/getInfo.php?workbook=14_13.xlsx&amp;sheet=U0&amp;row=634&amp;col=6&amp;number=4&amp;sourceID=14","4")</f>
        <v>4</v>
      </c>
      <c r="G634" s="4" t="str">
        <f>HYPERLINK("http://141.218.60.56/~jnz1568/getInfo.php?workbook=14_13.xlsx&amp;sheet=U0&amp;row=634&amp;col=7&amp;number=4.15&amp;sourceID=14","4.15")</f>
        <v>4.15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HYPERLINK("http://141.218.60.56/~jnz1568/getInfo.php?workbook=14_13.xlsx&amp;sheet=U0&amp;row=635&amp;col=6&amp;number=4.1&amp;sourceID=14","4.1")</f>
        <v>4.1</v>
      </c>
      <c r="G635" s="4" t="str">
        <f>HYPERLINK("http://141.218.60.56/~jnz1568/getInfo.php?workbook=14_13.xlsx&amp;sheet=U0&amp;row=635&amp;col=7&amp;number=4.09&amp;sourceID=14","4.09")</f>
        <v>4.09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HYPERLINK("http://141.218.60.56/~jnz1568/getInfo.php?workbook=14_13.xlsx&amp;sheet=U0&amp;row=636&amp;col=6&amp;number=4.2&amp;sourceID=14","4.2")</f>
        <v>4.2</v>
      </c>
      <c r="G636" s="4" t="str">
        <f>HYPERLINK("http://141.218.60.56/~jnz1568/getInfo.php?workbook=14_13.xlsx&amp;sheet=U0&amp;row=636&amp;col=7&amp;number=4.01&amp;sourceID=14","4.01")</f>
        <v>4.01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HYPERLINK("http://141.218.60.56/~jnz1568/getInfo.php?workbook=14_13.xlsx&amp;sheet=U0&amp;row=637&amp;col=6&amp;number=4.3&amp;sourceID=14","4.3")</f>
        <v>4.3</v>
      </c>
      <c r="G637" s="4" t="str">
        <f>HYPERLINK("http://141.218.60.56/~jnz1568/getInfo.php?workbook=14_13.xlsx&amp;sheet=U0&amp;row=637&amp;col=7&amp;number=3.88&amp;sourceID=14","3.88")</f>
        <v>3.88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HYPERLINK("http://141.218.60.56/~jnz1568/getInfo.php?workbook=14_13.xlsx&amp;sheet=U0&amp;row=638&amp;col=6&amp;number=4.4&amp;sourceID=14","4.4")</f>
        <v>4.4</v>
      </c>
      <c r="G638" s="4" t="str">
        <f>HYPERLINK("http://141.218.60.56/~jnz1568/getInfo.php?workbook=14_13.xlsx&amp;sheet=U0&amp;row=638&amp;col=7&amp;number=3.71&amp;sourceID=14","3.71")</f>
        <v>3.71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HYPERLINK("http://141.218.60.56/~jnz1568/getInfo.php?workbook=14_13.xlsx&amp;sheet=U0&amp;row=639&amp;col=6&amp;number=4.5&amp;sourceID=14","4.5")</f>
        <v>4.5</v>
      </c>
      <c r="G639" s="4" t="str">
        <f>HYPERLINK("http://141.218.60.56/~jnz1568/getInfo.php?workbook=14_13.xlsx&amp;sheet=U0&amp;row=639&amp;col=7&amp;number=3.51&amp;sourceID=14","3.51")</f>
        <v>3.51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HYPERLINK("http://141.218.60.56/~jnz1568/getInfo.php?workbook=14_13.xlsx&amp;sheet=U0&amp;row=640&amp;col=6&amp;number=4.6&amp;sourceID=14","4.6")</f>
        <v>4.6</v>
      </c>
      <c r="G640" s="4" t="str">
        <f>HYPERLINK("http://141.218.60.56/~jnz1568/getInfo.php?workbook=14_13.xlsx&amp;sheet=U0&amp;row=640&amp;col=7&amp;number=3.29&amp;sourceID=14","3.29")</f>
        <v>3.29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HYPERLINK("http://141.218.60.56/~jnz1568/getInfo.php?workbook=14_13.xlsx&amp;sheet=U0&amp;row=641&amp;col=6&amp;number=4.7&amp;sourceID=14","4.7")</f>
        <v>4.7</v>
      </c>
      <c r="G641" s="4" t="str">
        <f>HYPERLINK("http://141.218.60.56/~jnz1568/getInfo.php?workbook=14_13.xlsx&amp;sheet=U0&amp;row=641&amp;col=7&amp;number=3.05&amp;sourceID=14","3.05")</f>
        <v>3.05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HYPERLINK("http://141.218.60.56/~jnz1568/getInfo.php?workbook=14_13.xlsx&amp;sheet=U0&amp;row=642&amp;col=6&amp;number=4.8&amp;sourceID=14","4.8")</f>
        <v>4.8</v>
      </c>
      <c r="G642" s="4" t="str">
        <f>HYPERLINK("http://141.218.60.56/~jnz1568/getInfo.php?workbook=14_13.xlsx&amp;sheet=U0&amp;row=642&amp;col=7&amp;number=2.82&amp;sourceID=14","2.82")</f>
        <v>2.82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HYPERLINK("http://141.218.60.56/~jnz1568/getInfo.php?workbook=14_13.xlsx&amp;sheet=U0&amp;row=643&amp;col=6&amp;number=4.9&amp;sourceID=14","4.9")</f>
        <v>4.9</v>
      </c>
      <c r="G643" s="4" t="str">
        <f>HYPERLINK("http://141.218.60.56/~jnz1568/getInfo.php?workbook=14_13.xlsx&amp;sheet=U0&amp;row=643&amp;col=7&amp;number=2.58&amp;sourceID=14","2.58")</f>
        <v>2.58</v>
      </c>
    </row>
    <row r="644" spans="1:7">
      <c r="A644" s="3">
        <v>14</v>
      </c>
      <c r="B644" s="3">
        <v>13</v>
      </c>
      <c r="C644" s="3">
        <v>2</v>
      </c>
      <c r="D644" s="3">
        <v>7</v>
      </c>
      <c r="E644" s="3">
        <v>1</v>
      </c>
      <c r="F644" s="4" t="str">
        <f>HYPERLINK("http://141.218.60.56/~jnz1568/getInfo.php?workbook=14_13.xlsx&amp;sheet=U0&amp;row=644&amp;col=6&amp;number=3&amp;sourceID=14","3")</f>
        <v>3</v>
      </c>
      <c r="G644" s="4" t="str">
        <f>HYPERLINK("http://141.218.60.56/~jnz1568/getInfo.php?workbook=14_13.xlsx&amp;sheet=U0&amp;row=644&amp;col=7&amp;number=7.16&amp;sourceID=14","7.16")</f>
        <v>7.16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HYPERLINK("http://141.218.60.56/~jnz1568/getInfo.php?workbook=14_13.xlsx&amp;sheet=U0&amp;row=645&amp;col=6&amp;number=3.1&amp;sourceID=14","3.1")</f>
        <v>3.1</v>
      </c>
      <c r="G645" s="4" t="str">
        <f>HYPERLINK("http://141.218.60.56/~jnz1568/getInfo.php?workbook=14_13.xlsx&amp;sheet=U0&amp;row=645&amp;col=7&amp;number=7.19&amp;sourceID=14","7.19")</f>
        <v>7.19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HYPERLINK("http://141.218.60.56/~jnz1568/getInfo.php?workbook=14_13.xlsx&amp;sheet=U0&amp;row=646&amp;col=6&amp;number=3.2&amp;sourceID=14","3.2")</f>
        <v>3.2</v>
      </c>
      <c r="G646" s="4" t="str">
        <f>HYPERLINK("http://141.218.60.56/~jnz1568/getInfo.php?workbook=14_13.xlsx&amp;sheet=U0&amp;row=646&amp;col=7&amp;number=7.23&amp;sourceID=14","7.23")</f>
        <v>7.23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HYPERLINK("http://141.218.60.56/~jnz1568/getInfo.php?workbook=14_13.xlsx&amp;sheet=U0&amp;row=647&amp;col=6&amp;number=3.3&amp;sourceID=14","3.3")</f>
        <v>3.3</v>
      </c>
      <c r="G647" s="4" t="str">
        <f>HYPERLINK("http://141.218.60.56/~jnz1568/getInfo.php?workbook=14_13.xlsx&amp;sheet=U0&amp;row=647&amp;col=7&amp;number=7.28&amp;sourceID=14","7.28")</f>
        <v>7.28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HYPERLINK("http://141.218.60.56/~jnz1568/getInfo.php?workbook=14_13.xlsx&amp;sheet=U0&amp;row=648&amp;col=6&amp;number=3.4&amp;sourceID=14","3.4")</f>
        <v>3.4</v>
      </c>
      <c r="G648" s="4" t="str">
        <f>HYPERLINK("http://141.218.60.56/~jnz1568/getInfo.php?workbook=14_13.xlsx&amp;sheet=U0&amp;row=648&amp;col=7&amp;number=7.33&amp;sourceID=14","7.33")</f>
        <v>7.33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HYPERLINK("http://141.218.60.56/~jnz1568/getInfo.php?workbook=14_13.xlsx&amp;sheet=U0&amp;row=649&amp;col=6&amp;number=3.5&amp;sourceID=14","3.5")</f>
        <v>3.5</v>
      </c>
      <c r="G649" s="4" t="str">
        <f>HYPERLINK("http://141.218.60.56/~jnz1568/getInfo.php?workbook=14_13.xlsx&amp;sheet=U0&amp;row=649&amp;col=7&amp;number=7.39&amp;sourceID=14","7.39")</f>
        <v>7.39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HYPERLINK("http://141.218.60.56/~jnz1568/getInfo.php?workbook=14_13.xlsx&amp;sheet=U0&amp;row=650&amp;col=6&amp;number=3.6&amp;sourceID=14","3.6")</f>
        <v>3.6</v>
      </c>
      <c r="G650" s="4" t="str">
        <f>HYPERLINK("http://141.218.60.56/~jnz1568/getInfo.php?workbook=14_13.xlsx&amp;sheet=U0&amp;row=650&amp;col=7&amp;number=7.45&amp;sourceID=14","7.45")</f>
        <v>7.45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HYPERLINK("http://141.218.60.56/~jnz1568/getInfo.php?workbook=14_13.xlsx&amp;sheet=U0&amp;row=651&amp;col=6&amp;number=3.7&amp;sourceID=14","3.7")</f>
        <v>3.7</v>
      </c>
      <c r="G651" s="4" t="str">
        <f>HYPERLINK("http://141.218.60.56/~jnz1568/getInfo.php?workbook=14_13.xlsx&amp;sheet=U0&amp;row=651&amp;col=7&amp;number=7.49&amp;sourceID=14","7.49")</f>
        <v>7.49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HYPERLINK("http://141.218.60.56/~jnz1568/getInfo.php?workbook=14_13.xlsx&amp;sheet=U0&amp;row=652&amp;col=6&amp;number=3.8&amp;sourceID=14","3.8")</f>
        <v>3.8</v>
      </c>
      <c r="G652" s="4" t="str">
        <f>HYPERLINK("http://141.218.60.56/~jnz1568/getInfo.php?workbook=14_13.xlsx&amp;sheet=U0&amp;row=652&amp;col=7&amp;number=7.5&amp;sourceID=14","7.5")</f>
        <v>7.5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HYPERLINK("http://141.218.60.56/~jnz1568/getInfo.php?workbook=14_13.xlsx&amp;sheet=U0&amp;row=653&amp;col=6&amp;number=3.9&amp;sourceID=14","3.9")</f>
        <v>3.9</v>
      </c>
      <c r="G653" s="4" t="str">
        <f>HYPERLINK("http://141.218.60.56/~jnz1568/getInfo.php?workbook=14_13.xlsx&amp;sheet=U0&amp;row=653&amp;col=7&amp;number=7.47&amp;sourceID=14","7.47")</f>
        <v>7.47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HYPERLINK("http://141.218.60.56/~jnz1568/getInfo.php?workbook=14_13.xlsx&amp;sheet=U0&amp;row=654&amp;col=6&amp;number=4&amp;sourceID=14","4")</f>
        <v>4</v>
      </c>
      <c r="G654" s="4" t="str">
        <f>HYPERLINK("http://141.218.60.56/~jnz1568/getInfo.php?workbook=14_13.xlsx&amp;sheet=U0&amp;row=654&amp;col=7&amp;number=7.38&amp;sourceID=14","7.38")</f>
        <v>7.38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HYPERLINK("http://141.218.60.56/~jnz1568/getInfo.php?workbook=14_13.xlsx&amp;sheet=U0&amp;row=655&amp;col=6&amp;number=4.1&amp;sourceID=14","4.1")</f>
        <v>4.1</v>
      </c>
      <c r="G655" s="4" t="str">
        <f>HYPERLINK("http://141.218.60.56/~jnz1568/getInfo.php?workbook=14_13.xlsx&amp;sheet=U0&amp;row=655&amp;col=7&amp;number=7.24&amp;sourceID=14","7.24")</f>
        <v>7.24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HYPERLINK("http://141.218.60.56/~jnz1568/getInfo.php?workbook=14_13.xlsx&amp;sheet=U0&amp;row=656&amp;col=6&amp;number=4.2&amp;sourceID=14","4.2")</f>
        <v>4.2</v>
      </c>
      <c r="G656" s="4" t="str">
        <f>HYPERLINK("http://141.218.60.56/~jnz1568/getInfo.php?workbook=14_13.xlsx&amp;sheet=U0&amp;row=656&amp;col=7&amp;number=7.04&amp;sourceID=14","7.04")</f>
        <v>7.04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HYPERLINK("http://141.218.60.56/~jnz1568/getInfo.php?workbook=14_13.xlsx&amp;sheet=U0&amp;row=657&amp;col=6&amp;number=4.3&amp;sourceID=14","4.3")</f>
        <v>4.3</v>
      </c>
      <c r="G657" s="4" t="str">
        <f>HYPERLINK("http://141.218.60.56/~jnz1568/getInfo.php?workbook=14_13.xlsx&amp;sheet=U0&amp;row=657&amp;col=7&amp;number=6.77&amp;sourceID=14","6.77")</f>
        <v>6.77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HYPERLINK("http://141.218.60.56/~jnz1568/getInfo.php?workbook=14_13.xlsx&amp;sheet=U0&amp;row=658&amp;col=6&amp;number=4.4&amp;sourceID=14","4.4")</f>
        <v>4.4</v>
      </c>
      <c r="G658" s="4" t="str">
        <f>HYPERLINK("http://141.218.60.56/~jnz1568/getInfo.php?workbook=14_13.xlsx&amp;sheet=U0&amp;row=658&amp;col=7&amp;number=6.44&amp;sourceID=14","6.44")</f>
        <v>6.44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HYPERLINK("http://141.218.60.56/~jnz1568/getInfo.php?workbook=14_13.xlsx&amp;sheet=U0&amp;row=659&amp;col=6&amp;number=4.5&amp;sourceID=14","4.5")</f>
        <v>4.5</v>
      </c>
      <c r="G659" s="4" t="str">
        <f>HYPERLINK("http://141.218.60.56/~jnz1568/getInfo.php?workbook=14_13.xlsx&amp;sheet=U0&amp;row=659&amp;col=7&amp;number=6.05&amp;sourceID=14","6.05")</f>
        <v>6.05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HYPERLINK("http://141.218.60.56/~jnz1568/getInfo.php?workbook=14_13.xlsx&amp;sheet=U0&amp;row=660&amp;col=6&amp;number=4.6&amp;sourceID=14","4.6")</f>
        <v>4.6</v>
      </c>
      <c r="G660" s="4" t="str">
        <f>HYPERLINK("http://141.218.60.56/~jnz1568/getInfo.php?workbook=14_13.xlsx&amp;sheet=U0&amp;row=660&amp;col=7&amp;number=5.63&amp;sourceID=14","5.63")</f>
        <v>5.63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HYPERLINK("http://141.218.60.56/~jnz1568/getInfo.php?workbook=14_13.xlsx&amp;sheet=U0&amp;row=661&amp;col=6&amp;number=4.7&amp;sourceID=14","4.7")</f>
        <v>4.7</v>
      </c>
      <c r="G661" s="4" t="str">
        <f>HYPERLINK("http://141.218.60.56/~jnz1568/getInfo.php?workbook=14_13.xlsx&amp;sheet=U0&amp;row=661&amp;col=7&amp;number=5.19&amp;sourceID=14","5.19")</f>
        <v>5.19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HYPERLINK("http://141.218.60.56/~jnz1568/getInfo.php?workbook=14_13.xlsx&amp;sheet=U0&amp;row=662&amp;col=6&amp;number=4.8&amp;sourceID=14","4.8")</f>
        <v>4.8</v>
      </c>
      <c r="G662" s="4" t="str">
        <f>HYPERLINK("http://141.218.60.56/~jnz1568/getInfo.php?workbook=14_13.xlsx&amp;sheet=U0&amp;row=662&amp;col=7&amp;number=4.75&amp;sourceID=14","4.75")</f>
        <v>4.75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HYPERLINK("http://141.218.60.56/~jnz1568/getInfo.php?workbook=14_13.xlsx&amp;sheet=U0&amp;row=663&amp;col=6&amp;number=4.9&amp;sourceID=14","4.9")</f>
        <v>4.9</v>
      </c>
      <c r="G663" s="4" t="str">
        <f>HYPERLINK("http://141.218.60.56/~jnz1568/getInfo.php?workbook=14_13.xlsx&amp;sheet=U0&amp;row=663&amp;col=7&amp;number=4.33&amp;sourceID=14","4.33")</f>
        <v>4.33</v>
      </c>
    </row>
    <row r="664" spans="1:7">
      <c r="A664" s="3">
        <v>14</v>
      </c>
      <c r="B664" s="3">
        <v>13</v>
      </c>
      <c r="C664" s="3">
        <v>2</v>
      </c>
      <c r="D664" s="3">
        <v>8</v>
      </c>
      <c r="E664" s="3">
        <v>1</v>
      </c>
      <c r="F664" s="4" t="str">
        <f>HYPERLINK("http://141.218.60.56/~jnz1568/getInfo.php?workbook=14_13.xlsx&amp;sheet=U0&amp;row=664&amp;col=6&amp;number=3&amp;sourceID=14","3")</f>
        <v>3</v>
      </c>
      <c r="G664" s="4" t="str">
        <f>HYPERLINK("http://141.218.60.56/~jnz1568/getInfo.php?workbook=14_13.xlsx&amp;sheet=U0&amp;row=664&amp;col=7&amp;number=1.58&amp;sourceID=14","1.58")</f>
        <v>1.58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HYPERLINK("http://141.218.60.56/~jnz1568/getInfo.php?workbook=14_13.xlsx&amp;sheet=U0&amp;row=665&amp;col=6&amp;number=3.1&amp;sourceID=14","3.1")</f>
        <v>3.1</v>
      </c>
      <c r="G665" s="4" t="str">
        <f>HYPERLINK("http://141.218.60.56/~jnz1568/getInfo.php?workbook=14_13.xlsx&amp;sheet=U0&amp;row=665&amp;col=7&amp;number=1.63&amp;sourceID=14","1.63")</f>
        <v>1.63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HYPERLINK("http://141.218.60.56/~jnz1568/getInfo.php?workbook=14_13.xlsx&amp;sheet=U0&amp;row=666&amp;col=6&amp;number=3.2&amp;sourceID=14","3.2")</f>
        <v>3.2</v>
      </c>
      <c r="G666" s="4" t="str">
        <f>HYPERLINK("http://141.218.60.56/~jnz1568/getInfo.php?workbook=14_13.xlsx&amp;sheet=U0&amp;row=666&amp;col=7&amp;number=1.69&amp;sourceID=14","1.69")</f>
        <v>1.69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HYPERLINK("http://141.218.60.56/~jnz1568/getInfo.php?workbook=14_13.xlsx&amp;sheet=U0&amp;row=667&amp;col=6&amp;number=3.3&amp;sourceID=14","3.3")</f>
        <v>3.3</v>
      </c>
      <c r="G667" s="4" t="str">
        <f>HYPERLINK("http://141.218.60.56/~jnz1568/getInfo.php?workbook=14_13.xlsx&amp;sheet=U0&amp;row=667&amp;col=7&amp;number=1.75&amp;sourceID=14","1.75")</f>
        <v>1.75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HYPERLINK("http://141.218.60.56/~jnz1568/getInfo.php?workbook=14_13.xlsx&amp;sheet=U0&amp;row=668&amp;col=6&amp;number=3.4&amp;sourceID=14","3.4")</f>
        <v>3.4</v>
      </c>
      <c r="G668" s="4" t="str">
        <f>HYPERLINK("http://141.218.60.56/~jnz1568/getInfo.php?workbook=14_13.xlsx&amp;sheet=U0&amp;row=668&amp;col=7&amp;number=1.83&amp;sourceID=14","1.83")</f>
        <v>1.83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HYPERLINK("http://141.218.60.56/~jnz1568/getInfo.php?workbook=14_13.xlsx&amp;sheet=U0&amp;row=669&amp;col=6&amp;number=3.5&amp;sourceID=14","3.5")</f>
        <v>3.5</v>
      </c>
      <c r="G669" s="4" t="str">
        <f>HYPERLINK("http://141.218.60.56/~jnz1568/getInfo.php?workbook=14_13.xlsx&amp;sheet=U0&amp;row=669&amp;col=7&amp;number=1.91&amp;sourceID=14","1.91")</f>
        <v>1.91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HYPERLINK("http://141.218.60.56/~jnz1568/getInfo.php?workbook=14_13.xlsx&amp;sheet=U0&amp;row=670&amp;col=6&amp;number=3.6&amp;sourceID=14","3.6")</f>
        <v>3.6</v>
      </c>
      <c r="G670" s="4" t="str">
        <f>HYPERLINK("http://141.218.60.56/~jnz1568/getInfo.php?workbook=14_13.xlsx&amp;sheet=U0&amp;row=670&amp;col=7&amp;number=2&amp;sourceID=14","2")</f>
        <v>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HYPERLINK("http://141.218.60.56/~jnz1568/getInfo.php?workbook=14_13.xlsx&amp;sheet=U0&amp;row=671&amp;col=6&amp;number=3.7&amp;sourceID=14","3.7")</f>
        <v>3.7</v>
      </c>
      <c r="G671" s="4" t="str">
        <f>HYPERLINK("http://141.218.60.56/~jnz1568/getInfo.php?workbook=14_13.xlsx&amp;sheet=U0&amp;row=671&amp;col=7&amp;number=2.08&amp;sourceID=14","2.08")</f>
        <v>2.08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HYPERLINK("http://141.218.60.56/~jnz1568/getInfo.php?workbook=14_13.xlsx&amp;sheet=U0&amp;row=672&amp;col=6&amp;number=3.8&amp;sourceID=14","3.8")</f>
        <v>3.8</v>
      </c>
      <c r="G672" s="4" t="str">
        <f>HYPERLINK("http://141.218.60.56/~jnz1568/getInfo.php?workbook=14_13.xlsx&amp;sheet=U0&amp;row=672&amp;col=7&amp;number=2.13&amp;sourceID=14","2.13")</f>
        <v>2.13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HYPERLINK("http://141.218.60.56/~jnz1568/getInfo.php?workbook=14_13.xlsx&amp;sheet=U0&amp;row=673&amp;col=6&amp;number=3.9&amp;sourceID=14","3.9")</f>
        <v>3.9</v>
      </c>
      <c r="G673" s="4" t="str">
        <f>HYPERLINK("http://141.218.60.56/~jnz1568/getInfo.php?workbook=14_13.xlsx&amp;sheet=U0&amp;row=673&amp;col=7&amp;number=2.15&amp;sourceID=14","2.15")</f>
        <v>2.15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HYPERLINK("http://141.218.60.56/~jnz1568/getInfo.php?workbook=14_13.xlsx&amp;sheet=U0&amp;row=674&amp;col=6&amp;number=4&amp;sourceID=14","4")</f>
        <v>4</v>
      </c>
      <c r="G674" s="4" t="str">
        <f>HYPERLINK("http://141.218.60.56/~jnz1568/getInfo.php?workbook=14_13.xlsx&amp;sheet=U0&amp;row=674&amp;col=7&amp;number=2.14&amp;sourceID=14","2.14")</f>
        <v>2.14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HYPERLINK("http://141.218.60.56/~jnz1568/getInfo.php?workbook=14_13.xlsx&amp;sheet=U0&amp;row=675&amp;col=6&amp;number=4.1&amp;sourceID=14","4.1")</f>
        <v>4.1</v>
      </c>
      <c r="G675" s="4" t="str">
        <f>HYPERLINK("http://141.218.60.56/~jnz1568/getInfo.php?workbook=14_13.xlsx&amp;sheet=U0&amp;row=675&amp;col=7&amp;number=2.11&amp;sourceID=14","2.11")</f>
        <v>2.11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HYPERLINK("http://141.218.60.56/~jnz1568/getInfo.php?workbook=14_13.xlsx&amp;sheet=U0&amp;row=676&amp;col=6&amp;number=4.2&amp;sourceID=14","4.2")</f>
        <v>4.2</v>
      </c>
      <c r="G676" s="4" t="str">
        <f>HYPERLINK("http://141.218.60.56/~jnz1568/getInfo.php?workbook=14_13.xlsx&amp;sheet=U0&amp;row=676&amp;col=7&amp;number=2.05&amp;sourceID=14","2.05")</f>
        <v>2.05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HYPERLINK("http://141.218.60.56/~jnz1568/getInfo.php?workbook=14_13.xlsx&amp;sheet=U0&amp;row=677&amp;col=6&amp;number=4.3&amp;sourceID=14","4.3")</f>
        <v>4.3</v>
      </c>
      <c r="G677" s="4" t="str">
        <f>HYPERLINK("http://141.218.60.56/~jnz1568/getInfo.php?workbook=14_13.xlsx&amp;sheet=U0&amp;row=677&amp;col=7&amp;number=1.97&amp;sourceID=14","1.97")</f>
        <v>1.97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HYPERLINK("http://141.218.60.56/~jnz1568/getInfo.php?workbook=14_13.xlsx&amp;sheet=U0&amp;row=678&amp;col=6&amp;number=4.4&amp;sourceID=14","4.4")</f>
        <v>4.4</v>
      </c>
      <c r="G678" s="4" t="str">
        <f>HYPERLINK("http://141.218.60.56/~jnz1568/getInfo.php?workbook=14_13.xlsx&amp;sheet=U0&amp;row=678&amp;col=7&amp;number=1.89&amp;sourceID=14","1.89")</f>
        <v>1.89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HYPERLINK("http://141.218.60.56/~jnz1568/getInfo.php?workbook=14_13.xlsx&amp;sheet=U0&amp;row=679&amp;col=6&amp;number=4.5&amp;sourceID=14","4.5")</f>
        <v>4.5</v>
      </c>
      <c r="G679" s="4" t="str">
        <f>HYPERLINK("http://141.218.60.56/~jnz1568/getInfo.php?workbook=14_13.xlsx&amp;sheet=U0&amp;row=679&amp;col=7&amp;number=1.82&amp;sourceID=14","1.82")</f>
        <v>1.82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HYPERLINK("http://141.218.60.56/~jnz1568/getInfo.php?workbook=14_13.xlsx&amp;sheet=U0&amp;row=680&amp;col=6&amp;number=4.6&amp;sourceID=14","4.6")</f>
        <v>4.6</v>
      </c>
      <c r="G680" s="4" t="str">
        <f>HYPERLINK("http://141.218.60.56/~jnz1568/getInfo.php?workbook=14_13.xlsx&amp;sheet=U0&amp;row=680&amp;col=7&amp;number=1.77&amp;sourceID=14","1.77")</f>
        <v>1.77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HYPERLINK("http://141.218.60.56/~jnz1568/getInfo.php?workbook=14_13.xlsx&amp;sheet=U0&amp;row=681&amp;col=6&amp;number=4.7&amp;sourceID=14","4.7")</f>
        <v>4.7</v>
      </c>
      <c r="G681" s="4" t="str">
        <f>HYPERLINK("http://141.218.60.56/~jnz1568/getInfo.php?workbook=14_13.xlsx&amp;sheet=U0&amp;row=681&amp;col=7&amp;number=1.74&amp;sourceID=14","1.74")</f>
        <v>1.74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HYPERLINK("http://141.218.60.56/~jnz1568/getInfo.php?workbook=14_13.xlsx&amp;sheet=U0&amp;row=682&amp;col=6&amp;number=4.8&amp;sourceID=14","4.8")</f>
        <v>4.8</v>
      </c>
      <c r="G682" s="4" t="str">
        <f>HYPERLINK("http://141.218.60.56/~jnz1568/getInfo.php?workbook=14_13.xlsx&amp;sheet=U0&amp;row=682&amp;col=7&amp;number=1.75&amp;sourceID=14","1.75")</f>
        <v>1.75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HYPERLINK("http://141.218.60.56/~jnz1568/getInfo.php?workbook=14_13.xlsx&amp;sheet=U0&amp;row=683&amp;col=6&amp;number=4.9&amp;sourceID=14","4.9")</f>
        <v>4.9</v>
      </c>
      <c r="G683" s="4" t="str">
        <f>HYPERLINK("http://141.218.60.56/~jnz1568/getInfo.php?workbook=14_13.xlsx&amp;sheet=U0&amp;row=683&amp;col=7&amp;number=1.8&amp;sourceID=14","1.8")</f>
        <v>1.8</v>
      </c>
    </row>
    <row r="684" spans="1:7">
      <c r="A684" s="3">
        <v>14</v>
      </c>
      <c r="B684" s="3">
        <v>13</v>
      </c>
      <c r="C684" s="3">
        <v>2</v>
      </c>
      <c r="D684" s="3">
        <v>9</v>
      </c>
      <c r="E684" s="3">
        <v>1</v>
      </c>
      <c r="F684" s="4" t="str">
        <f>HYPERLINK("http://141.218.60.56/~jnz1568/getInfo.php?workbook=14_13.xlsx&amp;sheet=U0&amp;row=684&amp;col=6&amp;number=3&amp;sourceID=14","3")</f>
        <v>3</v>
      </c>
      <c r="G684" s="4" t="str">
        <f>HYPERLINK("http://141.218.60.56/~jnz1568/getInfo.php?workbook=14_13.xlsx&amp;sheet=U0&amp;row=684&amp;col=7&amp;number=2.41&amp;sourceID=14","2.41")</f>
        <v>2.41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HYPERLINK("http://141.218.60.56/~jnz1568/getInfo.php?workbook=14_13.xlsx&amp;sheet=U0&amp;row=685&amp;col=6&amp;number=3.1&amp;sourceID=14","3.1")</f>
        <v>3.1</v>
      </c>
      <c r="G685" s="4" t="str">
        <f>HYPERLINK("http://141.218.60.56/~jnz1568/getInfo.php?workbook=14_13.xlsx&amp;sheet=U0&amp;row=685&amp;col=7&amp;number=2.39&amp;sourceID=14","2.39")</f>
        <v>2.39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HYPERLINK("http://141.218.60.56/~jnz1568/getInfo.php?workbook=14_13.xlsx&amp;sheet=U0&amp;row=686&amp;col=6&amp;number=3.2&amp;sourceID=14","3.2")</f>
        <v>3.2</v>
      </c>
      <c r="G686" s="4" t="str">
        <f>HYPERLINK("http://141.218.60.56/~jnz1568/getInfo.php?workbook=14_13.xlsx&amp;sheet=U0&amp;row=686&amp;col=7&amp;number=2.36&amp;sourceID=14","2.36")</f>
        <v>2.36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HYPERLINK("http://141.218.60.56/~jnz1568/getInfo.php?workbook=14_13.xlsx&amp;sheet=U0&amp;row=687&amp;col=6&amp;number=3.3&amp;sourceID=14","3.3")</f>
        <v>3.3</v>
      </c>
      <c r="G687" s="4" t="str">
        <f>HYPERLINK("http://141.218.60.56/~jnz1568/getInfo.php?workbook=14_13.xlsx&amp;sheet=U0&amp;row=687&amp;col=7&amp;number=2.33&amp;sourceID=14","2.33")</f>
        <v>2.33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HYPERLINK("http://141.218.60.56/~jnz1568/getInfo.php?workbook=14_13.xlsx&amp;sheet=U0&amp;row=688&amp;col=6&amp;number=3.4&amp;sourceID=14","3.4")</f>
        <v>3.4</v>
      </c>
      <c r="G688" s="4" t="str">
        <f>HYPERLINK("http://141.218.60.56/~jnz1568/getInfo.php?workbook=14_13.xlsx&amp;sheet=U0&amp;row=688&amp;col=7&amp;number=2.29&amp;sourceID=14","2.29")</f>
        <v>2.29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HYPERLINK("http://141.218.60.56/~jnz1568/getInfo.php?workbook=14_13.xlsx&amp;sheet=U0&amp;row=689&amp;col=6&amp;number=3.5&amp;sourceID=14","3.5")</f>
        <v>3.5</v>
      </c>
      <c r="G689" s="4" t="str">
        <f>HYPERLINK("http://141.218.60.56/~jnz1568/getInfo.php?workbook=14_13.xlsx&amp;sheet=U0&amp;row=689&amp;col=7&amp;number=2.24&amp;sourceID=14","2.24")</f>
        <v>2.24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HYPERLINK("http://141.218.60.56/~jnz1568/getInfo.php?workbook=14_13.xlsx&amp;sheet=U0&amp;row=690&amp;col=6&amp;number=3.6&amp;sourceID=14","3.6")</f>
        <v>3.6</v>
      </c>
      <c r="G690" s="4" t="str">
        <f>HYPERLINK("http://141.218.60.56/~jnz1568/getInfo.php?workbook=14_13.xlsx&amp;sheet=U0&amp;row=690&amp;col=7&amp;number=2.19&amp;sourceID=14","2.19")</f>
        <v>2.19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HYPERLINK("http://141.218.60.56/~jnz1568/getInfo.php?workbook=14_13.xlsx&amp;sheet=U0&amp;row=691&amp;col=6&amp;number=3.7&amp;sourceID=14","3.7")</f>
        <v>3.7</v>
      </c>
      <c r="G691" s="4" t="str">
        <f>HYPERLINK("http://141.218.60.56/~jnz1568/getInfo.php?workbook=14_13.xlsx&amp;sheet=U0&amp;row=691&amp;col=7&amp;number=2.13&amp;sourceID=14","2.13")</f>
        <v>2.13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HYPERLINK("http://141.218.60.56/~jnz1568/getInfo.php?workbook=14_13.xlsx&amp;sheet=U0&amp;row=692&amp;col=6&amp;number=3.8&amp;sourceID=14","3.8")</f>
        <v>3.8</v>
      </c>
      <c r="G692" s="4" t="str">
        <f>HYPERLINK("http://141.218.60.56/~jnz1568/getInfo.php?workbook=14_13.xlsx&amp;sheet=U0&amp;row=692&amp;col=7&amp;number=2.07&amp;sourceID=14","2.07")</f>
        <v>2.07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HYPERLINK("http://141.218.60.56/~jnz1568/getInfo.php?workbook=14_13.xlsx&amp;sheet=U0&amp;row=693&amp;col=6&amp;number=3.9&amp;sourceID=14","3.9")</f>
        <v>3.9</v>
      </c>
      <c r="G693" s="4" t="str">
        <f>HYPERLINK("http://141.218.60.56/~jnz1568/getInfo.php?workbook=14_13.xlsx&amp;sheet=U0&amp;row=693&amp;col=7&amp;number=2.01&amp;sourceID=14","2.01")</f>
        <v>2.01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HYPERLINK("http://141.218.60.56/~jnz1568/getInfo.php?workbook=14_13.xlsx&amp;sheet=U0&amp;row=694&amp;col=6&amp;number=4&amp;sourceID=14","4")</f>
        <v>4</v>
      </c>
      <c r="G694" s="4" t="str">
        <f>HYPERLINK("http://141.218.60.56/~jnz1568/getInfo.php?workbook=14_13.xlsx&amp;sheet=U0&amp;row=694&amp;col=7&amp;number=1.96&amp;sourceID=14","1.96")</f>
        <v>1.96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HYPERLINK("http://141.218.60.56/~jnz1568/getInfo.php?workbook=14_13.xlsx&amp;sheet=U0&amp;row=695&amp;col=6&amp;number=4.1&amp;sourceID=14","4.1")</f>
        <v>4.1</v>
      </c>
      <c r="G695" s="4" t="str">
        <f>HYPERLINK("http://141.218.60.56/~jnz1568/getInfo.php?workbook=14_13.xlsx&amp;sheet=U0&amp;row=695&amp;col=7&amp;number=1.92&amp;sourceID=14","1.92")</f>
        <v>1.92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HYPERLINK("http://141.218.60.56/~jnz1568/getInfo.php?workbook=14_13.xlsx&amp;sheet=U0&amp;row=696&amp;col=6&amp;number=4.2&amp;sourceID=14","4.2")</f>
        <v>4.2</v>
      </c>
      <c r="G696" s="4" t="str">
        <f>HYPERLINK("http://141.218.60.56/~jnz1568/getInfo.php?workbook=14_13.xlsx&amp;sheet=U0&amp;row=696&amp;col=7&amp;number=1.9&amp;sourceID=14","1.9")</f>
        <v>1.9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HYPERLINK("http://141.218.60.56/~jnz1568/getInfo.php?workbook=14_13.xlsx&amp;sheet=U0&amp;row=697&amp;col=6&amp;number=4.3&amp;sourceID=14","4.3")</f>
        <v>4.3</v>
      </c>
      <c r="G697" s="4" t="str">
        <f>HYPERLINK("http://141.218.60.56/~jnz1568/getInfo.php?workbook=14_13.xlsx&amp;sheet=U0&amp;row=697&amp;col=7&amp;number=1.88&amp;sourceID=14","1.88")</f>
        <v>1.88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HYPERLINK("http://141.218.60.56/~jnz1568/getInfo.php?workbook=14_13.xlsx&amp;sheet=U0&amp;row=698&amp;col=6&amp;number=4.4&amp;sourceID=14","4.4")</f>
        <v>4.4</v>
      </c>
      <c r="G698" s="4" t="str">
        <f>HYPERLINK("http://141.218.60.56/~jnz1568/getInfo.php?workbook=14_13.xlsx&amp;sheet=U0&amp;row=698&amp;col=7&amp;number=1.88&amp;sourceID=14","1.88")</f>
        <v>1.88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HYPERLINK("http://141.218.60.56/~jnz1568/getInfo.php?workbook=14_13.xlsx&amp;sheet=U0&amp;row=699&amp;col=6&amp;number=4.5&amp;sourceID=14","4.5")</f>
        <v>4.5</v>
      </c>
      <c r="G699" s="4" t="str">
        <f>HYPERLINK("http://141.218.60.56/~jnz1568/getInfo.php?workbook=14_13.xlsx&amp;sheet=U0&amp;row=699&amp;col=7&amp;number=1.89&amp;sourceID=14","1.89")</f>
        <v>1.89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HYPERLINK("http://141.218.60.56/~jnz1568/getInfo.php?workbook=14_13.xlsx&amp;sheet=U0&amp;row=700&amp;col=6&amp;number=4.6&amp;sourceID=14","4.6")</f>
        <v>4.6</v>
      </c>
      <c r="G700" s="4" t="str">
        <f>HYPERLINK("http://141.218.60.56/~jnz1568/getInfo.php?workbook=14_13.xlsx&amp;sheet=U0&amp;row=700&amp;col=7&amp;number=1.92&amp;sourceID=14","1.92")</f>
        <v>1.92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HYPERLINK("http://141.218.60.56/~jnz1568/getInfo.php?workbook=14_13.xlsx&amp;sheet=U0&amp;row=701&amp;col=6&amp;number=4.7&amp;sourceID=14","4.7")</f>
        <v>4.7</v>
      </c>
      <c r="G701" s="4" t="str">
        <f>HYPERLINK("http://141.218.60.56/~jnz1568/getInfo.php?workbook=14_13.xlsx&amp;sheet=U0&amp;row=701&amp;col=7&amp;number=1.96&amp;sourceID=14","1.96")</f>
        <v>1.96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HYPERLINK("http://141.218.60.56/~jnz1568/getInfo.php?workbook=14_13.xlsx&amp;sheet=U0&amp;row=702&amp;col=6&amp;number=4.8&amp;sourceID=14","4.8")</f>
        <v>4.8</v>
      </c>
      <c r="G702" s="4" t="str">
        <f>HYPERLINK("http://141.218.60.56/~jnz1568/getInfo.php?workbook=14_13.xlsx&amp;sheet=U0&amp;row=702&amp;col=7&amp;number=2.01&amp;sourceID=14","2.01")</f>
        <v>2.01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HYPERLINK("http://141.218.60.56/~jnz1568/getInfo.php?workbook=14_13.xlsx&amp;sheet=U0&amp;row=703&amp;col=6&amp;number=4.9&amp;sourceID=14","4.9")</f>
        <v>4.9</v>
      </c>
      <c r="G703" s="4" t="str">
        <f>HYPERLINK("http://141.218.60.56/~jnz1568/getInfo.php?workbook=14_13.xlsx&amp;sheet=U0&amp;row=703&amp;col=7&amp;number=2.09&amp;sourceID=14","2.09")</f>
        <v>2.09</v>
      </c>
    </row>
    <row r="704" spans="1:7">
      <c r="A704" s="3">
        <v>14</v>
      </c>
      <c r="B704" s="3">
        <v>13</v>
      </c>
      <c r="C704" s="3">
        <v>2</v>
      </c>
      <c r="D704" s="3">
        <v>10</v>
      </c>
      <c r="E704" s="3">
        <v>1</v>
      </c>
      <c r="F704" s="4" t="str">
        <f>HYPERLINK("http://141.218.60.56/~jnz1568/getInfo.php?workbook=14_13.xlsx&amp;sheet=U0&amp;row=704&amp;col=6&amp;number=3&amp;sourceID=14","3")</f>
        <v>3</v>
      </c>
      <c r="G704" s="4" t="str">
        <f>HYPERLINK("http://141.218.60.56/~jnz1568/getInfo.php?workbook=14_13.xlsx&amp;sheet=U0&amp;row=704&amp;col=7&amp;number=2.09&amp;sourceID=14","2.09")</f>
        <v>2.09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HYPERLINK("http://141.218.60.56/~jnz1568/getInfo.php?workbook=14_13.xlsx&amp;sheet=U0&amp;row=705&amp;col=6&amp;number=3.1&amp;sourceID=14","3.1")</f>
        <v>3.1</v>
      </c>
      <c r="G705" s="4" t="str">
        <f>HYPERLINK("http://141.218.60.56/~jnz1568/getInfo.php?workbook=14_13.xlsx&amp;sheet=U0&amp;row=705&amp;col=7&amp;number=2.06&amp;sourceID=14","2.06")</f>
        <v>2.06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HYPERLINK("http://141.218.60.56/~jnz1568/getInfo.php?workbook=14_13.xlsx&amp;sheet=U0&amp;row=706&amp;col=6&amp;number=3.2&amp;sourceID=14","3.2")</f>
        <v>3.2</v>
      </c>
      <c r="G706" s="4" t="str">
        <f>HYPERLINK("http://141.218.60.56/~jnz1568/getInfo.php?workbook=14_13.xlsx&amp;sheet=U0&amp;row=706&amp;col=7&amp;number=2.03&amp;sourceID=14","2.03")</f>
        <v>2.03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HYPERLINK("http://141.218.60.56/~jnz1568/getInfo.php?workbook=14_13.xlsx&amp;sheet=U0&amp;row=707&amp;col=6&amp;number=3.3&amp;sourceID=14","3.3")</f>
        <v>3.3</v>
      </c>
      <c r="G707" s="4" t="str">
        <f>HYPERLINK("http://141.218.60.56/~jnz1568/getInfo.php?workbook=14_13.xlsx&amp;sheet=U0&amp;row=707&amp;col=7&amp;number=1.99&amp;sourceID=14","1.99")</f>
        <v>1.99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HYPERLINK("http://141.218.60.56/~jnz1568/getInfo.php?workbook=14_13.xlsx&amp;sheet=U0&amp;row=708&amp;col=6&amp;number=3.4&amp;sourceID=14","3.4")</f>
        <v>3.4</v>
      </c>
      <c r="G708" s="4" t="str">
        <f>HYPERLINK("http://141.218.60.56/~jnz1568/getInfo.php?workbook=14_13.xlsx&amp;sheet=U0&amp;row=708&amp;col=7&amp;number=1.94&amp;sourceID=14","1.94")</f>
        <v>1.94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HYPERLINK("http://141.218.60.56/~jnz1568/getInfo.php?workbook=14_13.xlsx&amp;sheet=U0&amp;row=709&amp;col=6&amp;number=3.5&amp;sourceID=14","3.5")</f>
        <v>3.5</v>
      </c>
      <c r="G709" s="4" t="str">
        <f>HYPERLINK("http://141.218.60.56/~jnz1568/getInfo.php?workbook=14_13.xlsx&amp;sheet=U0&amp;row=709&amp;col=7&amp;number=1.89&amp;sourceID=14","1.89")</f>
        <v>1.89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HYPERLINK("http://141.218.60.56/~jnz1568/getInfo.php?workbook=14_13.xlsx&amp;sheet=U0&amp;row=710&amp;col=6&amp;number=3.6&amp;sourceID=14","3.6")</f>
        <v>3.6</v>
      </c>
      <c r="G710" s="4" t="str">
        <f>HYPERLINK("http://141.218.60.56/~jnz1568/getInfo.php?workbook=14_13.xlsx&amp;sheet=U0&amp;row=710&amp;col=7&amp;number=1.83&amp;sourceID=14","1.83")</f>
        <v>1.83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HYPERLINK("http://141.218.60.56/~jnz1568/getInfo.php?workbook=14_13.xlsx&amp;sheet=U0&amp;row=711&amp;col=6&amp;number=3.7&amp;sourceID=14","3.7")</f>
        <v>3.7</v>
      </c>
      <c r="G711" s="4" t="str">
        <f>HYPERLINK("http://141.218.60.56/~jnz1568/getInfo.php?workbook=14_13.xlsx&amp;sheet=U0&amp;row=711&amp;col=7&amp;number=1.79&amp;sourceID=14","1.79")</f>
        <v>1.79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HYPERLINK("http://141.218.60.56/~jnz1568/getInfo.php?workbook=14_13.xlsx&amp;sheet=U0&amp;row=712&amp;col=6&amp;number=3.8&amp;sourceID=14","3.8")</f>
        <v>3.8</v>
      </c>
      <c r="G712" s="4" t="str">
        <f>HYPERLINK("http://141.218.60.56/~jnz1568/getInfo.php?workbook=14_13.xlsx&amp;sheet=U0&amp;row=712&amp;col=7&amp;number=1.76&amp;sourceID=14","1.76")</f>
        <v>1.76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HYPERLINK("http://141.218.60.56/~jnz1568/getInfo.php?workbook=14_13.xlsx&amp;sheet=U0&amp;row=713&amp;col=6&amp;number=3.9&amp;sourceID=14","3.9")</f>
        <v>3.9</v>
      </c>
      <c r="G713" s="4" t="str">
        <f>HYPERLINK("http://141.218.60.56/~jnz1568/getInfo.php?workbook=14_13.xlsx&amp;sheet=U0&amp;row=713&amp;col=7&amp;number=1.74&amp;sourceID=14","1.74")</f>
        <v>1.74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HYPERLINK("http://141.218.60.56/~jnz1568/getInfo.php?workbook=14_13.xlsx&amp;sheet=U0&amp;row=714&amp;col=6&amp;number=4&amp;sourceID=14","4")</f>
        <v>4</v>
      </c>
      <c r="G714" s="4" t="str">
        <f>HYPERLINK("http://141.218.60.56/~jnz1568/getInfo.php?workbook=14_13.xlsx&amp;sheet=U0&amp;row=714&amp;col=7&amp;number=1.73&amp;sourceID=14","1.73")</f>
        <v>1.73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HYPERLINK("http://141.218.60.56/~jnz1568/getInfo.php?workbook=14_13.xlsx&amp;sheet=U0&amp;row=715&amp;col=6&amp;number=4.1&amp;sourceID=14","4.1")</f>
        <v>4.1</v>
      </c>
      <c r="G715" s="4" t="str">
        <f>HYPERLINK("http://141.218.60.56/~jnz1568/getInfo.php?workbook=14_13.xlsx&amp;sheet=U0&amp;row=715&amp;col=7&amp;number=1.72&amp;sourceID=14","1.72")</f>
        <v>1.72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HYPERLINK("http://141.218.60.56/~jnz1568/getInfo.php?workbook=14_13.xlsx&amp;sheet=U0&amp;row=716&amp;col=6&amp;number=4.2&amp;sourceID=14","4.2")</f>
        <v>4.2</v>
      </c>
      <c r="G716" s="4" t="str">
        <f>HYPERLINK("http://141.218.60.56/~jnz1568/getInfo.php?workbook=14_13.xlsx&amp;sheet=U0&amp;row=716&amp;col=7&amp;number=1.71&amp;sourceID=14","1.71")</f>
        <v>1.71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HYPERLINK("http://141.218.60.56/~jnz1568/getInfo.php?workbook=14_13.xlsx&amp;sheet=U0&amp;row=717&amp;col=6&amp;number=4.3&amp;sourceID=14","4.3")</f>
        <v>4.3</v>
      </c>
      <c r="G717" s="4" t="str">
        <f>HYPERLINK("http://141.218.60.56/~jnz1568/getInfo.php?workbook=14_13.xlsx&amp;sheet=U0&amp;row=717&amp;col=7&amp;number=1.7&amp;sourceID=14","1.7")</f>
        <v>1.7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HYPERLINK("http://141.218.60.56/~jnz1568/getInfo.php?workbook=14_13.xlsx&amp;sheet=U0&amp;row=718&amp;col=6&amp;number=4.4&amp;sourceID=14","4.4")</f>
        <v>4.4</v>
      </c>
      <c r="G718" s="4" t="str">
        <f>HYPERLINK("http://141.218.60.56/~jnz1568/getInfo.php?workbook=14_13.xlsx&amp;sheet=U0&amp;row=718&amp;col=7&amp;number=1.7&amp;sourceID=14","1.7")</f>
        <v>1.7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HYPERLINK("http://141.218.60.56/~jnz1568/getInfo.php?workbook=14_13.xlsx&amp;sheet=U0&amp;row=719&amp;col=6&amp;number=4.5&amp;sourceID=14","4.5")</f>
        <v>4.5</v>
      </c>
      <c r="G719" s="4" t="str">
        <f>HYPERLINK("http://141.218.60.56/~jnz1568/getInfo.php?workbook=14_13.xlsx&amp;sheet=U0&amp;row=719&amp;col=7&amp;number=1.71&amp;sourceID=14","1.71")</f>
        <v>1.71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HYPERLINK("http://141.218.60.56/~jnz1568/getInfo.php?workbook=14_13.xlsx&amp;sheet=U0&amp;row=720&amp;col=6&amp;number=4.6&amp;sourceID=14","4.6")</f>
        <v>4.6</v>
      </c>
      <c r="G720" s="4" t="str">
        <f>HYPERLINK("http://141.218.60.56/~jnz1568/getInfo.php?workbook=14_13.xlsx&amp;sheet=U0&amp;row=720&amp;col=7&amp;number=1.73&amp;sourceID=14","1.73")</f>
        <v>1.73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HYPERLINK("http://141.218.60.56/~jnz1568/getInfo.php?workbook=14_13.xlsx&amp;sheet=U0&amp;row=721&amp;col=6&amp;number=4.7&amp;sourceID=14","4.7")</f>
        <v>4.7</v>
      </c>
      <c r="G721" s="4" t="str">
        <f>HYPERLINK("http://141.218.60.56/~jnz1568/getInfo.php?workbook=14_13.xlsx&amp;sheet=U0&amp;row=721&amp;col=7&amp;number=1.77&amp;sourceID=14","1.77")</f>
        <v>1.77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HYPERLINK("http://141.218.60.56/~jnz1568/getInfo.php?workbook=14_13.xlsx&amp;sheet=U0&amp;row=722&amp;col=6&amp;number=4.8&amp;sourceID=14","4.8")</f>
        <v>4.8</v>
      </c>
      <c r="G722" s="4" t="str">
        <f>HYPERLINK("http://141.218.60.56/~jnz1568/getInfo.php?workbook=14_13.xlsx&amp;sheet=U0&amp;row=722&amp;col=7&amp;number=1.83&amp;sourceID=14","1.83")</f>
        <v>1.83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HYPERLINK("http://141.218.60.56/~jnz1568/getInfo.php?workbook=14_13.xlsx&amp;sheet=U0&amp;row=723&amp;col=6&amp;number=4.9&amp;sourceID=14","4.9")</f>
        <v>4.9</v>
      </c>
      <c r="G723" s="4" t="str">
        <f>HYPERLINK("http://141.218.60.56/~jnz1568/getInfo.php?workbook=14_13.xlsx&amp;sheet=U0&amp;row=723&amp;col=7&amp;number=1.91&amp;sourceID=14","1.91")</f>
        <v>1.91</v>
      </c>
    </row>
    <row r="724" spans="1:7">
      <c r="A724" s="3">
        <v>14</v>
      </c>
      <c r="B724" s="3">
        <v>13</v>
      </c>
      <c r="C724" s="3">
        <v>2</v>
      </c>
      <c r="D724" s="3">
        <v>11</v>
      </c>
      <c r="E724" s="3">
        <v>1</v>
      </c>
      <c r="F724" s="4" t="str">
        <f>HYPERLINK("http://141.218.60.56/~jnz1568/getInfo.php?workbook=14_13.xlsx&amp;sheet=U0&amp;row=724&amp;col=6&amp;number=3&amp;sourceID=14","3")</f>
        <v>3</v>
      </c>
      <c r="G724" s="4" t="str">
        <f>HYPERLINK("http://141.218.60.56/~jnz1568/getInfo.php?workbook=14_13.xlsx&amp;sheet=U0&amp;row=724&amp;col=7&amp;number=7.27&amp;sourceID=14","7.27")</f>
        <v>7.27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HYPERLINK("http://141.218.60.56/~jnz1568/getInfo.php?workbook=14_13.xlsx&amp;sheet=U0&amp;row=725&amp;col=6&amp;number=3.1&amp;sourceID=14","3.1")</f>
        <v>3.1</v>
      </c>
      <c r="G725" s="4" t="str">
        <f>HYPERLINK("http://141.218.60.56/~jnz1568/getInfo.php?workbook=14_13.xlsx&amp;sheet=U0&amp;row=725&amp;col=7&amp;number=7.22&amp;sourceID=14","7.22")</f>
        <v>7.22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HYPERLINK("http://141.218.60.56/~jnz1568/getInfo.php?workbook=14_13.xlsx&amp;sheet=U0&amp;row=726&amp;col=6&amp;number=3.2&amp;sourceID=14","3.2")</f>
        <v>3.2</v>
      </c>
      <c r="G726" s="4" t="str">
        <f>HYPERLINK("http://141.218.60.56/~jnz1568/getInfo.php?workbook=14_13.xlsx&amp;sheet=U0&amp;row=726&amp;col=7&amp;number=7.15&amp;sourceID=14","7.15")</f>
        <v>7.15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HYPERLINK("http://141.218.60.56/~jnz1568/getInfo.php?workbook=14_13.xlsx&amp;sheet=U0&amp;row=727&amp;col=6&amp;number=3.3&amp;sourceID=14","3.3")</f>
        <v>3.3</v>
      </c>
      <c r="G727" s="4" t="str">
        <f>HYPERLINK("http://141.218.60.56/~jnz1568/getInfo.php?workbook=14_13.xlsx&amp;sheet=U0&amp;row=727&amp;col=7&amp;number=7.08&amp;sourceID=14","7.08")</f>
        <v>7.08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HYPERLINK("http://141.218.60.56/~jnz1568/getInfo.php?workbook=14_13.xlsx&amp;sheet=U0&amp;row=728&amp;col=6&amp;number=3.4&amp;sourceID=14","3.4")</f>
        <v>3.4</v>
      </c>
      <c r="G728" s="4" t="str">
        <f>HYPERLINK("http://141.218.60.56/~jnz1568/getInfo.php?workbook=14_13.xlsx&amp;sheet=U0&amp;row=728&amp;col=7&amp;number=7&amp;sourceID=14","7")</f>
        <v>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HYPERLINK("http://141.218.60.56/~jnz1568/getInfo.php?workbook=14_13.xlsx&amp;sheet=U0&amp;row=729&amp;col=6&amp;number=3.5&amp;sourceID=14","3.5")</f>
        <v>3.5</v>
      </c>
      <c r="G729" s="4" t="str">
        <f>HYPERLINK("http://141.218.60.56/~jnz1568/getInfo.php?workbook=14_13.xlsx&amp;sheet=U0&amp;row=729&amp;col=7&amp;number=6.91&amp;sourceID=14","6.91")</f>
        <v>6.91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HYPERLINK("http://141.218.60.56/~jnz1568/getInfo.php?workbook=14_13.xlsx&amp;sheet=U0&amp;row=730&amp;col=6&amp;number=3.6&amp;sourceID=14","3.6")</f>
        <v>3.6</v>
      </c>
      <c r="G730" s="4" t="str">
        <f>HYPERLINK("http://141.218.60.56/~jnz1568/getInfo.php?workbook=14_13.xlsx&amp;sheet=U0&amp;row=730&amp;col=7&amp;number=6.82&amp;sourceID=14","6.82")</f>
        <v>6.82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HYPERLINK("http://141.218.60.56/~jnz1568/getInfo.php?workbook=14_13.xlsx&amp;sheet=U0&amp;row=731&amp;col=6&amp;number=3.7&amp;sourceID=14","3.7")</f>
        <v>3.7</v>
      </c>
      <c r="G731" s="4" t="str">
        <f>HYPERLINK("http://141.218.60.56/~jnz1568/getInfo.php?workbook=14_13.xlsx&amp;sheet=U0&amp;row=731&amp;col=7&amp;number=6.75&amp;sourceID=14","6.75")</f>
        <v>6.75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HYPERLINK("http://141.218.60.56/~jnz1568/getInfo.php?workbook=14_13.xlsx&amp;sheet=U0&amp;row=732&amp;col=6&amp;number=3.8&amp;sourceID=14","3.8")</f>
        <v>3.8</v>
      </c>
      <c r="G732" s="4" t="str">
        <f>HYPERLINK("http://141.218.60.56/~jnz1568/getInfo.php?workbook=14_13.xlsx&amp;sheet=U0&amp;row=732&amp;col=7&amp;number=6.72&amp;sourceID=14","6.72")</f>
        <v>6.72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HYPERLINK("http://141.218.60.56/~jnz1568/getInfo.php?workbook=14_13.xlsx&amp;sheet=U0&amp;row=733&amp;col=6&amp;number=3.9&amp;sourceID=14","3.9")</f>
        <v>3.9</v>
      </c>
      <c r="G733" s="4" t="str">
        <f>HYPERLINK("http://141.218.60.56/~jnz1568/getInfo.php?workbook=14_13.xlsx&amp;sheet=U0&amp;row=733&amp;col=7&amp;number=6.75&amp;sourceID=14","6.75")</f>
        <v>6.75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HYPERLINK("http://141.218.60.56/~jnz1568/getInfo.php?workbook=14_13.xlsx&amp;sheet=U0&amp;row=734&amp;col=6&amp;number=4&amp;sourceID=14","4")</f>
        <v>4</v>
      </c>
      <c r="G734" s="4" t="str">
        <f>HYPERLINK("http://141.218.60.56/~jnz1568/getInfo.php?workbook=14_13.xlsx&amp;sheet=U0&amp;row=734&amp;col=7&amp;number=6.82&amp;sourceID=14","6.82")</f>
        <v>6.82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HYPERLINK("http://141.218.60.56/~jnz1568/getInfo.php?workbook=14_13.xlsx&amp;sheet=U0&amp;row=735&amp;col=6&amp;number=4.1&amp;sourceID=14","4.1")</f>
        <v>4.1</v>
      </c>
      <c r="G735" s="4" t="str">
        <f>HYPERLINK("http://141.218.60.56/~jnz1568/getInfo.php?workbook=14_13.xlsx&amp;sheet=U0&amp;row=735&amp;col=7&amp;number=6.93&amp;sourceID=14","6.93")</f>
        <v>6.93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HYPERLINK("http://141.218.60.56/~jnz1568/getInfo.php?workbook=14_13.xlsx&amp;sheet=U0&amp;row=736&amp;col=6&amp;number=4.2&amp;sourceID=14","4.2")</f>
        <v>4.2</v>
      </c>
      <c r="G736" s="4" t="str">
        <f>HYPERLINK("http://141.218.60.56/~jnz1568/getInfo.php?workbook=14_13.xlsx&amp;sheet=U0&amp;row=736&amp;col=7&amp;number=7.07&amp;sourceID=14","7.07")</f>
        <v>7.07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HYPERLINK("http://141.218.60.56/~jnz1568/getInfo.php?workbook=14_13.xlsx&amp;sheet=U0&amp;row=737&amp;col=6&amp;number=4.3&amp;sourceID=14","4.3")</f>
        <v>4.3</v>
      </c>
      <c r="G737" s="4" t="str">
        <f>HYPERLINK("http://141.218.60.56/~jnz1568/getInfo.php?workbook=14_13.xlsx&amp;sheet=U0&amp;row=737&amp;col=7&amp;number=7.27&amp;sourceID=14","7.27")</f>
        <v>7.27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HYPERLINK("http://141.218.60.56/~jnz1568/getInfo.php?workbook=14_13.xlsx&amp;sheet=U0&amp;row=738&amp;col=6&amp;number=4.4&amp;sourceID=14","4.4")</f>
        <v>4.4</v>
      </c>
      <c r="G738" s="4" t="str">
        <f>HYPERLINK("http://141.218.60.56/~jnz1568/getInfo.php?workbook=14_13.xlsx&amp;sheet=U0&amp;row=738&amp;col=7&amp;number=7.55&amp;sourceID=14","7.55")</f>
        <v>7.55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HYPERLINK("http://141.218.60.56/~jnz1568/getInfo.php?workbook=14_13.xlsx&amp;sheet=U0&amp;row=739&amp;col=6&amp;number=4.5&amp;sourceID=14","4.5")</f>
        <v>4.5</v>
      </c>
      <c r="G739" s="4" t="str">
        <f>HYPERLINK("http://141.218.60.56/~jnz1568/getInfo.php?workbook=14_13.xlsx&amp;sheet=U0&amp;row=739&amp;col=7&amp;number=7.92&amp;sourceID=14","7.92")</f>
        <v>7.92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HYPERLINK("http://141.218.60.56/~jnz1568/getInfo.php?workbook=14_13.xlsx&amp;sheet=U0&amp;row=740&amp;col=6&amp;number=4.6&amp;sourceID=14","4.6")</f>
        <v>4.6</v>
      </c>
      <c r="G740" s="4" t="str">
        <f>HYPERLINK("http://141.218.60.56/~jnz1568/getInfo.php?workbook=14_13.xlsx&amp;sheet=U0&amp;row=740&amp;col=7&amp;number=8.42&amp;sourceID=14","8.42")</f>
        <v>8.42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HYPERLINK("http://141.218.60.56/~jnz1568/getInfo.php?workbook=14_13.xlsx&amp;sheet=U0&amp;row=741&amp;col=6&amp;number=4.7&amp;sourceID=14","4.7")</f>
        <v>4.7</v>
      </c>
      <c r="G741" s="4" t="str">
        <f>HYPERLINK("http://141.218.60.56/~jnz1568/getInfo.php?workbook=14_13.xlsx&amp;sheet=U0&amp;row=741&amp;col=7&amp;number=9.08&amp;sourceID=14","9.08")</f>
        <v>9.08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HYPERLINK("http://141.218.60.56/~jnz1568/getInfo.php?workbook=14_13.xlsx&amp;sheet=U0&amp;row=742&amp;col=6&amp;number=4.8&amp;sourceID=14","4.8")</f>
        <v>4.8</v>
      </c>
      <c r="G742" s="4" t="str">
        <f>HYPERLINK("http://141.218.60.56/~jnz1568/getInfo.php?workbook=14_13.xlsx&amp;sheet=U0&amp;row=742&amp;col=7&amp;number=9.94&amp;sourceID=14","9.94")</f>
        <v>9.94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HYPERLINK("http://141.218.60.56/~jnz1568/getInfo.php?workbook=14_13.xlsx&amp;sheet=U0&amp;row=743&amp;col=6&amp;number=4.9&amp;sourceID=14","4.9")</f>
        <v>4.9</v>
      </c>
      <c r="G743" s="4" t="str">
        <f>HYPERLINK("http://141.218.60.56/~jnz1568/getInfo.php?workbook=14_13.xlsx&amp;sheet=U0&amp;row=743&amp;col=7&amp;number=11.1&amp;sourceID=14","11.1")</f>
        <v>11.1</v>
      </c>
    </row>
    <row r="744" spans="1:7">
      <c r="A744" s="3">
        <v>14</v>
      </c>
      <c r="B744" s="3">
        <v>13</v>
      </c>
      <c r="C744" s="3">
        <v>2</v>
      </c>
      <c r="D744" s="3">
        <v>12</v>
      </c>
      <c r="E744" s="3">
        <v>1</v>
      </c>
      <c r="F744" s="4" t="str">
        <f>HYPERLINK("http://141.218.60.56/~jnz1568/getInfo.php?workbook=14_13.xlsx&amp;sheet=U0&amp;row=744&amp;col=6&amp;number=3&amp;sourceID=14","3")</f>
        <v>3</v>
      </c>
      <c r="G744" s="4" t="str">
        <f>HYPERLINK("http://141.218.60.56/~jnz1568/getInfo.php?workbook=14_13.xlsx&amp;sheet=U0&amp;row=744&amp;col=7&amp;number=0.524&amp;sourceID=14","0.524")</f>
        <v>0.524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HYPERLINK("http://141.218.60.56/~jnz1568/getInfo.php?workbook=14_13.xlsx&amp;sheet=U0&amp;row=745&amp;col=6&amp;number=3.1&amp;sourceID=14","3.1")</f>
        <v>3.1</v>
      </c>
      <c r="G745" s="4" t="str">
        <f>HYPERLINK("http://141.218.60.56/~jnz1568/getInfo.php?workbook=14_13.xlsx&amp;sheet=U0&amp;row=745&amp;col=7&amp;number=0.527&amp;sourceID=14","0.527")</f>
        <v>0.527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HYPERLINK("http://141.218.60.56/~jnz1568/getInfo.php?workbook=14_13.xlsx&amp;sheet=U0&amp;row=746&amp;col=6&amp;number=3.2&amp;sourceID=14","3.2")</f>
        <v>3.2</v>
      </c>
      <c r="G746" s="4" t="str">
        <f>HYPERLINK("http://141.218.60.56/~jnz1568/getInfo.php?workbook=14_13.xlsx&amp;sheet=U0&amp;row=746&amp;col=7&amp;number=0.531&amp;sourceID=14","0.531")</f>
        <v>0.531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HYPERLINK("http://141.218.60.56/~jnz1568/getInfo.php?workbook=14_13.xlsx&amp;sheet=U0&amp;row=747&amp;col=6&amp;number=3.3&amp;sourceID=14","3.3")</f>
        <v>3.3</v>
      </c>
      <c r="G747" s="4" t="str">
        <f>HYPERLINK("http://141.218.60.56/~jnz1568/getInfo.php?workbook=14_13.xlsx&amp;sheet=U0&amp;row=747&amp;col=7&amp;number=0.535&amp;sourceID=14","0.535")</f>
        <v>0.535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HYPERLINK("http://141.218.60.56/~jnz1568/getInfo.php?workbook=14_13.xlsx&amp;sheet=U0&amp;row=748&amp;col=6&amp;number=3.4&amp;sourceID=14","3.4")</f>
        <v>3.4</v>
      </c>
      <c r="G748" s="4" t="str">
        <f>HYPERLINK("http://141.218.60.56/~jnz1568/getInfo.php?workbook=14_13.xlsx&amp;sheet=U0&amp;row=748&amp;col=7&amp;number=0.539&amp;sourceID=14","0.539")</f>
        <v>0.539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HYPERLINK("http://141.218.60.56/~jnz1568/getInfo.php?workbook=14_13.xlsx&amp;sheet=U0&amp;row=749&amp;col=6&amp;number=3.5&amp;sourceID=14","3.5")</f>
        <v>3.5</v>
      </c>
      <c r="G749" s="4" t="str">
        <f>HYPERLINK("http://141.218.60.56/~jnz1568/getInfo.php?workbook=14_13.xlsx&amp;sheet=U0&amp;row=749&amp;col=7&amp;number=0.543&amp;sourceID=14","0.543")</f>
        <v>0.543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HYPERLINK("http://141.218.60.56/~jnz1568/getInfo.php?workbook=14_13.xlsx&amp;sheet=U0&amp;row=750&amp;col=6&amp;number=3.6&amp;sourceID=14","3.6")</f>
        <v>3.6</v>
      </c>
      <c r="G750" s="4" t="str">
        <f>HYPERLINK("http://141.218.60.56/~jnz1568/getInfo.php?workbook=14_13.xlsx&amp;sheet=U0&amp;row=750&amp;col=7&amp;number=0.545&amp;sourceID=14","0.545")</f>
        <v>0.545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HYPERLINK("http://141.218.60.56/~jnz1568/getInfo.php?workbook=14_13.xlsx&amp;sheet=U0&amp;row=751&amp;col=6&amp;number=3.7&amp;sourceID=14","3.7")</f>
        <v>3.7</v>
      </c>
      <c r="G751" s="4" t="str">
        <f>HYPERLINK("http://141.218.60.56/~jnz1568/getInfo.php?workbook=14_13.xlsx&amp;sheet=U0&amp;row=751&amp;col=7&amp;number=0.546&amp;sourceID=14","0.546")</f>
        <v>0.546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HYPERLINK("http://141.218.60.56/~jnz1568/getInfo.php?workbook=14_13.xlsx&amp;sheet=U0&amp;row=752&amp;col=6&amp;number=3.8&amp;sourceID=14","3.8")</f>
        <v>3.8</v>
      </c>
      <c r="G752" s="4" t="str">
        <f>HYPERLINK("http://141.218.60.56/~jnz1568/getInfo.php?workbook=14_13.xlsx&amp;sheet=U0&amp;row=752&amp;col=7&amp;number=0.545&amp;sourceID=14","0.545")</f>
        <v>0.545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HYPERLINK("http://141.218.60.56/~jnz1568/getInfo.php?workbook=14_13.xlsx&amp;sheet=U0&amp;row=753&amp;col=6&amp;number=3.9&amp;sourceID=14","3.9")</f>
        <v>3.9</v>
      </c>
      <c r="G753" s="4" t="str">
        <f>HYPERLINK("http://141.218.60.56/~jnz1568/getInfo.php?workbook=14_13.xlsx&amp;sheet=U0&amp;row=753&amp;col=7&amp;number=0.543&amp;sourceID=14","0.543")</f>
        <v>0.543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HYPERLINK("http://141.218.60.56/~jnz1568/getInfo.php?workbook=14_13.xlsx&amp;sheet=U0&amp;row=754&amp;col=6&amp;number=4&amp;sourceID=14","4")</f>
        <v>4</v>
      </c>
      <c r="G754" s="4" t="str">
        <f>HYPERLINK("http://141.218.60.56/~jnz1568/getInfo.php?workbook=14_13.xlsx&amp;sheet=U0&amp;row=754&amp;col=7&amp;number=0.54&amp;sourceID=14","0.54")</f>
        <v>0.54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HYPERLINK("http://141.218.60.56/~jnz1568/getInfo.php?workbook=14_13.xlsx&amp;sheet=U0&amp;row=755&amp;col=6&amp;number=4.1&amp;sourceID=14","4.1")</f>
        <v>4.1</v>
      </c>
      <c r="G755" s="4" t="str">
        <f>HYPERLINK("http://141.218.60.56/~jnz1568/getInfo.php?workbook=14_13.xlsx&amp;sheet=U0&amp;row=755&amp;col=7&amp;number=0.532&amp;sourceID=14","0.532")</f>
        <v>0.532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HYPERLINK("http://141.218.60.56/~jnz1568/getInfo.php?workbook=14_13.xlsx&amp;sheet=U0&amp;row=756&amp;col=6&amp;number=4.2&amp;sourceID=14","4.2")</f>
        <v>4.2</v>
      </c>
      <c r="G756" s="4" t="str">
        <f>HYPERLINK("http://141.218.60.56/~jnz1568/getInfo.php?workbook=14_13.xlsx&amp;sheet=U0&amp;row=756&amp;col=7&amp;number=0.521&amp;sourceID=14","0.521")</f>
        <v>0.521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HYPERLINK("http://141.218.60.56/~jnz1568/getInfo.php?workbook=14_13.xlsx&amp;sheet=U0&amp;row=757&amp;col=6&amp;number=4.3&amp;sourceID=14","4.3")</f>
        <v>4.3</v>
      </c>
      <c r="G757" s="4" t="str">
        <f>HYPERLINK("http://141.218.60.56/~jnz1568/getInfo.php?workbook=14_13.xlsx&amp;sheet=U0&amp;row=757&amp;col=7&amp;number=0.507&amp;sourceID=14","0.507")</f>
        <v>0.507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HYPERLINK("http://141.218.60.56/~jnz1568/getInfo.php?workbook=14_13.xlsx&amp;sheet=U0&amp;row=758&amp;col=6&amp;number=4.4&amp;sourceID=14","4.4")</f>
        <v>4.4</v>
      </c>
      <c r="G758" s="4" t="str">
        <f>HYPERLINK("http://141.218.60.56/~jnz1568/getInfo.php?workbook=14_13.xlsx&amp;sheet=U0&amp;row=758&amp;col=7&amp;number=0.49&amp;sourceID=14","0.49")</f>
        <v>0.49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HYPERLINK("http://141.218.60.56/~jnz1568/getInfo.php?workbook=14_13.xlsx&amp;sheet=U0&amp;row=759&amp;col=6&amp;number=4.5&amp;sourceID=14","4.5")</f>
        <v>4.5</v>
      </c>
      <c r="G759" s="4" t="str">
        <f>HYPERLINK("http://141.218.60.56/~jnz1568/getInfo.php?workbook=14_13.xlsx&amp;sheet=U0&amp;row=759&amp;col=7&amp;number=0.474&amp;sourceID=14","0.474")</f>
        <v>0.474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HYPERLINK("http://141.218.60.56/~jnz1568/getInfo.php?workbook=14_13.xlsx&amp;sheet=U0&amp;row=760&amp;col=6&amp;number=4.6&amp;sourceID=14","4.6")</f>
        <v>4.6</v>
      </c>
      <c r="G760" s="4" t="str">
        <f>HYPERLINK("http://141.218.60.56/~jnz1568/getInfo.php?workbook=14_13.xlsx&amp;sheet=U0&amp;row=760&amp;col=7&amp;number=0.457&amp;sourceID=14","0.457")</f>
        <v>0.457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HYPERLINK("http://141.218.60.56/~jnz1568/getInfo.php?workbook=14_13.xlsx&amp;sheet=U0&amp;row=761&amp;col=6&amp;number=4.7&amp;sourceID=14","4.7")</f>
        <v>4.7</v>
      </c>
      <c r="G761" s="4" t="str">
        <f>HYPERLINK("http://141.218.60.56/~jnz1568/getInfo.php?workbook=14_13.xlsx&amp;sheet=U0&amp;row=761&amp;col=7&amp;number=0.442&amp;sourceID=14","0.442")</f>
        <v>0.442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HYPERLINK("http://141.218.60.56/~jnz1568/getInfo.php?workbook=14_13.xlsx&amp;sheet=U0&amp;row=762&amp;col=6&amp;number=4.8&amp;sourceID=14","4.8")</f>
        <v>4.8</v>
      </c>
      <c r="G762" s="4" t="str">
        <f>HYPERLINK("http://141.218.60.56/~jnz1568/getInfo.php?workbook=14_13.xlsx&amp;sheet=U0&amp;row=762&amp;col=7&amp;number=0.429&amp;sourceID=14","0.429")</f>
        <v>0.429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HYPERLINK("http://141.218.60.56/~jnz1568/getInfo.php?workbook=14_13.xlsx&amp;sheet=U0&amp;row=763&amp;col=6&amp;number=4.9&amp;sourceID=14","4.9")</f>
        <v>4.9</v>
      </c>
      <c r="G763" s="4" t="str">
        <f>HYPERLINK("http://141.218.60.56/~jnz1568/getInfo.php?workbook=14_13.xlsx&amp;sheet=U0&amp;row=763&amp;col=7&amp;number=0.417&amp;sourceID=14","0.417")</f>
        <v>0.417</v>
      </c>
    </row>
    <row r="764" spans="1:7">
      <c r="A764" s="3">
        <v>14</v>
      </c>
      <c r="B764" s="3">
        <v>13</v>
      </c>
      <c r="C764" s="3">
        <v>2</v>
      </c>
      <c r="D764" s="3">
        <v>13</v>
      </c>
      <c r="E764" s="3">
        <v>1</v>
      </c>
      <c r="F764" s="4" t="str">
        <f>HYPERLINK("http://141.218.60.56/~jnz1568/getInfo.php?workbook=14_13.xlsx&amp;sheet=U0&amp;row=764&amp;col=6&amp;number=3&amp;sourceID=14","3")</f>
        <v>3</v>
      </c>
      <c r="G764" s="4" t="str">
        <f>HYPERLINK("http://141.218.60.56/~jnz1568/getInfo.php?workbook=14_13.xlsx&amp;sheet=U0&amp;row=764&amp;col=7&amp;number=1.68&amp;sourceID=14","1.68")</f>
        <v>1.68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HYPERLINK("http://141.218.60.56/~jnz1568/getInfo.php?workbook=14_13.xlsx&amp;sheet=U0&amp;row=765&amp;col=6&amp;number=3.1&amp;sourceID=14","3.1")</f>
        <v>3.1</v>
      </c>
      <c r="G765" s="4" t="str">
        <f>HYPERLINK("http://141.218.60.56/~jnz1568/getInfo.php?workbook=14_13.xlsx&amp;sheet=U0&amp;row=765&amp;col=7&amp;number=1.68&amp;sourceID=14","1.68")</f>
        <v>1.68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HYPERLINK("http://141.218.60.56/~jnz1568/getInfo.php?workbook=14_13.xlsx&amp;sheet=U0&amp;row=766&amp;col=6&amp;number=3.2&amp;sourceID=14","3.2")</f>
        <v>3.2</v>
      </c>
      <c r="G766" s="4" t="str">
        <f>HYPERLINK("http://141.218.60.56/~jnz1568/getInfo.php?workbook=14_13.xlsx&amp;sheet=U0&amp;row=766&amp;col=7&amp;number=1.68&amp;sourceID=14","1.68")</f>
        <v>1.68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HYPERLINK("http://141.218.60.56/~jnz1568/getInfo.php?workbook=14_13.xlsx&amp;sheet=U0&amp;row=767&amp;col=6&amp;number=3.3&amp;sourceID=14","3.3")</f>
        <v>3.3</v>
      </c>
      <c r="G767" s="4" t="str">
        <f>HYPERLINK("http://141.218.60.56/~jnz1568/getInfo.php?workbook=14_13.xlsx&amp;sheet=U0&amp;row=767&amp;col=7&amp;number=1.67&amp;sourceID=14","1.67")</f>
        <v>1.67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HYPERLINK("http://141.218.60.56/~jnz1568/getInfo.php?workbook=14_13.xlsx&amp;sheet=U0&amp;row=768&amp;col=6&amp;number=3.4&amp;sourceID=14","3.4")</f>
        <v>3.4</v>
      </c>
      <c r="G768" s="4" t="str">
        <f>HYPERLINK("http://141.218.60.56/~jnz1568/getInfo.php?workbook=14_13.xlsx&amp;sheet=U0&amp;row=768&amp;col=7&amp;number=1.67&amp;sourceID=14","1.67")</f>
        <v>1.67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HYPERLINK("http://141.218.60.56/~jnz1568/getInfo.php?workbook=14_13.xlsx&amp;sheet=U0&amp;row=769&amp;col=6&amp;number=3.5&amp;sourceID=14","3.5")</f>
        <v>3.5</v>
      </c>
      <c r="G769" s="4" t="str">
        <f>HYPERLINK("http://141.218.60.56/~jnz1568/getInfo.php?workbook=14_13.xlsx&amp;sheet=U0&amp;row=769&amp;col=7&amp;number=1.67&amp;sourceID=14","1.67")</f>
        <v>1.67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HYPERLINK("http://141.218.60.56/~jnz1568/getInfo.php?workbook=14_13.xlsx&amp;sheet=U0&amp;row=770&amp;col=6&amp;number=3.6&amp;sourceID=14","3.6")</f>
        <v>3.6</v>
      </c>
      <c r="G770" s="4" t="str">
        <f>HYPERLINK("http://141.218.60.56/~jnz1568/getInfo.php?workbook=14_13.xlsx&amp;sheet=U0&amp;row=770&amp;col=7&amp;number=1.66&amp;sourceID=14","1.66")</f>
        <v>1.66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HYPERLINK("http://141.218.60.56/~jnz1568/getInfo.php?workbook=14_13.xlsx&amp;sheet=U0&amp;row=771&amp;col=6&amp;number=3.7&amp;sourceID=14","3.7")</f>
        <v>3.7</v>
      </c>
      <c r="G771" s="4" t="str">
        <f>HYPERLINK("http://141.218.60.56/~jnz1568/getInfo.php?workbook=14_13.xlsx&amp;sheet=U0&amp;row=771&amp;col=7&amp;number=1.66&amp;sourceID=14","1.66")</f>
        <v>1.66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HYPERLINK("http://141.218.60.56/~jnz1568/getInfo.php?workbook=14_13.xlsx&amp;sheet=U0&amp;row=772&amp;col=6&amp;number=3.8&amp;sourceID=14","3.8")</f>
        <v>3.8</v>
      </c>
      <c r="G772" s="4" t="str">
        <f>HYPERLINK("http://141.218.60.56/~jnz1568/getInfo.php?workbook=14_13.xlsx&amp;sheet=U0&amp;row=772&amp;col=7&amp;number=1.65&amp;sourceID=14","1.65")</f>
        <v>1.65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HYPERLINK("http://141.218.60.56/~jnz1568/getInfo.php?workbook=14_13.xlsx&amp;sheet=U0&amp;row=773&amp;col=6&amp;number=3.9&amp;sourceID=14","3.9")</f>
        <v>3.9</v>
      </c>
      <c r="G773" s="4" t="str">
        <f>HYPERLINK("http://141.218.60.56/~jnz1568/getInfo.php?workbook=14_13.xlsx&amp;sheet=U0&amp;row=773&amp;col=7&amp;number=1.64&amp;sourceID=14","1.64")</f>
        <v>1.64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HYPERLINK("http://141.218.60.56/~jnz1568/getInfo.php?workbook=14_13.xlsx&amp;sheet=U0&amp;row=774&amp;col=6&amp;number=4&amp;sourceID=14","4")</f>
        <v>4</v>
      </c>
      <c r="G774" s="4" t="str">
        <f>HYPERLINK("http://141.218.60.56/~jnz1568/getInfo.php?workbook=14_13.xlsx&amp;sheet=U0&amp;row=774&amp;col=7&amp;number=1.63&amp;sourceID=14","1.63")</f>
        <v>1.63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HYPERLINK("http://141.218.60.56/~jnz1568/getInfo.php?workbook=14_13.xlsx&amp;sheet=U0&amp;row=775&amp;col=6&amp;number=4.1&amp;sourceID=14","4.1")</f>
        <v>4.1</v>
      </c>
      <c r="G775" s="4" t="str">
        <f>HYPERLINK("http://141.218.60.56/~jnz1568/getInfo.php?workbook=14_13.xlsx&amp;sheet=U0&amp;row=775&amp;col=7&amp;number=1.61&amp;sourceID=14","1.61")</f>
        <v>1.61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HYPERLINK("http://141.218.60.56/~jnz1568/getInfo.php?workbook=14_13.xlsx&amp;sheet=U0&amp;row=776&amp;col=6&amp;number=4.2&amp;sourceID=14","4.2")</f>
        <v>4.2</v>
      </c>
      <c r="G776" s="4" t="str">
        <f>HYPERLINK("http://141.218.60.56/~jnz1568/getInfo.php?workbook=14_13.xlsx&amp;sheet=U0&amp;row=776&amp;col=7&amp;number=1.58&amp;sourceID=14","1.58")</f>
        <v>1.58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HYPERLINK("http://141.218.60.56/~jnz1568/getInfo.php?workbook=14_13.xlsx&amp;sheet=U0&amp;row=777&amp;col=6&amp;number=4.3&amp;sourceID=14","4.3")</f>
        <v>4.3</v>
      </c>
      <c r="G777" s="4" t="str">
        <f>HYPERLINK("http://141.218.60.56/~jnz1568/getInfo.php?workbook=14_13.xlsx&amp;sheet=U0&amp;row=777&amp;col=7&amp;number=1.55&amp;sourceID=14","1.55")</f>
        <v>1.55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HYPERLINK("http://141.218.60.56/~jnz1568/getInfo.php?workbook=14_13.xlsx&amp;sheet=U0&amp;row=778&amp;col=6&amp;number=4.4&amp;sourceID=14","4.4")</f>
        <v>4.4</v>
      </c>
      <c r="G778" s="4" t="str">
        <f>HYPERLINK("http://141.218.60.56/~jnz1568/getInfo.php?workbook=14_13.xlsx&amp;sheet=U0&amp;row=778&amp;col=7&amp;number=1.52&amp;sourceID=14","1.52")</f>
        <v>1.52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HYPERLINK("http://141.218.60.56/~jnz1568/getInfo.php?workbook=14_13.xlsx&amp;sheet=U0&amp;row=779&amp;col=6&amp;number=4.5&amp;sourceID=14","4.5")</f>
        <v>4.5</v>
      </c>
      <c r="G779" s="4" t="str">
        <f>HYPERLINK("http://141.218.60.56/~jnz1568/getInfo.php?workbook=14_13.xlsx&amp;sheet=U0&amp;row=779&amp;col=7&amp;number=1.5&amp;sourceID=14","1.5")</f>
        <v>1.5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HYPERLINK("http://141.218.60.56/~jnz1568/getInfo.php?workbook=14_13.xlsx&amp;sheet=U0&amp;row=780&amp;col=6&amp;number=4.6&amp;sourceID=14","4.6")</f>
        <v>4.6</v>
      </c>
      <c r="G780" s="4" t="str">
        <f>HYPERLINK("http://141.218.60.56/~jnz1568/getInfo.php?workbook=14_13.xlsx&amp;sheet=U0&amp;row=780&amp;col=7&amp;number=1.48&amp;sourceID=14","1.48")</f>
        <v>1.48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HYPERLINK("http://141.218.60.56/~jnz1568/getInfo.php?workbook=14_13.xlsx&amp;sheet=U0&amp;row=781&amp;col=6&amp;number=4.7&amp;sourceID=14","4.7")</f>
        <v>4.7</v>
      </c>
      <c r="G781" s="4" t="str">
        <f>HYPERLINK("http://141.218.60.56/~jnz1568/getInfo.php?workbook=14_13.xlsx&amp;sheet=U0&amp;row=781&amp;col=7&amp;number=1.47&amp;sourceID=14","1.47")</f>
        <v>1.47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HYPERLINK("http://141.218.60.56/~jnz1568/getInfo.php?workbook=14_13.xlsx&amp;sheet=U0&amp;row=782&amp;col=6&amp;number=4.8&amp;sourceID=14","4.8")</f>
        <v>4.8</v>
      </c>
      <c r="G782" s="4" t="str">
        <f>HYPERLINK("http://141.218.60.56/~jnz1568/getInfo.php?workbook=14_13.xlsx&amp;sheet=U0&amp;row=782&amp;col=7&amp;number=1.48&amp;sourceID=14","1.48")</f>
        <v>1.48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HYPERLINK("http://141.218.60.56/~jnz1568/getInfo.php?workbook=14_13.xlsx&amp;sheet=U0&amp;row=783&amp;col=6&amp;number=4.9&amp;sourceID=14","4.9")</f>
        <v>4.9</v>
      </c>
      <c r="G783" s="4" t="str">
        <f>HYPERLINK("http://141.218.60.56/~jnz1568/getInfo.php?workbook=14_13.xlsx&amp;sheet=U0&amp;row=783&amp;col=7&amp;number=1.5&amp;sourceID=14","1.5")</f>
        <v>1.5</v>
      </c>
    </row>
    <row r="784" spans="1:7">
      <c r="A784" s="3">
        <v>14</v>
      </c>
      <c r="B784" s="3">
        <v>13</v>
      </c>
      <c r="C784" s="3">
        <v>2</v>
      </c>
      <c r="D784" s="3">
        <v>14</v>
      </c>
      <c r="E784" s="3">
        <v>1</v>
      </c>
      <c r="F784" s="4" t="str">
        <f>HYPERLINK("http://141.218.60.56/~jnz1568/getInfo.php?workbook=14_13.xlsx&amp;sheet=U0&amp;row=784&amp;col=6&amp;number=3&amp;sourceID=14","3")</f>
        <v>3</v>
      </c>
      <c r="G784" s="4" t="str">
        <f>HYPERLINK("http://141.218.60.56/~jnz1568/getInfo.php?workbook=14_13.xlsx&amp;sheet=U0&amp;row=784&amp;col=7&amp;number=2.26&amp;sourceID=14","2.26")</f>
        <v>2.26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HYPERLINK("http://141.218.60.56/~jnz1568/getInfo.php?workbook=14_13.xlsx&amp;sheet=U0&amp;row=785&amp;col=6&amp;number=3.1&amp;sourceID=14","3.1")</f>
        <v>3.1</v>
      </c>
      <c r="G785" s="4" t="str">
        <f>HYPERLINK("http://141.218.60.56/~jnz1568/getInfo.php?workbook=14_13.xlsx&amp;sheet=U0&amp;row=785&amp;col=7&amp;number=2.22&amp;sourceID=14","2.22")</f>
        <v>2.22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HYPERLINK("http://141.218.60.56/~jnz1568/getInfo.php?workbook=14_13.xlsx&amp;sheet=U0&amp;row=786&amp;col=6&amp;number=3.2&amp;sourceID=14","3.2")</f>
        <v>3.2</v>
      </c>
      <c r="G786" s="4" t="str">
        <f>HYPERLINK("http://141.218.60.56/~jnz1568/getInfo.php?workbook=14_13.xlsx&amp;sheet=U0&amp;row=786&amp;col=7&amp;number=2.17&amp;sourceID=14","2.17")</f>
        <v>2.17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HYPERLINK("http://141.218.60.56/~jnz1568/getInfo.php?workbook=14_13.xlsx&amp;sheet=U0&amp;row=787&amp;col=6&amp;number=3.3&amp;sourceID=14","3.3")</f>
        <v>3.3</v>
      </c>
      <c r="G787" s="4" t="str">
        <f>HYPERLINK("http://141.218.60.56/~jnz1568/getInfo.php?workbook=14_13.xlsx&amp;sheet=U0&amp;row=787&amp;col=7&amp;number=2.11&amp;sourceID=14","2.11")</f>
        <v>2.11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HYPERLINK("http://141.218.60.56/~jnz1568/getInfo.php?workbook=14_13.xlsx&amp;sheet=U0&amp;row=788&amp;col=6&amp;number=3.4&amp;sourceID=14","3.4")</f>
        <v>3.4</v>
      </c>
      <c r="G788" s="4" t="str">
        <f>HYPERLINK("http://141.218.60.56/~jnz1568/getInfo.php?workbook=14_13.xlsx&amp;sheet=U0&amp;row=788&amp;col=7&amp;number=2.05&amp;sourceID=14","2.05")</f>
        <v>2.05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HYPERLINK("http://141.218.60.56/~jnz1568/getInfo.php?workbook=14_13.xlsx&amp;sheet=U0&amp;row=789&amp;col=6&amp;number=3.5&amp;sourceID=14","3.5")</f>
        <v>3.5</v>
      </c>
      <c r="G789" s="4" t="str">
        <f>HYPERLINK("http://141.218.60.56/~jnz1568/getInfo.php?workbook=14_13.xlsx&amp;sheet=U0&amp;row=789&amp;col=7&amp;number=1.99&amp;sourceID=14","1.99")</f>
        <v>1.99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HYPERLINK("http://141.218.60.56/~jnz1568/getInfo.php?workbook=14_13.xlsx&amp;sheet=U0&amp;row=790&amp;col=6&amp;number=3.6&amp;sourceID=14","3.6")</f>
        <v>3.6</v>
      </c>
      <c r="G790" s="4" t="str">
        <f>HYPERLINK("http://141.218.60.56/~jnz1568/getInfo.php?workbook=14_13.xlsx&amp;sheet=U0&amp;row=790&amp;col=7&amp;number=1.94&amp;sourceID=14","1.94")</f>
        <v>1.94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HYPERLINK("http://141.218.60.56/~jnz1568/getInfo.php?workbook=14_13.xlsx&amp;sheet=U0&amp;row=791&amp;col=6&amp;number=3.7&amp;sourceID=14","3.7")</f>
        <v>3.7</v>
      </c>
      <c r="G791" s="4" t="str">
        <f>HYPERLINK("http://141.218.60.56/~jnz1568/getInfo.php?workbook=14_13.xlsx&amp;sheet=U0&amp;row=791&amp;col=7&amp;number=1.9&amp;sourceID=14","1.9")</f>
        <v>1.9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HYPERLINK("http://141.218.60.56/~jnz1568/getInfo.php?workbook=14_13.xlsx&amp;sheet=U0&amp;row=792&amp;col=6&amp;number=3.8&amp;sourceID=14","3.8")</f>
        <v>3.8</v>
      </c>
      <c r="G792" s="4" t="str">
        <f>HYPERLINK("http://141.218.60.56/~jnz1568/getInfo.php?workbook=14_13.xlsx&amp;sheet=U0&amp;row=792&amp;col=7&amp;number=1.87&amp;sourceID=14","1.87")</f>
        <v>1.87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HYPERLINK("http://141.218.60.56/~jnz1568/getInfo.php?workbook=14_13.xlsx&amp;sheet=U0&amp;row=793&amp;col=6&amp;number=3.9&amp;sourceID=14","3.9")</f>
        <v>3.9</v>
      </c>
      <c r="G793" s="4" t="str">
        <f>HYPERLINK("http://141.218.60.56/~jnz1568/getInfo.php?workbook=14_13.xlsx&amp;sheet=U0&amp;row=793&amp;col=7&amp;number=1.85&amp;sourceID=14","1.85")</f>
        <v>1.85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HYPERLINK("http://141.218.60.56/~jnz1568/getInfo.php?workbook=14_13.xlsx&amp;sheet=U0&amp;row=794&amp;col=6&amp;number=4&amp;sourceID=14","4")</f>
        <v>4</v>
      </c>
      <c r="G794" s="4" t="str">
        <f>HYPERLINK("http://141.218.60.56/~jnz1568/getInfo.php?workbook=14_13.xlsx&amp;sheet=U0&amp;row=794&amp;col=7&amp;number=1.85&amp;sourceID=14","1.85")</f>
        <v>1.85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HYPERLINK("http://141.218.60.56/~jnz1568/getInfo.php?workbook=14_13.xlsx&amp;sheet=U0&amp;row=795&amp;col=6&amp;number=4.1&amp;sourceID=14","4.1")</f>
        <v>4.1</v>
      </c>
      <c r="G795" s="4" t="str">
        <f>HYPERLINK("http://141.218.60.56/~jnz1568/getInfo.php?workbook=14_13.xlsx&amp;sheet=U0&amp;row=795&amp;col=7&amp;number=1.85&amp;sourceID=14","1.85")</f>
        <v>1.85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HYPERLINK("http://141.218.60.56/~jnz1568/getInfo.php?workbook=14_13.xlsx&amp;sheet=U0&amp;row=796&amp;col=6&amp;number=4.2&amp;sourceID=14","4.2")</f>
        <v>4.2</v>
      </c>
      <c r="G796" s="4" t="str">
        <f>HYPERLINK("http://141.218.60.56/~jnz1568/getInfo.php?workbook=14_13.xlsx&amp;sheet=U0&amp;row=796&amp;col=7&amp;number=1.87&amp;sourceID=14","1.87")</f>
        <v>1.87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HYPERLINK("http://141.218.60.56/~jnz1568/getInfo.php?workbook=14_13.xlsx&amp;sheet=U0&amp;row=797&amp;col=6&amp;number=4.3&amp;sourceID=14","4.3")</f>
        <v>4.3</v>
      </c>
      <c r="G797" s="4" t="str">
        <f>HYPERLINK("http://141.218.60.56/~jnz1568/getInfo.php?workbook=14_13.xlsx&amp;sheet=U0&amp;row=797&amp;col=7&amp;number=1.89&amp;sourceID=14","1.89")</f>
        <v>1.89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HYPERLINK("http://141.218.60.56/~jnz1568/getInfo.php?workbook=14_13.xlsx&amp;sheet=U0&amp;row=798&amp;col=6&amp;number=4.4&amp;sourceID=14","4.4")</f>
        <v>4.4</v>
      </c>
      <c r="G798" s="4" t="str">
        <f>HYPERLINK("http://141.218.60.56/~jnz1568/getInfo.php?workbook=14_13.xlsx&amp;sheet=U0&amp;row=798&amp;col=7&amp;number=1.94&amp;sourceID=14","1.94")</f>
        <v>1.94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HYPERLINK("http://141.218.60.56/~jnz1568/getInfo.php?workbook=14_13.xlsx&amp;sheet=U0&amp;row=799&amp;col=6&amp;number=4.5&amp;sourceID=14","4.5")</f>
        <v>4.5</v>
      </c>
      <c r="G799" s="4" t="str">
        <f>HYPERLINK("http://141.218.60.56/~jnz1568/getInfo.php?workbook=14_13.xlsx&amp;sheet=U0&amp;row=799&amp;col=7&amp;number=2&amp;sourceID=14","2")</f>
        <v>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HYPERLINK("http://141.218.60.56/~jnz1568/getInfo.php?workbook=14_13.xlsx&amp;sheet=U0&amp;row=800&amp;col=6&amp;number=4.6&amp;sourceID=14","4.6")</f>
        <v>4.6</v>
      </c>
      <c r="G800" s="4" t="str">
        <f>HYPERLINK("http://141.218.60.56/~jnz1568/getInfo.php?workbook=14_13.xlsx&amp;sheet=U0&amp;row=800&amp;col=7&amp;number=2.08&amp;sourceID=14","2.08")</f>
        <v>2.08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HYPERLINK("http://141.218.60.56/~jnz1568/getInfo.php?workbook=14_13.xlsx&amp;sheet=U0&amp;row=801&amp;col=6&amp;number=4.7&amp;sourceID=14","4.7")</f>
        <v>4.7</v>
      </c>
      <c r="G801" s="4" t="str">
        <f>HYPERLINK("http://141.218.60.56/~jnz1568/getInfo.php?workbook=14_13.xlsx&amp;sheet=U0&amp;row=801&amp;col=7&amp;number=2.17&amp;sourceID=14","2.17")</f>
        <v>2.17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HYPERLINK("http://141.218.60.56/~jnz1568/getInfo.php?workbook=14_13.xlsx&amp;sheet=U0&amp;row=802&amp;col=6&amp;number=4.8&amp;sourceID=14","4.8")</f>
        <v>4.8</v>
      </c>
      <c r="G802" s="4" t="str">
        <f>HYPERLINK("http://141.218.60.56/~jnz1568/getInfo.php?workbook=14_13.xlsx&amp;sheet=U0&amp;row=802&amp;col=7&amp;number=2.3&amp;sourceID=14","2.3")</f>
        <v>2.3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HYPERLINK("http://141.218.60.56/~jnz1568/getInfo.php?workbook=14_13.xlsx&amp;sheet=U0&amp;row=803&amp;col=6&amp;number=4.9&amp;sourceID=14","4.9")</f>
        <v>4.9</v>
      </c>
      <c r="G803" s="4" t="str">
        <f>HYPERLINK("http://141.218.60.56/~jnz1568/getInfo.php?workbook=14_13.xlsx&amp;sheet=U0&amp;row=803&amp;col=7&amp;number=2.46&amp;sourceID=14","2.46")</f>
        <v>2.46</v>
      </c>
    </row>
    <row r="804" spans="1:7">
      <c r="A804" s="3">
        <v>14</v>
      </c>
      <c r="B804" s="3">
        <v>13</v>
      </c>
      <c r="C804" s="3">
        <v>2</v>
      </c>
      <c r="D804" s="3">
        <v>15</v>
      </c>
      <c r="E804" s="3">
        <v>1</v>
      </c>
      <c r="F804" s="4" t="str">
        <f>HYPERLINK("http://141.218.60.56/~jnz1568/getInfo.php?workbook=14_13.xlsx&amp;sheet=U0&amp;row=804&amp;col=6&amp;number=3&amp;sourceID=14","3")</f>
        <v>3</v>
      </c>
      <c r="G804" s="4" t="str">
        <f>HYPERLINK("http://141.218.60.56/~jnz1568/getInfo.php?workbook=14_13.xlsx&amp;sheet=U0&amp;row=804&amp;col=7&amp;number=6.41&amp;sourceID=14","6.41")</f>
        <v>6.41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HYPERLINK("http://141.218.60.56/~jnz1568/getInfo.php?workbook=14_13.xlsx&amp;sheet=U0&amp;row=805&amp;col=6&amp;number=3.1&amp;sourceID=14","3.1")</f>
        <v>3.1</v>
      </c>
      <c r="G805" s="4" t="str">
        <f>HYPERLINK("http://141.218.60.56/~jnz1568/getInfo.php?workbook=14_13.xlsx&amp;sheet=U0&amp;row=805&amp;col=7&amp;number=6.41&amp;sourceID=14","6.41")</f>
        <v>6.41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HYPERLINK("http://141.218.60.56/~jnz1568/getInfo.php?workbook=14_13.xlsx&amp;sheet=U0&amp;row=806&amp;col=6&amp;number=3.2&amp;sourceID=14","3.2")</f>
        <v>3.2</v>
      </c>
      <c r="G806" s="4" t="str">
        <f>HYPERLINK("http://141.218.60.56/~jnz1568/getInfo.php?workbook=14_13.xlsx&amp;sheet=U0&amp;row=806&amp;col=7&amp;number=6.42&amp;sourceID=14","6.42")</f>
        <v>6.42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HYPERLINK("http://141.218.60.56/~jnz1568/getInfo.php?workbook=14_13.xlsx&amp;sheet=U0&amp;row=807&amp;col=6&amp;number=3.3&amp;sourceID=14","3.3")</f>
        <v>3.3</v>
      </c>
      <c r="G807" s="4" t="str">
        <f>HYPERLINK("http://141.218.60.56/~jnz1568/getInfo.php?workbook=14_13.xlsx&amp;sheet=U0&amp;row=807&amp;col=7&amp;number=6.43&amp;sourceID=14","6.43")</f>
        <v>6.43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HYPERLINK("http://141.218.60.56/~jnz1568/getInfo.php?workbook=14_13.xlsx&amp;sheet=U0&amp;row=808&amp;col=6&amp;number=3.4&amp;sourceID=14","3.4")</f>
        <v>3.4</v>
      </c>
      <c r="G808" s="4" t="str">
        <f>HYPERLINK("http://141.218.60.56/~jnz1568/getInfo.php?workbook=14_13.xlsx&amp;sheet=U0&amp;row=808&amp;col=7&amp;number=6.44&amp;sourceID=14","6.44")</f>
        <v>6.44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HYPERLINK("http://141.218.60.56/~jnz1568/getInfo.php?workbook=14_13.xlsx&amp;sheet=U0&amp;row=809&amp;col=6&amp;number=3.5&amp;sourceID=14","3.5")</f>
        <v>3.5</v>
      </c>
      <c r="G809" s="4" t="str">
        <f>HYPERLINK("http://141.218.60.56/~jnz1568/getInfo.php?workbook=14_13.xlsx&amp;sheet=U0&amp;row=809&amp;col=7&amp;number=6.46&amp;sourceID=14","6.46")</f>
        <v>6.46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HYPERLINK("http://141.218.60.56/~jnz1568/getInfo.php?workbook=14_13.xlsx&amp;sheet=U0&amp;row=810&amp;col=6&amp;number=3.6&amp;sourceID=14","3.6")</f>
        <v>3.6</v>
      </c>
      <c r="G810" s="4" t="str">
        <f>HYPERLINK("http://141.218.60.56/~jnz1568/getInfo.php?workbook=14_13.xlsx&amp;sheet=U0&amp;row=810&amp;col=7&amp;number=6.49&amp;sourceID=14","6.49")</f>
        <v>6.49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HYPERLINK("http://141.218.60.56/~jnz1568/getInfo.php?workbook=14_13.xlsx&amp;sheet=U0&amp;row=811&amp;col=6&amp;number=3.7&amp;sourceID=14","3.7")</f>
        <v>3.7</v>
      </c>
      <c r="G811" s="4" t="str">
        <f>HYPERLINK("http://141.218.60.56/~jnz1568/getInfo.php?workbook=14_13.xlsx&amp;sheet=U0&amp;row=811&amp;col=7&amp;number=6.53&amp;sourceID=14","6.53")</f>
        <v>6.53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HYPERLINK("http://141.218.60.56/~jnz1568/getInfo.php?workbook=14_13.xlsx&amp;sheet=U0&amp;row=812&amp;col=6&amp;number=3.8&amp;sourceID=14","3.8")</f>
        <v>3.8</v>
      </c>
      <c r="G812" s="4" t="str">
        <f>HYPERLINK("http://141.218.60.56/~jnz1568/getInfo.php?workbook=14_13.xlsx&amp;sheet=U0&amp;row=812&amp;col=7&amp;number=6.6&amp;sourceID=14","6.6")</f>
        <v>6.6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HYPERLINK("http://141.218.60.56/~jnz1568/getInfo.php?workbook=14_13.xlsx&amp;sheet=U0&amp;row=813&amp;col=6&amp;number=3.9&amp;sourceID=14","3.9")</f>
        <v>3.9</v>
      </c>
      <c r="G813" s="4" t="str">
        <f>HYPERLINK("http://141.218.60.56/~jnz1568/getInfo.php?workbook=14_13.xlsx&amp;sheet=U0&amp;row=813&amp;col=7&amp;number=6.7&amp;sourceID=14","6.7")</f>
        <v>6.7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HYPERLINK("http://141.218.60.56/~jnz1568/getInfo.php?workbook=14_13.xlsx&amp;sheet=U0&amp;row=814&amp;col=6&amp;number=4&amp;sourceID=14","4")</f>
        <v>4</v>
      </c>
      <c r="G814" s="4" t="str">
        <f>HYPERLINK("http://141.218.60.56/~jnz1568/getInfo.php?workbook=14_13.xlsx&amp;sheet=U0&amp;row=814&amp;col=7&amp;number=6.83&amp;sourceID=14","6.83")</f>
        <v>6.83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HYPERLINK("http://141.218.60.56/~jnz1568/getInfo.php?workbook=14_13.xlsx&amp;sheet=U0&amp;row=815&amp;col=6&amp;number=4.1&amp;sourceID=14","4.1")</f>
        <v>4.1</v>
      </c>
      <c r="G815" s="4" t="str">
        <f>HYPERLINK("http://141.218.60.56/~jnz1568/getInfo.php?workbook=14_13.xlsx&amp;sheet=U0&amp;row=815&amp;col=7&amp;number=6.99&amp;sourceID=14","6.99")</f>
        <v>6.99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HYPERLINK("http://141.218.60.56/~jnz1568/getInfo.php?workbook=14_13.xlsx&amp;sheet=U0&amp;row=816&amp;col=6&amp;number=4.2&amp;sourceID=14","4.2")</f>
        <v>4.2</v>
      </c>
      <c r="G816" s="4" t="str">
        <f>HYPERLINK("http://141.218.60.56/~jnz1568/getInfo.php?workbook=14_13.xlsx&amp;sheet=U0&amp;row=816&amp;col=7&amp;number=7.19&amp;sourceID=14","7.19")</f>
        <v>7.19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HYPERLINK("http://141.218.60.56/~jnz1568/getInfo.php?workbook=14_13.xlsx&amp;sheet=U0&amp;row=817&amp;col=6&amp;number=4.3&amp;sourceID=14","4.3")</f>
        <v>4.3</v>
      </c>
      <c r="G817" s="4" t="str">
        <f>HYPERLINK("http://141.218.60.56/~jnz1568/getInfo.php?workbook=14_13.xlsx&amp;sheet=U0&amp;row=817&amp;col=7&amp;number=7.44&amp;sourceID=14","7.44")</f>
        <v>7.44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HYPERLINK("http://141.218.60.56/~jnz1568/getInfo.php?workbook=14_13.xlsx&amp;sheet=U0&amp;row=818&amp;col=6&amp;number=4.4&amp;sourceID=14","4.4")</f>
        <v>4.4</v>
      </c>
      <c r="G818" s="4" t="str">
        <f>HYPERLINK("http://141.218.60.56/~jnz1568/getInfo.php?workbook=14_13.xlsx&amp;sheet=U0&amp;row=818&amp;col=7&amp;number=7.74&amp;sourceID=14","7.74")</f>
        <v>7.74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HYPERLINK("http://141.218.60.56/~jnz1568/getInfo.php?workbook=14_13.xlsx&amp;sheet=U0&amp;row=819&amp;col=6&amp;number=4.5&amp;sourceID=14","4.5")</f>
        <v>4.5</v>
      </c>
      <c r="G819" s="4" t="str">
        <f>HYPERLINK("http://141.218.60.56/~jnz1568/getInfo.php?workbook=14_13.xlsx&amp;sheet=U0&amp;row=819&amp;col=7&amp;number=8.12&amp;sourceID=14","8.12")</f>
        <v>8.12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HYPERLINK("http://141.218.60.56/~jnz1568/getInfo.php?workbook=14_13.xlsx&amp;sheet=U0&amp;row=820&amp;col=6&amp;number=4.6&amp;sourceID=14","4.6")</f>
        <v>4.6</v>
      </c>
      <c r="G820" s="4" t="str">
        <f>HYPERLINK("http://141.218.60.56/~jnz1568/getInfo.php?workbook=14_13.xlsx&amp;sheet=U0&amp;row=820&amp;col=7&amp;number=8.6&amp;sourceID=14","8.6")</f>
        <v>8.6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HYPERLINK("http://141.218.60.56/~jnz1568/getInfo.php?workbook=14_13.xlsx&amp;sheet=U0&amp;row=821&amp;col=6&amp;number=4.7&amp;sourceID=14","4.7")</f>
        <v>4.7</v>
      </c>
      <c r="G821" s="4" t="str">
        <f>HYPERLINK("http://141.218.60.56/~jnz1568/getInfo.php?workbook=14_13.xlsx&amp;sheet=U0&amp;row=821&amp;col=7&amp;number=9.18&amp;sourceID=14","9.18")</f>
        <v>9.18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HYPERLINK("http://141.218.60.56/~jnz1568/getInfo.php?workbook=14_13.xlsx&amp;sheet=U0&amp;row=822&amp;col=6&amp;number=4.8&amp;sourceID=14","4.8")</f>
        <v>4.8</v>
      </c>
      <c r="G822" s="4" t="str">
        <f>HYPERLINK("http://141.218.60.56/~jnz1568/getInfo.php?workbook=14_13.xlsx&amp;sheet=U0&amp;row=822&amp;col=7&amp;number=9.87&amp;sourceID=14","9.87")</f>
        <v>9.87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HYPERLINK("http://141.218.60.56/~jnz1568/getInfo.php?workbook=14_13.xlsx&amp;sheet=U0&amp;row=823&amp;col=6&amp;number=4.9&amp;sourceID=14","4.9")</f>
        <v>4.9</v>
      </c>
      <c r="G823" s="4" t="str">
        <f>HYPERLINK("http://141.218.60.56/~jnz1568/getInfo.php?workbook=14_13.xlsx&amp;sheet=U0&amp;row=823&amp;col=7&amp;number=10.7&amp;sourceID=14","10.7")</f>
        <v>10.7</v>
      </c>
    </row>
    <row r="824" spans="1:7">
      <c r="A824" s="3">
        <v>14</v>
      </c>
      <c r="B824" s="3">
        <v>13</v>
      </c>
      <c r="C824" s="3">
        <v>2</v>
      </c>
      <c r="D824" s="3">
        <v>16</v>
      </c>
      <c r="E824" s="3">
        <v>1</v>
      </c>
      <c r="F824" s="4" t="str">
        <f>HYPERLINK("http://141.218.60.56/~jnz1568/getInfo.php?workbook=14_13.xlsx&amp;sheet=U0&amp;row=824&amp;col=6&amp;number=3&amp;sourceID=14","3")</f>
        <v>3</v>
      </c>
      <c r="G824" s="4" t="str">
        <f>HYPERLINK("http://141.218.60.56/~jnz1568/getInfo.php?workbook=14_13.xlsx&amp;sheet=U0&amp;row=824&amp;col=7&amp;number=0.785&amp;sourceID=14","0.785")</f>
        <v>0.785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HYPERLINK("http://141.218.60.56/~jnz1568/getInfo.php?workbook=14_13.xlsx&amp;sheet=U0&amp;row=825&amp;col=6&amp;number=3.1&amp;sourceID=14","3.1")</f>
        <v>3.1</v>
      </c>
      <c r="G825" s="4" t="str">
        <f>HYPERLINK("http://141.218.60.56/~jnz1568/getInfo.php?workbook=14_13.xlsx&amp;sheet=U0&amp;row=825&amp;col=7&amp;number=0.771&amp;sourceID=14","0.771")</f>
        <v>0.771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HYPERLINK("http://141.218.60.56/~jnz1568/getInfo.php?workbook=14_13.xlsx&amp;sheet=U0&amp;row=826&amp;col=6&amp;number=3.2&amp;sourceID=14","3.2")</f>
        <v>3.2</v>
      </c>
      <c r="G826" s="4" t="str">
        <f>HYPERLINK("http://141.218.60.56/~jnz1568/getInfo.php?workbook=14_13.xlsx&amp;sheet=U0&amp;row=826&amp;col=7&amp;number=0.753&amp;sourceID=14","0.753")</f>
        <v>0.753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HYPERLINK("http://141.218.60.56/~jnz1568/getInfo.php?workbook=14_13.xlsx&amp;sheet=U0&amp;row=827&amp;col=6&amp;number=3.3&amp;sourceID=14","3.3")</f>
        <v>3.3</v>
      </c>
      <c r="G827" s="4" t="str">
        <f>HYPERLINK("http://141.218.60.56/~jnz1568/getInfo.php?workbook=14_13.xlsx&amp;sheet=U0&amp;row=827&amp;col=7&amp;number=0.732&amp;sourceID=14","0.732")</f>
        <v>0.732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HYPERLINK("http://141.218.60.56/~jnz1568/getInfo.php?workbook=14_13.xlsx&amp;sheet=U0&amp;row=828&amp;col=6&amp;number=3.4&amp;sourceID=14","3.4")</f>
        <v>3.4</v>
      </c>
      <c r="G828" s="4" t="str">
        <f>HYPERLINK("http://141.218.60.56/~jnz1568/getInfo.php?workbook=14_13.xlsx&amp;sheet=U0&amp;row=828&amp;col=7&amp;number=0.707&amp;sourceID=14","0.707")</f>
        <v>0.707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HYPERLINK("http://141.218.60.56/~jnz1568/getInfo.php?workbook=14_13.xlsx&amp;sheet=U0&amp;row=829&amp;col=6&amp;number=3.5&amp;sourceID=14","3.5")</f>
        <v>3.5</v>
      </c>
      <c r="G829" s="4" t="str">
        <f>HYPERLINK("http://141.218.60.56/~jnz1568/getInfo.php?workbook=14_13.xlsx&amp;sheet=U0&amp;row=829&amp;col=7&amp;number=0.678&amp;sourceID=14","0.678")</f>
        <v>0.678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HYPERLINK("http://141.218.60.56/~jnz1568/getInfo.php?workbook=14_13.xlsx&amp;sheet=U0&amp;row=830&amp;col=6&amp;number=3.6&amp;sourceID=14","3.6")</f>
        <v>3.6</v>
      </c>
      <c r="G830" s="4" t="str">
        <f>HYPERLINK("http://141.218.60.56/~jnz1568/getInfo.php?workbook=14_13.xlsx&amp;sheet=U0&amp;row=830&amp;col=7&amp;number=0.644&amp;sourceID=14","0.644")</f>
        <v>0.644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HYPERLINK("http://141.218.60.56/~jnz1568/getInfo.php?workbook=14_13.xlsx&amp;sheet=U0&amp;row=831&amp;col=6&amp;number=3.7&amp;sourceID=14","3.7")</f>
        <v>3.7</v>
      </c>
      <c r="G831" s="4" t="str">
        <f>HYPERLINK("http://141.218.60.56/~jnz1568/getInfo.php?workbook=14_13.xlsx&amp;sheet=U0&amp;row=831&amp;col=7&amp;number=0.607&amp;sourceID=14","0.607")</f>
        <v>0.607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HYPERLINK("http://141.218.60.56/~jnz1568/getInfo.php?workbook=14_13.xlsx&amp;sheet=U0&amp;row=832&amp;col=6&amp;number=3.8&amp;sourceID=14","3.8")</f>
        <v>3.8</v>
      </c>
      <c r="G832" s="4" t="str">
        <f>HYPERLINK("http://141.218.60.56/~jnz1568/getInfo.php?workbook=14_13.xlsx&amp;sheet=U0&amp;row=832&amp;col=7&amp;number=0.568&amp;sourceID=14","0.568")</f>
        <v>0.568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HYPERLINK("http://141.218.60.56/~jnz1568/getInfo.php?workbook=14_13.xlsx&amp;sheet=U0&amp;row=833&amp;col=6&amp;number=3.9&amp;sourceID=14","3.9")</f>
        <v>3.9</v>
      </c>
      <c r="G833" s="4" t="str">
        <f>HYPERLINK("http://141.218.60.56/~jnz1568/getInfo.php?workbook=14_13.xlsx&amp;sheet=U0&amp;row=833&amp;col=7&amp;number=0.529&amp;sourceID=14","0.529")</f>
        <v>0.529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HYPERLINK("http://141.218.60.56/~jnz1568/getInfo.php?workbook=14_13.xlsx&amp;sheet=U0&amp;row=834&amp;col=6&amp;number=4&amp;sourceID=14","4")</f>
        <v>4</v>
      </c>
      <c r="G834" s="4" t="str">
        <f>HYPERLINK("http://141.218.60.56/~jnz1568/getInfo.php?workbook=14_13.xlsx&amp;sheet=U0&amp;row=834&amp;col=7&amp;number=0.491&amp;sourceID=14","0.491")</f>
        <v>0.491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HYPERLINK("http://141.218.60.56/~jnz1568/getInfo.php?workbook=14_13.xlsx&amp;sheet=U0&amp;row=835&amp;col=6&amp;number=4.1&amp;sourceID=14","4.1")</f>
        <v>4.1</v>
      </c>
      <c r="G835" s="4" t="str">
        <f>HYPERLINK("http://141.218.60.56/~jnz1568/getInfo.php?workbook=14_13.xlsx&amp;sheet=U0&amp;row=835&amp;col=7&amp;number=0.456&amp;sourceID=14","0.456")</f>
        <v>0.456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HYPERLINK("http://141.218.60.56/~jnz1568/getInfo.php?workbook=14_13.xlsx&amp;sheet=U0&amp;row=836&amp;col=6&amp;number=4.2&amp;sourceID=14","4.2")</f>
        <v>4.2</v>
      </c>
      <c r="G836" s="4" t="str">
        <f>HYPERLINK("http://141.218.60.56/~jnz1568/getInfo.php?workbook=14_13.xlsx&amp;sheet=U0&amp;row=836&amp;col=7&amp;number=0.424&amp;sourceID=14","0.424")</f>
        <v>0.424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HYPERLINK("http://141.218.60.56/~jnz1568/getInfo.php?workbook=14_13.xlsx&amp;sheet=U0&amp;row=837&amp;col=6&amp;number=4.3&amp;sourceID=14","4.3")</f>
        <v>4.3</v>
      </c>
      <c r="G837" s="4" t="str">
        <f>HYPERLINK("http://141.218.60.56/~jnz1568/getInfo.php?workbook=14_13.xlsx&amp;sheet=U0&amp;row=837&amp;col=7&amp;number=0.396&amp;sourceID=14","0.396")</f>
        <v>0.396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HYPERLINK("http://141.218.60.56/~jnz1568/getInfo.php?workbook=14_13.xlsx&amp;sheet=U0&amp;row=838&amp;col=6&amp;number=4.4&amp;sourceID=14","4.4")</f>
        <v>4.4</v>
      </c>
      <c r="G838" s="4" t="str">
        <f>HYPERLINK("http://141.218.60.56/~jnz1568/getInfo.php?workbook=14_13.xlsx&amp;sheet=U0&amp;row=838&amp;col=7&amp;number=0.373&amp;sourceID=14","0.373")</f>
        <v>0.373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HYPERLINK("http://141.218.60.56/~jnz1568/getInfo.php?workbook=14_13.xlsx&amp;sheet=U0&amp;row=839&amp;col=6&amp;number=4.5&amp;sourceID=14","4.5")</f>
        <v>4.5</v>
      </c>
      <c r="G839" s="4" t="str">
        <f>HYPERLINK("http://141.218.60.56/~jnz1568/getInfo.php?workbook=14_13.xlsx&amp;sheet=U0&amp;row=839&amp;col=7&amp;number=0.354&amp;sourceID=14","0.354")</f>
        <v>0.354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HYPERLINK("http://141.218.60.56/~jnz1568/getInfo.php?workbook=14_13.xlsx&amp;sheet=U0&amp;row=840&amp;col=6&amp;number=4.6&amp;sourceID=14","4.6")</f>
        <v>4.6</v>
      </c>
      <c r="G840" s="4" t="str">
        <f>HYPERLINK("http://141.218.60.56/~jnz1568/getInfo.php?workbook=14_13.xlsx&amp;sheet=U0&amp;row=840&amp;col=7&amp;number=0.34&amp;sourceID=14","0.34")</f>
        <v>0.34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HYPERLINK("http://141.218.60.56/~jnz1568/getInfo.php?workbook=14_13.xlsx&amp;sheet=U0&amp;row=841&amp;col=6&amp;number=4.7&amp;sourceID=14","4.7")</f>
        <v>4.7</v>
      </c>
      <c r="G841" s="4" t="str">
        <f>HYPERLINK("http://141.218.60.56/~jnz1568/getInfo.php?workbook=14_13.xlsx&amp;sheet=U0&amp;row=841&amp;col=7&amp;number=0.33&amp;sourceID=14","0.33")</f>
        <v>0.33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HYPERLINK("http://141.218.60.56/~jnz1568/getInfo.php?workbook=14_13.xlsx&amp;sheet=U0&amp;row=842&amp;col=6&amp;number=4.8&amp;sourceID=14","4.8")</f>
        <v>4.8</v>
      </c>
      <c r="G842" s="4" t="str">
        <f>HYPERLINK("http://141.218.60.56/~jnz1568/getInfo.php?workbook=14_13.xlsx&amp;sheet=U0&amp;row=842&amp;col=7&amp;number=0.323&amp;sourceID=14","0.323")</f>
        <v>0.323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HYPERLINK("http://141.218.60.56/~jnz1568/getInfo.php?workbook=14_13.xlsx&amp;sheet=U0&amp;row=843&amp;col=6&amp;number=4.9&amp;sourceID=14","4.9")</f>
        <v>4.9</v>
      </c>
      <c r="G843" s="4" t="str">
        <f>HYPERLINK("http://141.218.60.56/~jnz1568/getInfo.php?workbook=14_13.xlsx&amp;sheet=U0&amp;row=843&amp;col=7&amp;number=0.319&amp;sourceID=14","0.319")</f>
        <v>0.319</v>
      </c>
    </row>
    <row r="844" spans="1:7">
      <c r="A844" s="3">
        <v>14</v>
      </c>
      <c r="B844" s="3">
        <v>13</v>
      </c>
      <c r="C844" s="3">
        <v>2</v>
      </c>
      <c r="D844" s="3">
        <v>17</v>
      </c>
      <c r="E844" s="3">
        <v>1</v>
      </c>
      <c r="F844" s="4" t="str">
        <f>HYPERLINK("http://141.218.60.56/~jnz1568/getInfo.php?workbook=14_13.xlsx&amp;sheet=U0&amp;row=844&amp;col=6&amp;number=3&amp;sourceID=14","3")</f>
        <v>3</v>
      </c>
      <c r="G844" s="4" t="str">
        <f>HYPERLINK("http://141.218.60.56/~jnz1568/getInfo.php?workbook=14_13.xlsx&amp;sheet=U0&amp;row=844&amp;col=7&amp;number=0.67&amp;sourceID=14","0.67")</f>
        <v>0.67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HYPERLINK("http://141.218.60.56/~jnz1568/getInfo.php?workbook=14_13.xlsx&amp;sheet=U0&amp;row=845&amp;col=6&amp;number=3.1&amp;sourceID=14","3.1")</f>
        <v>3.1</v>
      </c>
      <c r="G845" s="4" t="str">
        <f>HYPERLINK("http://141.218.60.56/~jnz1568/getInfo.php?workbook=14_13.xlsx&amp;sheet=U0&amp;row=845&amp;col=7&amp;number=0.666&amp;sourceID=14","0.666")</f>
        <v>0.666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HYPERLINK("http://141.218.60.56/~jnz1568/getInfo.php?workbook=14_13.xlsx&amp;sheet=U0&amp;row=846&amp;col=6&amp;number=3.2&amp;sourceID=14","3.2")</f>
        <v>3.2</v>
      </c>
      <c r="G846" s="4" t="str">
        <f>HYPERLINK("http://141.218.60.56/~jnz1568/getInfo.php?workbook=14_13.xlsx&amp;sheet=U0&amp;row=846&amp;col=7&amp;number=0.66&amp;sourceID=14","0.66")</f>
        <v>0.66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HYPERLINK("http://141.218.60.56/~jnz1568/getInfo.php?workbook=14_13.xlsx&amp;sheet=U0&amp;row=847&amp;col=6&amp;number=3.3&amp;sourceID=14","3.3")</f>
        <v>3.3</v>
      </c>
      <c r="G847" s="4" t="str">
        <f>HYPERLINK("http://141.218.60.56/~jnz1568/getInfo.php?workbook=14_13.xlsx&amp;sheet=U0&amp;row=847&amp;col=7&amp;number=0.653&amp;sourceID=14","0.653")</f>
        <v>0.653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HYPERLINK("http://141.218.60.56/~jnz1568/getInfo.php?workbook=14_13.xlsx&amp;sheet=U0&amp;row=848&amp;col=6&amp;number=3.4&amp;sourceID=14","3.4")</f>
        <v>3.4</v>
      </c>
      <c r="G848" s="4" t="str">
        <f>HYPERLINK("http://141.218.60.56/~jnz1568/getInfo.php?workbook=14_13.xlsx&amp;sheet=U0&amp;row=848&amp;col=7&amp;number=0.645&amp;sourceID=14","0.645")</f>
        <v>0.645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HYPERLINK("http://141.218.60.56/~jnz1568/getInfo.php?workbook=14_13.xlsx&amp;sheet=U0&amp;row=849&amp;col=6&amp;number=3.5&amp;sourceID=14","3.5")</f>
        <v>3.5</v>
      </c>
      <c r="G849" s="4" t="str">
        <f>HYPERLINK("http://141.218.60.56/~jnz1568/getInfo.php?workbook=14_13.xlsx&amp;sheet=U0&amp;row=849&amp;col=7&amp;number=0.635&amp;sourceID=14","0.635")</f>
        <v>0.635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HYPERLINK("http://141.218.60.56/~jnz1568/getInfo.php?workbook=14_13.xlsx&amp;sheet=U0&amp;row=850&amp;col=6&amp;number=3.6&amp;sourceID=14","3.6")</f>
        <v>3.6</v>
      </c>
      <c r="G850" s="4" t="str">
        <f>HYPERLINK("http://141.218.60.56/~jnz1568/getInfo.php?workbook=14_13.xlsx&amp;sheet=U0&amp;row=850&amp;col=7&amp;number=0.623&amp;sourceID=14","0.623")</f>
        <v>0.623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HYPERLINK("http://141.218.60.56/~jnz1568/getInfo.php?workbook=14_13.xlsx&amp;sheet=U0&amp;row=851&amp;col=6&amp;number=3.7&amp;sourceID=14","3.7")</f>
        <v>3.7</v>
      </c>
      <c r="G851" s="4" t="str">
        <f>HYPERLINK("http://141.218.60.56/~jnz1568/getInfo.php?workbook=14_13.xlsx&amp;sheet=U0&amp;row=851&amp;col=7&amp;number=0.61&amp;sourceID=14","0.61")</f>
        <v>0.61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HYPERLINK("http://141.218.60.56/~jnz1568/getInfo.php?workbook=14_13.xlsx&amp;sheet=U0&amp;row=852&amp;col=6&amp;number=3.8&amp;sourceID=14","3.8")</f>
        <v>3.8</v>
      </c>
      <c r="G852" s="4" t="str">
        <f>HYPERLINK("http://141.218.60.56/~jnz1568/getInfo.php?workbook=14_13.xlsx&amp;sheet=U0&amp;row=852&amp;col=7&amp;number=0.596&amp;sourceID=14","0.596")</f>
        <v>0.596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HYPERLINK("http://141.218.60.56/~jnz1568/getInfo.php?workbook=14_13.xlsx&amp;sheet=U0&amp;row=853&amp;col=6&amp;number=3.9&amp;sourceID=14","3.9")</f>
        <v>3.9</v>
      </c>
      <c r="G853" s="4" t="str">
        <f>HYPERLINK("http://141.218.60.56/~jnz1568/getInfo.php?workbook=14_13.xlsx&amp;sheet=U0&amp;row=853&amp;col=7&amp;number=0.582&amp;sourceID=14","0.582")</f>
        <v>0.582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HYPERLINK("http://141.218.60.56/~jnz1568/getInfo.php?workbook=14_13.xlsx&amp;sheet=U0&amp;row=854&amp;col=6&amp;number=4&amp;sourceID=14","4")</f>
        <v>4</v>
      </c>
      <c r="G854" s="4" t="str">
        <f>HYPERLINK("http://141.218.60.56/~jnz1568/getInfo.php?workbook=14_13.xlsx&amp;sheet=U0&amp;row=854&amp;col=7&amp;number=0.569&amp;sourceID=14","0.569")</f>
        <v>0.569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HYPERLINK("http://141.218.60.56/~jnz1568/getInfo.php?workbook=14_13.xlsx&amp;sheet=U0&amp;row=855&amp;col=6&amp;number=4.1&amp;sourceID=14","4.1")</f>
        <v>4.1</v>
      </c>
      <c r="G855" s="4" t="str">
        <f>HYPERLINK("http://141.218.60.56/~jnz1568/getInfo.php?workbook=14_13.xlsx&amp;sheet=U0&amp;row=855&amp;col=7&amp;number=0.56&amp;sourceID=14","0.56")</f>
        <v>0.56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HYPERLINK("http://141.218.60.56/~jnz1568/getInfo.php?workbook=14_13.xlsx&amp;sheet=U0&amp;row=856&amp;col=6&amp;number=4.2&amp;sourceID=14","4.2")</f>
        <v>4.2</v>
      </c>
      <c r="G856" s="4" t="str">
        <f>HYPERLINK("http://141.218.60.56/~jnz1568/getInfo.php?workbook=14_13.xlsx&amp;sheet=U0&amp;row=856&amp;col=7&amp;number=0.555&amp;sourceID=14","0.555")</f>
        <v>0.555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HYPERLINK("http://141.218.60.56/~jnz1568/getInfo.php?workbook=14_13.xlsx&amp;sheet=U0&amp;row=857&amp;col=6&amp;number=4.3&amp;sourceID=14","4.3")</f>
        <v>4.3</v>
      </c>
      <c r="G857" s="4" t="str">
        <f>HYPERLINK("http://141.218.60.56/~jnz1568/getInfo.php?workbook=14_13.xlsx&amp;sheet=U0&amp;row=857&amp;col=7&amp;number=0.555&amp;sourceID=14","0.555")</f>
        <v>0.555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HYPERLINK("http://141.218.60.56/~jnz1568/getInfo.php?workbook=14_13.xlsx&amp;sheet=U0&amp;row=858&amp;col=6&amp;number=4.4&amp;sourceID=14","4.4")</f>
        <v>4.4</v>
      </c>
      <c r="G858" s="4" t="str">
        <f>HYPERLINK("http://141.218.60.56/~jnz1568/getInfo.php?workbook=14_13.xlsx&amp;sheet=U0&amp;row=858&amp;col=7&amp;number=0.559&amp;sourceID=14","0.559")</f>
        <v>0.559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HYPERLINK("http://141.218.60.56/~jnz1568/getInfo.php?workbook=14_13.xlsx&amp;sheet=U0&amp;row=859&amp;col=6&amp;number=4.5&amp;sourceID=14","4.5")</f>
        <v>4.5</v>
      </c>
      <c r="G859" s="4" t="str">
        <f>HYPERLINK("http://141.218.60.56/~jnz1568/getInfo.php?workbook=14_13.xlsx&amp;sheet=U0&amp;row=859&amp;col=7&amp;number=0.568&amp;sourceID=14","0.568")</f>
        <v>0.568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HYPERLINK("http://141.218.60.56/~jnz1568/getInfo.php?workbook=14_13.xlsx&amp;sheet=U0&amp;row=860&amp;col=6&amp;number=4.6&amp;sourceID=14","4.6")</f>
        <v>4.6</v>
      </c>
      <c r="G860" s="4" t="str">
        <f>HYPERLINK("http://141.218.60.56/~jnz1568/getInfo.php?workbook=14_13.xlsx&amp;sheet=U0&amp;row=860&amp;col=7&amp;number=0.578&amp;sourceID=14","0.578")</f>
        <v>0.578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HYPERLINK("http://141.218.60.56/~jnz1568/getInfo.php?workbook=14_13.xlsx&amp;sheet=U0&amp;row=861&amp;col=6&amp;number=4.7&amp;sourceID=14","4.7")</f>
        <v>4.7</v>
      </c>
      <c r="G861" s="4" t="str">
        <f>HYPERLINK("http://141.218.60.56/~jnz1568/getInfo.php?workbook=14_13.xlsx&amp;sheet=U0&amp;row=861&amp;col=7&amp;number=0.589&amp;sourceID=14","0.589")</f>
        <v>0.589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HYPERLINK("http://141.218.60.56/~jnz1568/getInfo.php?workbook=14_13.xlsx&amp;sheet=U0&amp;row=862&amp;col=6&amp;number=4.8&amp;sourceID=14","4.8")</f>
        <v>4.8</v>
      </c>
      <c r="G862" s="4" t="str">
        <f>HYPERLINK("http://141.218.60.56/~jnz1568/getInfo.php?workbook=14_13.xlsx&amp;sheet=U0&amp;row=862&amp;col=7&amp;number=0.6&amp;sourceID=14","0.6")</f>
        <v>0.6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HYPERLINK("http://141.218.60.56/~jnz1568/getInfo.php?workbook=14_13.xlsx&amp;sheet=U0&amp;row=863&amp;col=6&amp;number=4.9&amp;sourceID=14","4.9")</f>
        <v>4.9</v>
      </c>
      <c r="G863" s="4" t="str">
        <f>HYPERLINK("http://141.218.60.56/~jnz1568/getInfo.php?workbook=14_13.xlsx&amp;sheet=U0&amp;row=863&amp;col=7&amp;number=0.61&amp;sourceID=14","0.61")</f>
        <v>0.61</v>
      </c>
    </row>
    <row r="864" spans="1:7">
      <c r="A864" s="3">
        <v>14</v>
      </c>
      <c r="B864" s="3">
        <v>13</v>
      </c>
      <c r="C864" s="3">
        <v>2</v>
      </c>
      <c r="D864" s="3">
        <v>18</v>
      </c>
      <c r="E864" s="3">
        <v>1</v>
      </c>
      <c r="F864" s="4" t="str">
        <f>HYPERLINK("http://141.218.60.56/~jnz1568/getInfo.php?workbook=14_13.xlsx&amp;sheet=U0&amp;row=864&amp;col=6&amp;number=3&amp;sourceID=14","3")</f>
        <v>3</v>
      </c>
      <c r="G864" s="4" t="str">
        <f>HYPERLINK("http://141.218.60.56/~jnz1568/getInfo.php?workbook=14_13.xlsx&amp;sheet=U0&amp;row=864&amp;col=7&amp;number=1.66&amp;sourceID=14","1.66")</f>
        <v>1.66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HYPERLINK("http://141.218.60.56/~jnz1568/getInfo.php?workbook=14_13.xlsx&amp;sheet=U0&amp;row=865&amp;col=6&amp;number=3.1&amp;sourceID=14","3.1")</f>
        <v>3.1</v>
      </c>
      <c r="G865" s="4" t="str">
        <f>HYPERLINK("http://141.218.60.56/~jnz1568/getInfo.php?workbook=14_13.xlsx&amp;sheet=U0&amp;row=865&amp;col=7&amp;number=1.67&amp;sourceID=14","1.67")</f>
        <v>1.67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HYPERLINK("http://141.218.60.56/~jnz1568/getInfo.php?workbook=14_13.xlsx&amp;sheet=U0&amp;row=866&amp;col=6&amp;number=3.2&amp;sourceID=14","3.2")</f>
        <v>3.2</v>
      </c>
      <c r="G866" s="4" t="str">
        <f>HYPERLINK("http://141.218.60.56/~jnz1568/getInfo.php?workbook=14_13.xlsx&amp;sheet=U0&amp;row=866&amp;col=7&amp;number=1.67&amp;sourceID=14","1.67")</f>
        <v>1.67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HYPERLINK("http://141.218.60.56/~jnz1568/getInfo.php?workbook=14_13.xlsx&amp;sheet=U0&amp;row=867&amp;col=6&amp;number=3.3&amp;sourceID=14","3.3")</f>
        <v>3.3</v>
      </c>
      <c r="G867" s="4" t="str">
        <f>HYPERLINK("http://141.218.60.56/~jnz1568/getInfo.php?workbook=14_13.xlsx&amp;sheet=U0&amp;row=867&amp;col=7&amp;number=1.67&amp;sourceID=14","1.67")</f>
        <v>1.67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HYPERLINK("http://141.218.60.56/~jnz1568/getInfo.php?workbook=14_13.xlsx&amp;sheet=U0&amp;row=868&amp;col=6&amp;number=3.4&amp;sourceID=14","3.4")</f>
        <v>3.4</v>
      </c>
      <c r="G868" s="4" t="str">
        <f>HYPERLINK("http://141.218.60.56/~jnz1568/getInfo.php?workbook=14_13.xlsx&amp;sheet=U0&amp;row=868&amp;col=7&amp;number=1.67&amp;sourceID=14","1.67")</f>
        <v>1.67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HYPERLINK("http://141.218.60.56/~jnz1568/getInfo.php?workbook=14_13.xlsx&amp;sheet=U0&amp;row=869&amp;col=6&amp;number=3.5&amp;sourceID=14","3.5")</f>
        <v>3.5</v>
      </c>
      <c r="G869" s="4" t="str">
        <f>HYPERLINK("http://141.218.60.56/~jnz1568/getInfo.php?workbook=14_13.xlsx&amp;sheet=U0&amp;row=869&amp;col=7&amp;number=1.67&amp;sourceID=14","1.67")</f>
        <v>1.67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HYPERLINK("http://141.218.60.56/~jnz1568/getInfo.php?workbook=14_13.xlsx&amp;sheet=U0&amp;row=870&amp;col=6&amp;number=3.6&amp;sourceID=14","3.6")</f>
        <v>3.6</v>
      </c>
      <c r="G870" s="4" t="str">
        <f>HYPERLINK("http://141.218.60.56/~jnz1568/getInfo.php?workbook=14_13.xlsx&amp;sheet=U0&amp;row=870&amp;col=7&amp;number=1.68&amp;sourceID=14","1.68")</f>
        <v>1.68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HYPERLINK("http://141.218.60.56/~jnz1568/getInfo.php?workbook=14_13.xlsx&amp;sheet=U0&amp;row=871&amp;col=6&amp;number=3.7&amp;sourceID=14","3.7")</f>
        <v>3.7</v>
      </c>
      <c r="G871" s="4" t="str">
        <f>HYPERLINK("http://141.218.60.56/~jnz1568/getInfo.php?workbook=14_13.xlsx&amp;sheet=U0&amp;row=871&amp;col=7&amp;number=1.68&amp;sourceID=14","1.68")</f>
        <v>1.68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HYPERLINK("http://141.218.60.56/~jnz1568/getInfo.php?workbook=14_13.xlsx&amp;sheet=U0&amp;row=872&amp;col=6&amp;number=3.8&amp;sourceID=14","3.8")</f>
        <v>3.8</v>
      </c>
      <c r="G872" s="4" t="str">
        <f>HYPERLINK("http://141.218.60.56/~jnz1568/getInfo.php?workbook=14_13.xlsx&amp;sheet=U0&amp;row=872&amp;col=7&amp;number=1.67&amp;sourceID=14","1.67")</f>
        <v>1.67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HYPERLINK("http://141.218.60.56/~jnz1568/getInfo.php?workbook=14_13.xlsx&amp;sheet=U0&amp;row=873&amp;col=6&amp;number=3.9&amp;sourceID=14","3.9")</f>
        <v>3.9</v>
      </c>
      <c r="G873" s="4" t="str">
        <f>HYPERLINK("http://141.218.60.56/~jnz1568/getInfo.php?workbook=14_13.xlsx&amp;sheet=U0&amp;row=873&amp;col=7&amp;number=1.68&amp;sourceID=14","1.68")</f>
        <v>1.68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HYPERLINK("http://141.218.60.56/~jnz1568/getInfo.php?workbook=14_13.xlsx&amp;sheet=U0&amp;row=874&amp;col=6&amp;number=4&amp;sourceID=14","4")</f>
        <v>4</v>
      </c>
      <c r="G874" s="4" t="str">
        <f>HYPERLINK("http://141.218.60.56/~jnz1568/getInfo.php?workbook=14_13.xlsx&amp;sheet=U0&amp;row=874&amp;col=7&amp;number=1.69&amp;sourceID=14","1.69")</f>
        <v>1.69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HYPERLINK("http://141.218.60.56/~jnz1568/getInfo.php?workbook=14_13.xlsx&amp;sheet=U0&amp;row=875&amp;col=6&amp;number=4.1&amp;sourceID=14","4.1")</f>
        <v>4.1</v>
      </c>
      <c r="G875" s="4" t="str">
        <f>HYPERLINK("http://141.218.60.56/~jnz1568/getInfo.php?workbook=14_13.xlsx&amp;sheet=U0&amp;row=875&amp;col=7&amp;number=1.72&amp;sourceID=14","1.72")</f>
        <v>1.72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HYPERLINK("http://141.218.60.56/~jnz1568/getInfo.php?workbook=14_13.xlsx&amp;sheet=U0&amp;row=876&amp;col=6&amp;number=4.2&amp;sourceID=14","4.2")</f>
        <v>4.2</v>
      </c>
      <c r="G876" s="4" t="str">
        <f>HYPERLINK("http://141.218.60.56/~jnz1568/getInfo.php?workbook=14_13.xlsx&amp;sheet=U0&amp;row=876&amp;col=7&amp;number=1.76&amp;sourceID=14","1.76")</f>
        <v>1.76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HYPERLINK("http://141.218.60.56/~jnz1568/getInfo.php?workbook=14_13.xlsx&amp;sheet=U0&amp;row=877&amp;col=6&amp;number=4.3&amp;sourceID=14","4.3")</f>
        <v>4.3</v>
      </c>
      <c r="G877" s="4" t="str">
        <f>HYPERLINK("http://141.218.60.56/~jnz1568/getInfo.php?workbook=14_13.xlsx&amp;sheet=U0&amp;row=877&amp;col=7&amp;number=1.83&amp;sourceID=14","1.83")</f>
        <v>1.83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HYPERLINK("http://141.218.60.56/~jnz1568/getInfo.php?workbook=14_13.xlsx&amp;sheet=U0&amp;row=878&amp;col=6&amp;number=4.4&amp;sourceID=14","4.4")</f>
        <v>4.4</v>
      </c>
      <c r="G878" s="4" t="str">
        <f>HYPERLINK("http://141.218.60.56/~jnz1568/getInfo.php?workbook=14_13.xlsx&amp;sheet=U0&amp;row=878&amp;col=7&amp;number=1.92&amp;sourceID=14","1.92")</f>
        <v>1.92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HYPERLINK("http://141.218.60.56/~jnz1568/getInfo.php?workbook=14_13.xlsx&amp;sheet=U0&amp;row=879&amp;col=6&amp;number=4.5&amp;sourceID=14","4.5")</f>
        <v>4.5</v>
      </c>
      <c r="G879" s="4" t="str">
        <f>HYPERLINK("http://141.218.60.56/~jnz1568/getInfo.php?workbook=14_13.xlsx&amp;sheet=U0&amp;row=879&amp;col=7&amp;number=2.03&amp;sourceID=14","2.03")</f>
        <v>2.03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HYPERLINK("http://141.218.60.56/~jnz1568/getInfo.php?workbook=14_13.xlsx&amp;sheet=U0&amp;row=880&amp;col=6&amp;number=4.6&amp;sourceID=14","4.6")</f>
        <v>4.6</v>
      </c>
      <c r="G880" s="4" t="str">
        <f>HYPERLINK("http://141.218.60.56/~jnz1568/getInfo.php?workbook=14_13.xlsx&amp;sheet=U0&amp;row=880&amp;col=7&amp;number=2.16&amp;sourceID=14","2.16")</f>
        <v>2.16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HYPERLINK("http://141.218.60.56/~jnz1568/getInfo.php?workbook=14_13.xlsx&amp;sheet=U0&amp;row=881&amp;col=6&amp;number=4.7&amp;sourceID=14","4.7")</f>
        <v>4.7</v>
      </c>
      <c r="G881" s="4" t="str">
        <f>HYPERLINK("http://141.218.60.56/~jnz1568/getInfo.php?workbook=14_13.xlsx&amp;sheet=U0&amp;row=881&amp;col=7&amp;number=2.3&amp;sourceID=14","2.3")</f>
        <v>2.3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HYPERLINK("http://141.218.60.56/~jnz1568/getInfo.php?workbook=14_13.xlsx&amp;sheet=U0&amp;row=882&amp;col=6&amp;number=4.8&amp;sourceID=14","4.8")</f>
        <v>4.8</v>
      </c>
      <c r="G882" s="4" t="str">
        <f>HYPERLINK("http://141.218.60.56/~jnz1568/getInfo.php?workbook=14_13.xlsx&amp;sheet=U0&amp;row=882&amp;col=7&amp;number=2.46&amp;sourceID=14","2.46")</f>
        <v>2.46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HYPERLINK("http://141.218.60.56/~jnz1568/getInfo.php?workbook=14_13.xlsx&amp;sheet=U0&amp;row=883&amp;col=6&amp;number=4.9&amp;sourceID=14","4.9")</f>
        <v>4.9</v>
      </c>
      <c r="G883" s="4" t="str">
        <f>HYPERLINK("http://141.218.60.56/~jnz1568/getInfo.php?workbook=14_13.xlsx&amp;sheet=U0&amp;row=883&amp;col=7&amp;number=2.63&amp;sourceID=14","2.63")</f>
        <v>2.63</v>
      </c>
    </row>
    <row r="884" spans="1:7">
      <c r="A884" s="3">
        <v>14</v>
      </c>
      <c r="B884" s="3">
        <v>13</v>
      </c>
      <c r="C884" s="3">
        <v>2</v>
      </c>
      <c r="D884" s="3">
        <v>19</v>
      </c>
      <c r="E884" s="3">
        <v>1</v>
      </c>
      <c r="F884" s="4" t="str">
        <f>HYPERLINK("http://141.218.60.56/~jnz1568/getInfo.php?workbook=14_13.xlsx&amp;sheet=U0&amp;row=884&amp;col=6&amp;number=3&amp;sourceID=14","3")</f>
        <v>3</v>
      </c>
      <c r="G884" s="4" t="str">
        <f>HYPERLINK("http://141.218.60.56/~jnz1568/getInfo.php?workbook=14_13.xlsx&amp;sheet=U0&amp;row=884&amp;col=7&amp;number=0.173&amp;sourceID=14","0.173")</f>
        <v>0.173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HYPERLINK("http://141.218.60.56/~jnz1568/getInfo.php?workbook=14_13.xlsx&amp;sheet=U0&amp;row=885&amp;col=6&amp;number=3.1&amp;sourceID=14","3.1")</f>
        <v>3.1</v>
      </c>
      <c r="G885" s="4" t="str">
        <f>HYPERLINK("http://141.218.60.56/~jnz1568/getInfo.php?workbook=14_13.xlsx&amp;sheet=U0&amp;row=885&amp;col=7&amp;number=0.173&amp;sourceID=14","0.173")</f>
        <v>0.173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HYPERLINK("http://141.218.60.56/~jnz1568/getInfo.php?workbook=14_13.xlsx&amp;sheet=U0&amp;row=886&amp;col=6&amp;number=3.2&amp;sourceID=14","3.2")</f>
        <v>3.2</v>
      </c>
      <c r="G886" s="4" t="str">
        <f>HYPERLINK("http://141.218.60.56/~jnz1568/getInfo.php?workbook=14_13.xlsx&amp;sheet=U0&amp;row=886&amp;col=7&amp;number=0.173&amp;sourceID=14","0.173")</f>
        <v>0.173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HYPERLINK("http://141.218.60.56/~jnz1568/getInfo.php?workbook=14_13.xlsx&amp;sheet=U0&amp;row=887&amp;col=6&amp;number=3.3&amp;sourceID=14","3.3")</f>
        <v>3.3</v>
      </c>
      <c r="G887" s="4" t="str">
        <f>HYPERLINK("http://141.218.60.56/~jnz1568/getInfo.php?workbook=14_13.xlsx&amp;sheet=U0&amp;row=887&amp;col=7&amp;number=0.172&amp;sourceID=14","0.172")</f>
        <v>0.172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HYPERLINK("http://141.218.60.56/~jnz1568/getInfo.php?workbook=14_13.xlsx&amp;sheet=U0&amp;row=888&amp;col=6&amp;number=3.4&amp;sourceID=14","3.4")</f>
        <v>3.4</v>
      </c>
      <c r="G888" s="4" t="str">
        <f>HYPERLINK("http://141.218.60.56/~jnz1568/getInfo.php?workbook=14_13.xlsx&amp;sheet=U0&amp;row=888&amp;col=7&amp;number=0.172&amp;sourceID=14","0.172")</f>
        <v>0.172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HYPERLINK("http://141.218.60.56/~jnz1568/getInfo.php?workbook=14_13.xlsx&amp;sheet=U0&amp;row=889&amp;col=6&amp;number=3.5&amp;sourceID=14","3.5")</f>
        <v>3.5</v>
      </c>
      <c r="G889" s="4" t="str">
        <f>HYPERLINK("http://141.218.60.56/~jnz1568/getInfo.php?workbook=14_13.xlsx&amp;sheet=U0&amp;row=889&amp;col=7&amp;number=0.171&amp;sourceID=14","0.171")</f>
        <v>0.171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HYPERLINK("http://141.218.60.56/~jnz1568/getInfo.php?workbook=14_13.xlsx&amp;sheet=U0&amp;row=890&amp;col=6&amp;number=3.6&amp;sourceID=14","3.6")</f>
        <v>3.6</v>
      </c>
      <c r="G890" s="4" t="str">
        <f>HYPERLINK("http://141.218.60.56/~jnz1568/getInfo.php?workbook=14_13.xlsx&amp;sheet=U0&amp;row=890&amp;col=7&amp;number=0.17&amp;sourceID=14","0.17")</f>
        <v>0.17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HYPERLINK("http://141.218.60.56/~jnz1568/getInfo.php?workbook=14_13.xlsx&amp;sheet=U0&amp;row=891&amp;col=6&amp;number=3.7&amp;sourceID=14","3.7")</f>
        <v>3.7</v>
      </c>
      <c r="G891" s="4" t="str">
        <f>HYPERLINK("http://141.218.60.56/~jnz1568/getInfo.php?workbook=14_13.xlsx&amp;sheet=U0&amp;row=891&amp;col=7&amp;number=0.168&amp;sourceID=14","0.168")</f>
        <v>0.168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HYPERLINK("http://141.218.60.56/~jnz1568/getInfo.php?workbook=14_13.xlsx&amp;sheet=U0&amp;row=892&amp;col=6&amp;number=3.8&amp;sourceID=14","3.8")</f>
        <v>3.8</v>
      </c>
      <c r="G892" s="4" t="str">
        <f>HYPERLINK("http://141.218.60.56/~jnz1568/getInfo.php?workbook=14_13.xlsx&amp;sheet=U0&amp;row=892&amp;col=7&amp;number=0.166&amp;sourceID=14","0.166")</f>
        <v>0.166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HYPERLINK("http://141.218.60.56/~jnz1568/getInfo.php?workbook=14_13.xlsx&amp;sheet=U0&amp;row=893&amp;col=6&amp;number=3.9&amp;sourceID=14","3.9")</f>
        <v>3.9</v>
      </c>
      <c r="G893" s="4" t="str">
        <f>HYPERLINK("http://141.218.60.56/~jnz1568/getInfo.php?workbook=14_13.xlsx&amp;sheet=U0&amp;row=893&amp;col=7&amp;number=0.162&amp;sourceID=14","0.162")</f>
        <v>0.162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HYPERLINK("http://141.218.60.56/~jnz1568/getInfo.php?workbook=14_13.xlsx&amp;sheet=U0&amp;row=894&amp;col=6&amp;number=4&amp;sourceID=14","4")</f>
        <v>4</v>
      </c>
      <c r="G894" s="4" t="str">
        <f>HYPERLINK("http://141.218.60.56/~jnz1568/getInfo.php?workbook=14_13.xlsx&amp;sheet=U0&amp;row=894&amp;col=7&amp;number=0.158&amp;sourceID=14","0.158")</f>
        <v>0.158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HYPERLINK("http://141.218.60.56/~jnz1568/getInfo.php?workbook=14_13.xlsx&amp;sheet=U0&amp;row=895&amp;col=6&amp;number=4.1&amp;sourceID=14","4.1")</f>
        <v>4.1</v>
      </c>
      <c r="G895" s="4" t="str">
        <f>HYPERLINK("http://141.218.60.56/~jnz1568/getInfo.php?workbook=14_13.xlsx&amp;sheet=U0&amp;row=895&amp;col=7&amp;number=0.154&amp;sourceID=14","0.154")</f>
        <v>0.154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HYPERLINK("http://141.218.60.56/~jnz1568/getInfo.php?workbook=14_13.xlsx&amp;sheet=U0&amp;row=896&amp;col=6&amp;number=4.2&amp;sourceID=14","4.2")</f>
        <v>4.2</v>
      </c>
      <c r="G896" s="4" t="str">
        <f>HYPERLINK("http://141.218.60.56/~jnz1568/getInfo.php?workbook=14_13.xlsx&amp;sheet=U0&amp;row=896&amp;col=7&amp;number=0.15&amp;sourceID=14","0.15")</f>
        <v>0.15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HYPERLINK("http://141.218.60.56/~jnz1568/getInfo.php?workbook=14_13.xlsx&amp;sheet=U0&amp;row=897&amp;col=6&amp;number=4.3&amp;sourceID=14","4.3")</f>
        <v>4.3</v>
      </c>
      <c r="G897" s="4" t="str">
        <f>HYPERLINK("http://141.218.60.56/~jnz1568/getInfo.php?workbook=14_13.xlsx&amp;sheet=U0&amp;row=897&amp;col=7&amp;number=0.147&amp;sourceID=14","0.147")</f>
        <v>0.147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HYPERLINK("http://141.218.60.56/~jnz1568/getInfo.php?workbook=14_13.xlsx&amp;sheet=U0&amp;row=898&amp;col=6&amp;number=4.4&amp;sourceID=14","4.4")</f>
        <v>4.4</v>
      </c>
      <c r="G898" s="4" t="str">
        <f>HYPERLINK("http://141.218.60.56/~jnz1568/getInfo.php?workbook=14_13.xlsx&amp;sheet=U0&amp;row=898&amp;col=7&amp;number=0.146&amp;sourceID=14","0.146")</f>
        <v>0.146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HYPERLINK("http://141.218.60.56/~jnz1568/getInfo.php?workbook=14_13.xlsx&amp;sheet=U0&amp;row=899&amp;col=6&amp;number=4.5&amp;sourceID=14","4.5")</f>
        <v>4.5</v>
      </c>
      <c r="G899" s="4" t="str">
        <f>HYPERLINK("http://141.218.60.56/~jnz1568/getInfo.php?workbook=14_13.xlsx&amp;sheet=U0&amp;row=899&amp;col=7&amp;number=0.145&amp;sourceID=14","0.145")</f>
        <v>0.145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HYPERLINK("http://141.218.60.56/~jnz1568/getInfo.php?workbook=14_13.xlsx&amp;sheet=U0&amp;row=900&amp;col=6&amp;number=4.6&amp;sourceID=14","4.6")</f>
        <v>4.6</v>
      </c>
      <c r="G900" s="4" t="str">
        <f>HYPERLINK("http://141.218.60.56/~jnz1568/getInfo.php?workbook=14_13.xlsx&amp;sheet=U0&amp;row=900&amp;col=7&amp;number=0.144&amp;sourceID=14","0.144")</f>
        <v>0.144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HYPERLINK("http://141.218.60.56/~jnz1568/getInfo.php?workbook=14_13.xlsx&amp;sheet=U0&amp;row=901&amp;col=6&amp;number=4.7&amp;sourceID=14","4.7")</f>
        <v>4.7</v>
      </c>
      <c r="G901" s="4" t="str">
        <f>HYPERLINK("http://141.218.60.56/~jnz1568/getInfo.php?workbook=14_13.xlsx&amp;sheet=U0&amp;row=901&amp;col=7&amp;number=0.143&amp;sourceID=14","0.143")</f>
        <v>0.143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HYPERLINK("http://141.218.60.56/~jnz1568/getInfo.php?workbook=14_13.xlsx&amp;sheet=U0&amp;row=902&amp;col=6&amp;number=4.8&amp;sourceID=14","4.8")</f>
        <v>4.8</v>
      </c>
      <c r="G902" s="4" t="str">
        <f>HYPERLINK("http://141.218.60.56/~jnz1568/getInfo.php?workbook=14_13.xlsx&amp;sheet=U0&amp;row=902&amp;col=7&amp;number=0.143&amp;sourceID=14","0.143")</f>
        <v>0.143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HYPERLINK("http://141.218.60.56/~jnz1568/getInfo.php?workbook=14_13.xlsx&amp;sheet=U0&amp;row=903&amp;col=6&amp;number=4.9&amp;sourceID=14","4.9")</f>
        <v>4.9</v>
      </c>
      <c r="G903" s="4" t="str">
        <f>HYPERLINK("http://141.218.60.56/~jnz1568/getInfo.php?workbook=14_13.xlsx&amp;sheet=U0&amp;row=903&amp;col=7&amp;number=0.142&amp;sourceID=14","0.142")</f>
        <v>0.142</v>
      </c>
    </row>
    <row r="904" spans="1:7">
      <c r="A904" s="3">
        <v>14</v>
      </c>
      <c r="B904" s="3">
        <v>13</v>
      </c>
      <c r="C904" s="3">
        <v>2</v>
      </c>
      <c r="D904" s="3">
        <v>20</v>
      </c>
      <c r="E904" s="3">
        <v>1</v>
      </c>
      <c r="F904" s="4" t="str">
        <f>HYPERLINK("http://141.218.60.56/~jnz1568/getInfo.php?workbook=14_13.xlsx&amp;sheet=U0&amp;row=904&amp;col=6&amp;number=3&amp;sourceID=14","3")</f>
        <v>3</v>
      </c>
      <c r="G904" s="4" t="str">
        <f>HYPERLINK("http://141.218.60.56/~jnz1568/getInfo.php?workbook=14_13.xlsx&amp;sheet=U0&amp;row=904&amp;col=7&amp;number=0.371&amp;sourceID=14","0.371")</f>
        <v>0.371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HYPERLINK("http://141.218.60.56/~jnz1568/getInfo.php?workbook=14_13.xlsx&amp;sheet=U0&amp;row=905&amp;col=6&amp;number=3.1&amp;sourceID=14","3.1")</f>
        <v>3.1</v>
      </c>
      <c r="G905" s="4" t="str">
        <f>HYPERLINK("http://141.218.60.56/~jnz1568/getInfo.php?workbook=14_13.xlsx&amp;sheet=U0&amp;row=905&amp;col=7&amp;number=0.378&amp;sourceID=14","0.378")</f>
        <v>0.378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HYPERLINK("http://141.218.60.56/~jnz1568/getInfo.php?workbook=14_13.xlsx&amp;sheet=U0&amp;row=906&amp;col=6&amp;number=3.2&amp;sourceID=14","3.2")</f>
        <v>3.2</v>
      </c>
      <c r="G906" s="4" t="str">
        <f>HYPERLINK("http://141.218.60.56/~jnz1568/getInfo.php?workbook=14_13.xlsx&amp;sheet=U0&amp;row=906&amp;col=7&amp;number=0.386&amp;sourceID=14","0.386")</f>
        <v>0.386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HYPERLINK("http://141.218.60.56/~jnz1568/getInfo.php?workbook=14_13.xlsx&amp;sheet=U0&amp;row=907&amp;col=6&amp;number=3.3&amp;sourceID=14","3.3")</f>
        <v>3.3</v>
      </c>
      <c r="G907" s="4" t="str">
        <f>HYPERLINK("http://141.218.60.56/~jnz1568/getInfo.php?workbook=14_13.xlsx&amp;sheet=U0&amp;row=907&amp;col=7&amp;number=0.394&amp;sourceID=14","0.394")</f>
        <v>0.394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HYPERLINK("http://141.218.60.56/~jnz1568/getInfo.php?workbook=14_13.xlsx&amp;sheet=U0&amp;row=908&amp;col=6&amp;number=3.4&amp;sourceID=14","3.4")</f>
        <v>3.4</v>
      </c>
      <c r="G908" s="4" t="str">
        <f>HYPERLINK("http://141.218.60.56/~jnz1568/getInfo.php?workbook=14_13.xlsx&amp;sheet=U0&amp;row=908&amp;col=7&amp;number=0.404&amp;sourceID=14","0.404")</f>
        <v>0.404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HYPERLINK("http://141.218.60.56/~jnz1568/getInfo.php?workbook=14_13.xlsx&amp;sheet=U0&amp;row=909&amp;col=6&amp;number=3.5&amp;sourceID=14","3.5")</f>
        <v>3.5</v>
      </c>
      <c r="G909" s="4" t="str">
        <f>HYPERLINK("http://141.218.60.56/~jnz1568/getInfo.php?workbook=14_13.xlsx&amp;sheet=U0&amp;row=909&amp;col=7&amp;number=0.413&amp;sourceID=14","0.413")</f>
        <v>0.413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HYPERLINK("http://141.218.60.56/~jnz1568/getInfo.php?workbook=14_13.xlsx&amp;sheet=U0&amp;row=910&amp;col=6&amp;number=3.6&amp;sourceID=14","3.6")</f>
        <v>3.6</v>
      </c>
      <c r="G910" s="4" t="str">
        <f>HYPERLINK("http://141.218.60.56/~jnz1568/getInfo.php?workbook=14_13.xlsx&amp;sheet=U0&amp;row=910&amp;col=7&amp;number=0.421&amp;sourceID=14","0.421")</f>
        <v>0.421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HYPERLINK("http://141.218.60.56/~jnz1568/getInfo.php?workbook=14_13.xlsx&amp;sheet=U0&amp;row=911&amp;col=6&amp;number=3.7&amp;sourceID=14","3.7")</f>
        <v>3.7</v>
      </c>
      <c r="G911" s="4" t="str">
        <f>HYPERLINK("http://141.218.60.56/~jnz1568/getInfo.php?workbook=14_13.xlsx&amp;sheet=U0&amp;row=911&amp;col=7&amp;number=0.425&amp;sourceID=14","0.425")</f>
        <v>0.425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HYPERLINK("http://141.218.60.56/~jnz1568/getInfo.php?workbook=14_13.xlsx&amp;sheet=U0&amp;row=912&amp;col=6&amp;number=3.8&amp;sourceID=14","3.8")</f>
        <v>3.8</v>
      </c>
      <c r="G912" s="4" t="str">
        <f>HYPERLINK("http://141.218.60.56/~jnz1568/getInfo.php?workbook=14_13.xlsx&amp;sheet=U0&amp;row=912&amp;col=7&amp;number=0.426&amp;sourceID=14","0.426")</f>
        <v>0.426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HYPERLINK("http://141.218.60.56/~jnz1568/getInfo.php?workbook=14_13.xlsx&amp;sheet=U0&amp;row=913&amp;col=6&amp;number=3.9&amp;sourceID=14","3.9")</f>
        <v>3.9</v>
      </c>
      <c r="G913" s="4" t="str">
        <f>HYPERLINK("http://141.218.60.56/~jnz1568/getInfo.php?workbook=14_13.xlsx&amp;sheet=U0&amp;row=913&amp;col=7&amp;number=0.425&amp;sourceID=14","0.425")</f>
        <v>0.425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HYPERLINK("http://141.218.60.56/~jnz1568/getInfo.php?workbook=14_13.xlsx&amp;sheet=U0&amp;row=914&amp;col=6&amp;number=4&amp;sourceID=14","4")</f>
        <v>4</v>
      </c>
      <c r="G914" s="4" t="str">
        <f>HYPERLINK("http://141.218.60.56/~jnz1568/getInfo.php?workbook=14_13.xlsx&amp;sheet=U0&amp;row=914&amp;col=7&amp;number=0.423&amp;sourceID=14","0.423")</f>
        <v>0.423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HYPERLINK("http://141.218.60.56/~jnz1568/getInfo.php?workbook=14_13.xlsx&amp;sheet=U0&amp;row=915&amp;col=6&amp;number=4.1&amp;sourceID=14","4.1")</f>
        <v>4.1</v>
      </c>
      <c r="G915" s="4" t="str">
        <f>HYPERLINK("http://141.218.60.56/~jnz1568/getInfo.php?workbook=14_13.xlsx&amp;sheet=U0&amp;row=915&amp;col=7&amp;number=0.422&amp;sourceID=14","0.422")</f>
        <v>0.422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HYPERLINK("http://141.218.60.56/~jnz1568/getInfo.php?workbook=14_13.xlsx&amp;sheet=U0&amp;row=916&amp;col=6&amp;number=4.2&amp;sourceID=14","4.2")</f>
        <v>4.2</v>
      </c>
      <c r="G916" s="4" t="str">
        <f>HYPERLINK("http://141.218.60.56/~jnz1568/getInfo.php?workbook=14_13.xlsx&amp;sheet=U0&amp;row=916&amp;col=7&amp;number=0.423&amp;sourceID=14","0.423")</f>
        <v>0.423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HYPERLINK("http://141.218.60.56/~jnz1568/getInfo.php?workbook=14_13.xlsx&amp;sheet=U0&amp;row=917&amp;col=6&amp;number=4.3&amp;sourceID=14","4.3")</f>
        <v>4.3</v>
      </c>
      <c r="G917" s="4" t="str">
        <f>HYPERLINK("http://141.218.60.56/~jnz1568/getInfo.php?workbook=14_13.xlsx&amp;sheet=U0&amp;row=917&amp;col=7&amp;number=0.427&amp;sourceID=14","0.427")</f>
        <v>0.427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HYPERLINK("http://141.218.60.56/~jnz1568/getInfo.php?workbook=14_13.xlsx&amp;sheet=U0&amp;row=918&amp;col=6&amp;number=4.4&amp;sourceID=14","4.4")</f>
        <v>4.4</v>
      </c>
      <c r="G918" s="4" t="str">
        <f>HYPERLINK("http://141.218.60.56/~jnz1568/getInfo.php?workbook=14_13.xlsx&amp;sheet=U0&amp;row=918&amp;col=7&amp;number=0.433&amp;sourceID=14","0.433")</f>
        <v>0.433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HYPERLINK("http://141.218.60.56/~jnz1568/getInfo.php?workbook=14_13.xlsx&amp;sheet=U0&amp;row=919&amp;col=6&amp;number=4.5&amp;sourceID=14","4.5")</f>
        <v>4.5</v>
      </c>
      <c r="G919" s="4" t="str">
        <f>HYPERLINK("http://141.218.60.56/~jnz1568/getInfo.php?workbook=14_13.xlsx&amp;sheet=U0&amp;row=919&amp;col=7&amp;number=0.443&amp;sourceID=14","0.443")</f>
        <v>0.443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HYPERLINK("http://141.218.60.56/~jnz1568/getInfo.php?workbook=14_13.xlsx&amp;sheet=U0&amp;row=920&amp;col=6&amp;number=4.6&amp;sourceID=14","4.6")</f>
        <v>4.6</v>
      </c>
      <c r="G920" s="4" t="str">
        <f>HYPERLINK("http://141.218.60.56/~jnz1568/getInfo.php?workbook=14_13.xlsx&amp;sheet=U0&amp;row=920&amp;col=7&amp;number=0.452&amp;sourceID=14","0.452")</f>
        <v>0.452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HYPERLINK("http://141.218.60.56/~jnz1568/getInfo.php?workbook=14_13.xlsx&amp;sheet=U0&amp;row=921&amp;col=6&amp;number=4.7&amp;sourceID=14","4.7")</f>
        <v>4.7</v>
      </c>
      <c r="G921" s="4" t="str">
        <f>HYPERLINK("http://141.218.60.56/~jnz1568/getInfo.php?workbook=14_13.xlsx&amp;sheet=U0&amp;row=921&amp;col=7&amp;number=0.461&amp;sourceID=14","0.461")</f>
        <v>0.461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HYPERLINK("http://141.218.60.56/~jnz1568/getInfo.php?workbook=14_13.xlsx&amp;sheet=U0&amp;row=922&amp;col=6&amp;number=4.8&amp;sourceID=14","4.8")</f>
        <v>4.8</v>
      </c>
      <c r="G922" s="4" t="str">
        <f>HYPERLINK("http://141.218.60.56/~jnz1568/getInfo.php?workbook=14_13.xlsx&amp;sheet=U0&amp;row=922&amp;col=7&amp;number=0.468&amp;sourceID=14","0.468")</f>
        <v>0.468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HYPERLINK("http://141.218.60.56/~jnz1568/getInfo.php?workbook=14_13.xlsx&amp;sheet=U0&amp;row=923&amp;col=6&amp;number=4.9&amp;sourceID=14","4.9")</f>
        <v>4.9</v>
      </c>
      <c r="G923" s="4" t="str">
        <f>HYPERLINK("http://141.218.60.56/~jnz1568/getInfo.php?workbook=14_13.xlsx&amp;sheet=U0&amp;row=923&amp;col=7&amp;number=0.471&amp;sourceID=14","0.471")</f>
        <v>0.471</v>
      </c>
    </row>
    <row r="924" spans="1:7">
      <c r="A924" s="3">
        <v>14</v>
      </c>
      <c r="B924" s="3">
        <v>13</v>
      </c>
      <c r="C924" s="3">
        <v>2</v>
      </c>
      <c r="D924" s="3">
        <v>21</v>
      </c>
      <c r="E924" s="3">
        <v>1</v>
      </c>
      <c r="F924" s="4" t="str">
        <f>HYPERLINK("http://141.218.60.56/~jnz1568/getInfo.php?workbook=14_13.xlsx&amp;sheet=U0&amp;row=924&amp;col=6&amp;number=3&amp;sourceID=14","3")</f>
        <v>3</v>
      </c>
      <c r="G924" s="4" t="str">
        <f>HYPERLINK("http://141.218.60.56/~jnz1568/getInfo.php?workbook=14_13.xlsx&amp;sheet=U0&amp;row=924&amp;col=7&amp;number=0.232&amp;sourceID=14","0.232")</f>
        <v>0.232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HYPERLINK("http://141.218.60.56/~jnz1568/getInfo.php?workbook=14_13.xlsx&amp;sheet=U0&amp;row=925&amp;col=6&amp;number=3.1&amp;sourceID=14","3.1")</f>
        <v>3.1</v>
      </c>
      <c r="G925" s="4" t="str">
        <f>HYPERLINK("http://141.218.60.56/~jnz1568/getInfo.php?workbook=14_13.xlsx&amp;sheet=U0&amp;row=925&amp;col=7&amp;number=0.237&amp;sourceID=14","0.237")</f>
        <v>0.237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HYPERLINK("http://141.218.60.56/~jnz1568/getInfo.php?workbook=14_13.xlsx&amp;sheet=U0&amp;row=926&amp;col=6&amp;number=3.2&amp;sourceID=14","3.2")</f>
        <v>3.2</v>
      </c>
      <c r="G926" s="4" t="str">
        <f>HYPERLINK("http://141.218.60.56/~jnz1568/getInfo.php?workbook=14_13.xlsx&amp;sheet=U0&amp;row=926&amp;col=7&amp;number=0.243&amp;sourceID=14","0.243")</f>
        <v>0.243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HYPERLINK("http://141.218.60.56/~jnz1568/getInfo.php?workbook=14_13.xlsx&amp;sheet=U0&amp;row=927&amp;col=6&amp;number=3.3&amp;sourceID=14","3.3")</f>
        <v>3.3</v>
      </c>
      <c r="G927" s="4" t="str">
        <f>HYPERLINK("http://141.218.60.56/~jnz1568/getInfo.php?workbook=14_13.xlsx&amp;sheet=U0&amp;row=927&amp;col=7&amp;number=0.25&amp;sourceID=14","0.25")</f>
        <v>0.25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HYPERLINK("http://141.218.60.56/~jnz1568/getInfo.php?workbook=14_13.xlsx&amp;sheet=U0&amp;row=928&amp;col=6&amp;number=3.4&amp;sourceID=14","3.4")</f>
        <v>3.4</v>
      </c>
      <c r="G928" s="4" t="str">
        <f>HYPERLINK("http://141.218.60.56/~jnz1568/getInfo.php?workbook=14_13.xlsx&amp;sheet=U0&amp;row=928&amp;col=7&amp;number=0.257&amp;sourceID=14","0.257")</f>
        <v>0.257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HYPERLINK("http://141.218.60.56/~jnz1568/getInfo.php?workbook=14_13.xlsx&amp;sheet=U0&amp;row=929&amp;col=6&amp;number=3.5&amp;sourceID=14","3.5")</f>
        <v>3.5</v>
      </c>
      <c r="G929" s="4" t="str">
        <f>HYPERLINK("http://141.218.60.56/~jnz1568/getInfo.php?workbook=14_13.xlsx&amp;sheet=U0&amp;row=929&amp;col=7&amp;number=0.265&amp;sourceID=14","0.265")</f>
        <v>0.265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HYPERLINK("http://141.218.60.56/~jnz1568/getInfo.php?workbook=14_13.xlsx&amp;sheet=U0&amp;row=930&amp;col=6&amp;number=3.6&amp;sourceID=14","3.6")</f>
        <v>3.6</v>
      </c>
      <c r="G930" s="4" t="str">
        <f>HYPERLINK("http://141.218.60.56/~jnz1568/getInfo.php?workbook=14_13.xlsx&amp;sheet=U0&amp;row=930&amp;col=7&amp;number=0.273&amp;sourceID=14","0.273")</f>
        <v>0.273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HYPERLINK("http://141.218.60.56/~jnz1568/getInfo.php?workbook=14_13.xlsx&amp;sheet=U0&amp;row=931&amp;col=6&amp;number=3.7&amp;sourceID=14","3.7")</f>
        <v>3.7</v>
      </c>
      <c r="G931" s="4" t="str">
        <f>HYPERLINK("http://141.218.60.56/~jnz1568/getInfo.php?workbook=14_13.xlsx&amp;sheet=U0&amp;row=931&amp;col=7&amp;number=0.278&amp;sourceID=14","0.278")</f>
        <v>0.278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HYPERLINK("http://141.218.60.56/~jnz1568/getInfo.php?workbook=14_13.xlsx&amp;sheet=U0&amp;row=932&amp;col=6&amp;number=3.8&amp;sourceID=14","3.8")</f>
        <v>3.8</v>
      </c>
      <c r="G932" s="4" t="str">
        <f>HYPERLINK("http://141.218.60.56/~jnz1568/getInfo.php?workbook=14_13.xlsx&amp;sheet=U0&amp;row=932&amp;col=7&amp;number=0.281&amp;sourceID=14","0.281")</f>
        <v>0.281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HYPERLINK("http://141.218.60.56/~jnz1568/getInfo.php?workbook=14_13.xlsx&amp;sheet=U0&amp;row=933&amp;col=6&amp;number=3.9&amp;sourceID=14","3.9")</f>
        <v>3.9</v>
      </c>
      <c r="G933" s="4" t="str">
        <f>HYPERLINK("http://141.218.60.56/~jnz1568/getInfo.php?workbook=14_13.xlsx&amp;sheet=U0&amp;row=933&amp;col=7&amp;number=0.282&amp;sourceID=14","0.282")</f>
        <v>0.282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HYPERLINK("http://141.218.60.56/~jnz1568/getInfo.php?workbook=14_13.xlsx&amp;sheet=U0&amp;row=934&amp;col=6&amp;number=4&amp;sourceID=14","4")</f>
        <v>4</v>
      </c>
      <c r="G934" s="4" t="str">
        <f>HYPERLINK("http://141.218.60.56/~jnz1568/getInfo.php?workbook=14_13.xlsx&amp;sheet=U0&amp;row=934&amp;col=7&amp;number=0.28&amp;sourceID=14","0.28")</f>
        <v>0.28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HYPERLINK("http://141.218.60.56/~jnz1568/getInfo.php?workbook=14_13.xlsx&amp;sheet=U0&amp;row=935&amp;col=6&amp;number=4.1&amp;sourceID=14","4.1")</f>
        <v>4.1</v>
      </c>
      <c r="G935" s="4" t="str">
        <f>HYPERLINK("http://141.218.60.56/~jnz1568/getInfo.php?workbook=14_13.xlsx&amp;sheet=U0&amp;row=935&amp;col=7&amp;number=0.278&amp;sourceID=14","0.278")</f>
        <v>0.278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HYPERLINK("http://141.218.60.56/~jnz1568/getInfo.php?workbook=14_13.xlsx&amp;sheet=U0&amp;row=936&amp;col=6&amp;number=4.2&amp;sourceID=14","4.2")</f>
        <v>4.2</v>
      </c>
      <c r="G936" s="4" t="str">
        <f>HYPERLINK("http://141.218.60.56/~jnz1568/getInfo.php?workbook=14_13.xlsx&amp;sheet=U0&amp;row=936&amp;col=7&amp;number=0.276&amp;sourceID=14","0.276")</f>
        <v>0.276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HYPERLINK("http://141.218.60.56/~jnz1568/getInfo.php?workbook=14_13.xlsx&amp;sheet=U0&amp;row=937&amp;col=6&amp;number=4.3&amp;sourceID=14","4.3")</f>
        <v>4.3</v>
      </c>
      <c r="G937" s="4" t="str">
        <f>HYPERLINK("http://141.218.60.56/~jnz1568/getInfo.php?workbook=14_13.xlsx&amp;sheet=U0&amp;row=937&amp;col=7&amp;number=0.276&amp;sourceID=14","0.276")</f>
        <v>0.276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HYPERLINK("http://141.218.60.56/~jnz1568/getInfo.php?workbook=14_13.xlsx&amp;sheet=U0&amp;row=938&amp;col=6&amp;number=4.4&amp;sourceID=14","4.4")</f>
        <v>4.4</v>
      </c>
      <c r="G938" s="4" t="str">
        <f>HYPERLINK("http://141.218.60.56/~jnz1568/getInfo.php?workbook=14_13.xlsx&amp;sheet=U0&amp;row=938&amp;col=7&amp;number=0.276&amp;sourceID=14","0.276")</f>
        <v>0.276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HYPERLINK("http://141.218.60.56/~jnz1568/getInfo.php?workbook=14_13.xlsx&amp;sheet=U0&amp;row=939&amp;col=6&amp;number=4.5&amp;sourceID=14","4.5")</f>
        <v>4.5</v>
      </c>
      <c r="G939" s="4" t="str">
        <f>HYPERLINK("http://141.218.60.56/~jnz1568/getInfo.php?workbook=14_13.xlsx&amp;sheet=U0&amp;row=939&amp;col=7&amp;number=0.276&amp;sourceID=14","0.276")</f>
        <v>0.276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HYPERLINK("http://141.218.60.56/~jnz1568/getInfo.php?workbook=14_13.xlsx&amp;sheet=U0&amp;row=940&amp;col=6&amp;number=4.6&amp;sourceID=14","4.6")</f>
        <v>4.6</v>
      </c>
      <c r="G940" s="4" t="str">
        <f>HYPERLINK("http://141.218.60.56/~jnz1568/getInfo.php?workbook=14_13.xlsx&amp;sheet=U0&amp;row=940&amp;col=7&amp;number=0.277&amp;sourceID=14","0.277")</f>
        <v>0.277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HYPERLINK("http://141.218.60.56/~jnz1568/getInfo.php?workbook=14_13.xlsx&amp;sheet=U0&amp;row=941&amp;col=6&amp;number=4.7&amp;sourceID=14","4.7")</f>
        <v>4.7</v>
      </c>
      <c r="G941" s="4" t="str">
        <f>HYPERLINK("http://141.218.60.56/~jnz1568/getInfo.php?workbook=14_13.xlsx&amp;sheet=U0&amp;row=941&amp;col=7&amp;number=0.276&amp;sourceID=14","0.276")</f>
        <v>0.276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HYPERLINK("http://141.218.60.56/~jnz1568/getInfo.php?workbook=14_13.xlsx&amp;sheet=U0&amp;row=942&amp;col=6&amp;number=4.8&amp;sourceID=14","4.8")</f>
        <v>4.8</v>
      </c>
      <c r="G942" s="4" t="str">
        <f>HYPERLINK("http://141.218.60.56/~jnz1568/getInfo.php?workbook=14_13.xlsx&amp;sheet=U0&amp;row=942&amp;col=7&amp;number=0.274&amp;sourceID=14","0.274")</f>
        <v>0.274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HYPERLINK("http://141.218.60.56/~jnz1568/getInfo.php?workbook=14_13.xlsx&amp;sheet=U0&amp;row=943&amp;col=6&amp;number=4.9&amp;sourceID=14","4.9")</f>
        <v>4.9</v>
      </c>
      <c r="G943" s="4" t="str">
        <f>HYPERLINK("http://141.218.60.56/~jnz1568/getInfo.php?workbook=14_13.xlsx&amp;sheet=U0&amp;row=943&amp;col=7&amp;number=0.271&amp;sourceID=14","0.271")</f>
        <v>0.271</v>
      </c>
    </row>
    <row r="944" spans="1:7">
      <c r="A944" s="3">
        <v>14</v>
      </c>
      <c r="B944" s="3">
        <v>13</v>
      </c>
      <c r="C944" s="3">
        <v>2</v>
      </c>
      <c r="D944" s="3">
        <v>22</v>
      </c>
      <c r="E944" s="3">
        <v>1</v>
      </c>
      <c r="F944" s="4" t="str">
        <f>HYPERLINK("http://141.218.60.56/~jnz1568/getInfo.php?workbook=14_13.xlsx&amp;sheet=U0&amp;row=944&amp;col=6&amp;number=3&amp;sourceID=14","3")</f>
        <v>3</v>
      </c>
      <c r="G944" s="4" t="str">
        <f>HYPERLINK("http://141.218.60.56/~jnz1568/getInfo.php?workbook=14_13.xlsx&amp;sheet=U0&amp;row=944&amp;col=7&amp;number=0.451&amp;sourceID=14","0.451")</f>
        <v>0.451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HYPERLINK("http://141.218.60.56/~jnz1568/getInfo.php?workbook=14_13.xlsx&amp;sheet=U0&amp;row=945&amp;col=6&amp;number=3.1&amp;sourceID=14","3.1")</f>
        <v>3.1</v>
      </c>
      <c r="G945" s="4" t="str">
        <f>HYPERLINK("http://141.218.60.56/~jnz1568/getInfo.php?workbook=14_13.xlsx&amp;sheet=U0&amp;row=945&amp;col=7&amp;number=0.461&amp;sourceID=14","0.461")</f>
        <v>0.461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HYPERLINK("http://141.218.60.56/~jnz1568/getInfo.php?workbook=14_13.xlsx&amp;sheet=U0&amp;row=946&amp;col=6&amp;number=3.2&amp;sourceID=14","3.2")</f>
        <v>3.2</v>
      </c>
      <c r="G946" s="4" t="str">
        <f>HYPERLINK("http://141.218.60.56/~jnz1568/getInfo.php?workbook=14_13.xlsx&amp;sheet=U0&amp;row=946&amp;col=7&amp;number=0.473&amp;sourceID=14","0.473")</f>
        <v>0.473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HYPERLINK("http://141.218.60.56/~jnz1568/getInfo.php?workbook=14_13.xlsx&amp;sheet=U0&amp;row=947&amp;col=6&amp;number=3.3&amp;sourceID=14","3.3")</f>
        <v>3.3</v>
      </c>
      <c r="G947" s="4" t="str">
        <f>HYPERLINK("http://141.218.60.56/~jnz1568/getInfo.php?workbook=14_13.xlsx&amp;sheet=U0&amp;row=947&amp;col=7&amp;number=0.486&amp;sourceID=14","0.486")</f>
        <v>0.486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HYPERLINK("http://141.218.60.56/~jnz1568/getInfo.php?workbook=14_13.xlsx&amp;sheet=U0&amp;row=948&amp;col=6&amp;number=3.4&amp;sourceID=14","3.4")</f>
        <v>3.4</v>
      </c>
      <c r="G948" s="4" t="str">
        <f>HYPERLINK("http://141.218.60.56/~jnz1568/getInfo.php?workbook=14_13.xlsx&amp;sheet=U0&amp;row=948&amp;col=7&amp;number=0.502&amp;sourceID=14","0.502")</f>
        <v>0.502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HYPERLINK("http://141.218.60.56/~jnz1568/getInfo.php?workbook=14_13.xlsx&amp;sheet=U0&amp;row=949&amp;col=6&amp;number=3.5&amp;sourceID=14","3.5")</f>
        <v>3.5</v>
      </c>
      <c r="G949" s="4" t="str">
        <f>HYPERLINK("http://141.218.60.56/~jnz1568/getInfo.php?workbook=14_13.xlsx&amp;sheet=U0&amp;row=949&amp;col=7&amp;number=0.519&amp;sourceID=14","0.519")</f>
        <v>0.519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HYPERLINK("http://141.218.60.56/~jnz1568/getInfo.php?workbook=14_13.xlsx&amp;sheet=U0&amp;row=950&amp;col=6&amp;number=3.6&amp;sourceID=14","3.6")</f>
        <v>3.6</v>
      </c>
      <c r="G950" s="4" t="str">
        <f>HYPERLINK("http://141.218.60.56/~jnz1568/getInfo.php?workbook=14_13.xlsx&amp;sheet=U0&amp;row=950&amp;col=7&amp;number=0.535&amp;sourceID=14","0.535")</f>
        <v>0.535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HYPERLINK("http://141.218.60.56/~jnz1568/getInfo.php?workbook=14_13.xlsx&amp;sheet=U0&amp;row=951&amp;col=6&amp;number=3.7&amp;sourceID=14","3.7")</f>
        <v>3.7</v>
      </c>
      <c r="G951" s="4" t="str">
        <f>HYPERLINK("http://141.218.60.56/~jnz1568/getInfo.php?workbook=14_13.xlsx&amp;sheet=U0&amp;row=951&amp;col=7&amp;number=0.548&amp;sourceID=14","0.548")</f>
        <v>0.548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HYPERLINK("http://141.218.60.56/~jnz1568/getInfo.php?workbook=14_13.xlsx&amp;sheet=U0&amp;row=952&amp;col=6&amp;number=3.8&amp;sourceID=14","3.8")</f>
        <v>3.8</v>
      </c>
      <c r="G952" s="4" t="str">
        <f>HYPERLINK("http://141.218.60.56/~jnz1568/getInfo.php?workbook=14_13.xlsx&amp;sheet=U0&amp;row=952&amp;col=7&amp;number=0.557&amp;sourceID=14","0.557")</f>
        <v>0.557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HYPERLINK("http://141.218.60.56/~jnz1568/getInfo.php?workbook=14_13.xlsx&amp;sheet=U0&amp;row=953&amp;col=6&amp;number=3.9&amp;sourceID=14","3.9")</f>
        <v>3.9</v>
      </c>
      <c r="G953" s="4" t="str">
        <f>HYPERLINK("http://141.218.60.56/~jnz1568/getInfo.php?workbook=14_13.xlsx&amp;sheet=U0&amp;row=953&amp;col=7&amp;number=0.564&amp;sourceID=14","0.564")</f>
        <v>0.564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HYPERLINK("http://141.218.60.56/~jnz1568/getInfo.php?workbook=14_13.xlsx&amp;sheet=U0&amp;row=954&amp;col=6&amp;number=4&amp;sourceID=14","4")</f>
        <v>4</v>
      </c>
      <c r="G954" s="4" t="str">
        <f>HYPERLINK("http://141.218.60.56/~jnz1568/getInfo.php?workbook=14_13.xlsx&amp;sheet=U0&amp;row=954&amp;col=7&amp;number=0.569&amp;sourceID=14","0.569")</f>
        <v>0.569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HYPERLINK("http://141.218.60.56/~jnz1568/getInfo.php?workbook=14_13.xlsx&amp;sheet=U0&amp;row=955&amp;col=6&amp;number=4.1&amp;sourceID=14","4.1")</f>
        <v>4.1</v>
      </c>
      <c r="G955" s="4" t="str">
        <f>HYPERLINK("http://141.218.60.56/~jnz1568/getInfo.php?workbook=14_13.xlsx&amp;sheet=U0&amp;row=955&amp;col=7&amp;number=0.576&amp;sourceID=14","0.576")</f>
        <v>0.576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HYPERLINK("http://141.218.60.56/~jnz1568/getInfo.php?workbook=14_13.xlsx&amp;sheet=U0&amp;row=956&amp;col=6&amp;number=4.2&amp;sourceID=14","4.2")</f>
        <v>4.2</v>
      </c>
      <c r="G956" s="4" t="str">
        <f>HYPERLINK("http://141.218.60.56/~jnz1568/getInfo.php?workbook=14_13.xlsx&amp;sheet=U0&amp;row=956&amp;col=7&amp;number=0.584&amp;sourceID=14","0.584")</f>
        <v>0.584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HYPERLINK("http://141.218.60.56/~jnz1568/getInfo.php?workbook=14_13.xlsx&amp;sheet=U0&amp;row=957&amp;col=6&amp;number=4.3&amp;sourceID=14","4.3")</f>
        <v>4.3</v>
      </c>
      <c r="G957" s="4" t="str">
        <f>HYPERLINK("http://141.218.60.56/~jnz1568/getInfo.php?workbook=14_13.xlsx&amp;sheet=U0&amp;row=957&amp;col=7&amp;number=0.596&amp;sourceID=14","0.596")</f>
        <v>0.596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HYPERLINK("http://141.218.60.56/~jnz1568/getInfo.php?workbook=14_13.xlsx&amp;sheet=U0&amp;row=958&amp;col=6&amp;number=4.4&amp;sourceID=14","4.4")</f>
        <v>4.4</v>
      </c>
      <c r="G958" s="4" t="str">
        <f>HYPERLINK("http://141.218.60.56/~jnz1568/getInfo.php?workbook=14_13.xlsx&amp;sheet=U0&amp;row=958&amp;col=7&amp;number=0.61&amp;sourceID=14","0.61")</f>
        <v>0.61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HYPERLINK("http://141.218.60.56/~jnz1568/getInfo.php?workbook=14_13.xlsx&amp;sheet=U0&amp;row=959&amp;col=6&amp;number=4.5&amp;sourceID=14","4.5")</f>
        <v>4.5</v>
      </c>
      <c r="G959" s="4" t="str">
        <f>HYPERLINK("http://141.218.60.56/~jnz1568/getInfo.php?workbook=14_13.xlsx&amp;sheet=U0&amp;row=959&amp;col=7&amp;number=0.626&amp;sourceID=14","0.626")</f>
        <v>0.626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HYPERLINK("http://141.218.60.56/~jnz1568/getInfo.php?workbook=14_13.xlsx&amp;sheet=U0&amp;row=960&amp;col=6&amp;number=4.6&amp;sourceID=14","4.6")</f>
        <v>4.6</v>
      </c>
      <c r="G960" s="4" t="str">
        <f>HYPERLINK("http://141.218.60.56/~jnz1568/getInfo.php?workbook=14_13.xlsx&amp;sheet=U0&amp;row=960&amp;col=7&amp;number=0.643&amp;sourceID=14","0.643")</f>
        <v>0.643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HYPERLINK("http://141.218.60.56/~jnz1568/getInfo.php?workbook=14_13.xlsx&amp;sheet=U0&amp;row=961&amp;col=6&amp;number=4.7&amp;sourceID=14","4.7")</f>
        <v>4.7</v>
      </c>
      <c r="G961" s="4" t="str">
        <f>HYPERLINK("http://141.218.60.56/~jnz1568/getInfo.php?workbook=14_13.xlsx&amp;sheet=U0&amp;row=961&amp;col=7&amp;number=0.66&amp;sourceID=14","0.66")</f>
        <v>0.66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HYPERLINK("http://141.218.60.56/~jnz1568/getInfo.php?workbook=14_13.xlsx&amp;sheet=U0&amp;row=962&amp;col=6&amp;number=4.8&amp;sourceID=14","4.8")</f>
        <v>4.8</v>
      </c>
      <c r="G962" s="4" t="str">
        <f>HYPERLINK("http://141.218.60.56/~jnz1568/getInfo.php?workbook=14_13.xlsx&amp;sheet=U0&amp;row=962&amp;col=7&amp;number=0.676&amp;sourceID=14","0.676")</f>
        <v>0.676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HYPERLINK("http://141.218.60.56/~jnz1568/getInfo.php?workbook=14_13.xlsx&amp;sheet=U0&amp;row=963&amp;col=6&amp;number=4.9&amp;sourceID=14","4.9")</f>
        <v>4.9</v>
      </c>
      <c r="G963" s="4" t="str">
        <f>HYPERLINK("http://141.218.60.56/~jnz1568/getInfo.php?workbook=14_13.xlsx&amp;sheet=U0&amp;row=963&amp;col=7&amp;number=0.69&amp;sourceID=14","0.69")</f>
        <v>0.69</v>
      </c>
    </row>
    <row r="964" spans="1:7">
      <c r="A964" s="3">
        <v>14</v>
      </c>
      <c r="B964" s="3">
        <v>13</v>
      </c>
      <c r="C964" s="3">
        <v>2</v>
      </c>
      <c r="D964" s="3">
        <v>23</v>
      </c>
      <c r="E964" s="3">
        <v>1</v>
      </c>
      <c r="F964" s="4" t="str">
        <f>HYPERLINK("http://141.218.60.56/~jnz1568/getInfo.php?workbook=14_13.xlsx&amp;sheet=U0&amp;row=964&amp;col=6&amp;number=3&amp;sourceID=14","3")</f>
        <v>3</v>
      </c>
      <c r="G964" s="4" t="str">
        <f>HYPERLINK("http://141.218.60.56/~jnz1568/getInfo.php?workbook=14_13.xlsx&amp;sheet=U0&amp;row=964&amp;col=7&amp;number=0.414&amp;sourceID=14","0.414")</f>
        <v>0.414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HYPERLINK("http://141.218.60.56/~jnz1568/getInfo.php?workbook=14_13.xlsx&amp;sheet=U0&amp;row=965&amp;col=6&amp;number=3.1&amp;sourceID=14","3.1")</f>
        <v>3.1</v>
      </c>
      <c r="G965" s="4" t="str">
        <f>HYPERLINK("http://141.218.60.56/~jnz1568/getInfo.php?workbook=14_13.xlsx&amp;sheet=U0&amp;row=965&amp;col=7&amp;number=0.413&amp;sourceID=14","0.413")</f>
        <v>0.413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HYPERLINK("http://141.218.60.56/~jnz1568/getInfo.php?workbook=14_13.xlsx&amp;sheet=U0&amp;row=966&amp;col=6&amp;number=3.2&amp;sourceID=14","3.2")</f>
        <v>3.2</v>
      </c>
      <c r="G966" s="4" t="str">
        <f>HYPERLINK("http://141.218.60.56/~jnz1568/getInfo.php?workbook=14_13.xlsx&amp;sheet=U0&amp;row=966&amp;col=7&amp;number=0.412&amp;sourceID=14","0.412")</f>
        <v>0.412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HYPERLINK("http://141.218.60.56/~jnz1568/getInfo.php?workbook=14_13.xlsx&amp;sheet=U0&amp;row=967&amp;col=6&amp;number=3.3&amp;sourceID=14","3.3")</f>
        <v>3.3</v>
      </c>
      <c r="G967" s="4" t="str">
        <f>HYPERLINK("http://141.218.60.56/~jnz1568/getInfo.php?workbook=14_13.xlsx&amp;sheet=U0&amp;row=967&amp;col=7&amp;number=0.41&amp;sourceID=14","0.41")</f>
        <v>0.41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HYPERLINK("http://141.218.60.56/~jnz1568/getInfo.php?workbook=14_13.xlsx&amp;sheet=U0&amp;row=968&amp;col=6&amp;number=3.4&amp;sourceID=14","3.4")</f>
        <v>3.4</v>
      </c>
      <c r="G968" s="4" t="str">
        <f>HYPERLINK("http://141.218.60.56/~jnz1568/getInfo.php?workbook=14_13.xlsx&amp;sheet=U0&amp;row=968&amp;col=7&amp;number=0.409&amp;sourceID=14","0.409")</f>
        <v>0.409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HYPERLINK("http://141.218.60.56/~jnz1568/getInfo.php?workbook=14_13.xlsx&amp;sheet=U0&amp;row=969&amp;col=6&amp;number=3.5&amp;sourceID=14","3.5")</f>
        <v>3.5</v>
      </c>
      <c r="G969" s="4" t="str">
        <f>HYPERLINK("http://141.218.60.56/~jnz1568/getInfo.php?workbook=14_13.xlsx&amp;sheet=U0&amp;row=969&amp;col=7&amp;number=0.407&amp;sourceID=14","0.407")</f>
        <v>0.407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HYPERLINK("http://141.218.60.56/~jnz1568/getInfo.php?workbook=14_13.xlsx&amp;sheet=U0&amp;row=970&amp;col=6&amp;number=3.6&amp;sourceID=14","3.6")</f>
        <v>3.6</v>
      </c>
      <c r="G970" s="4" t="str">
        <f>HYPERLINK("http://141.218.60.56/~jnz1568/getInfo.php?workbook=14_13.xlsx&amp;sheet=U0&amp;row=970&amp;col=7&amp;number=0.405&amp;sourceID=14","0.405")</f>
        <v>0.405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HYPERLINK("http://141.218.60.56/~jnz1568/getInfo.php?workbook=14_13.xlsx&amp;sheet=U0&amp;row=971&amp;col=6&amp;number=3.7&amp;sourceID=14","3.7")</f>
        <v>3.7</v>
      </c>
      <c r="G971" s="4" t="str">
        <f>HYPERLINK("http://141.218.60.56/~jnz1568/getInfo.php?workbook=14_13.xlsx&amp;sheet=U0&amp;row=971&amp;col=7&amp;number=0.403&amp;sourceID=14","0.403")</f>
        <v>0.403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HYPERLINK("http://141.218.60.56/~jnz1568/getInfo.php?workbook=14_13.xlsx&amp;sheet=U0&amp;row=972&amp;col=6&amp;number=3.8&amp;sourceID=14","3.8")</f>
        <v>3.8</v>
      </c>
      <c r="G972" s="4" t="str">
        <f>HYPERLINK("http://141.218.60.56/~jnz1568/getInfo.php?workbook=14_13.xlsx&amp;sheet=U0&amp;row=972&amp;col=7&amp;number=0.402&amp;sourceID=14","0.402")</f>
        <v>0.402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HYPERLINK("http://141.218.60.56/~jnz1568/getInfo.php?workbook=14_13.xlsx&amp;sheet=U0&amp;row=973&amp;col=6&amp;number=3.9&amp;sourceID=14","3.9")</f>
        <v>3.9</v>
      </c>
      <c r="G973" s="4" t="str">
        <f>HYPERLINK("http://141.218.60.56/~jnz1568/getInfo.php?workbook=14_13.xlsx&amp;sheet=U0&amp;row=973&amp;col=7&amp;number=0.4&amp;sourceID=14","0.4")</f>
        <v>0.4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HYPERLINK("http://141.218.60.56/~jnz1568/getInfo.php?workbook=14_13.xlsx&amp;sheet=U0&amp;row=974&amp;col=6&amp;number=4&amp;sourceID=14","4")</f>
        <v>4</v>
      </c>
      <c r="G974" s="4" t="str">
        <f>HYPERLINK("http://141.218.60.56/~jnz1568/getInfo.php?workbook=14_13.xlsx&amp;sheet=U0&amp;row=974&amp;col=7&amp;number=0.399&amp;sourceID=14","0.399")</f>
        <v>0.399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HYPERLINK("http://141.218.60.56/~jnz1568/getInfo.php?workbook=14_13.xlsx&amp;sheet=U0&amp;row=975&amp;col=6&amp;number=4.1&amp;sourceID=14","4.1")</f>
        <v>4.1</v>
      </c>
      <c r="G975" s="4" t="str">
        <f>HYPERLINK("http://141.218.60.56/~jnz1568/getInfo.php?workbook=14_13.xlsx&amp;sheet=U0&amp;row=975&amp;col=7&amp;number=0.398&amp;sourceID=14","0.398")</f>
        <v>0.398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HYPERLINK("http://141.218.60.56/~jnz1568/getInfo.php?workbook=14_13.xlsx&amp;sheet=U0&amp;row=976&amp;col=6&amp;number=4.2&amp;sourceID=14","4.2")</f>
        <v>4.2</v>
      </c>
      <c r="G976" s="4" t="str">
        <f>HYPERLINK("http://141.218.60.56/~jnz1568/getInfo.php?workbook=14_13.xlsx&amp;sheet=U0&amp;row=976&amp;col=7&amp;number=0.397&amp;sourceID=14","0.397")</f>
        <v>0.397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HYPERLINK("http://141.218.60.56/~jnz1568/getInfo.php?workbook=14_13.xlsx&amp;sheet=U0&amp;row=977&amp;col=6&amp;number=4.3&amp;sourceID=14","4.3")</f>
        <v>4.3</v>
      </c>
      <c r="G977" s="4" t="str">
        <f>HYPERLINK("http://141.218.60.56/~jnz1568/getInfo.php?workbook=14_13.xlsx&amp;sheet=U0&amp;row=977&amp;col=7&amp;number=0.396&amp;sourceID=14","0.396")</f>
        <v>0.396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HYPERLINK("http://141.218.60.56/~jnz1568/getInfo.php?workbook=14_13.xlsx&amp;sheet=U0&amp;row=978&amp;col=6&amp;number=4.4&amp;sourceID=14","4.4")</f>
        <v>4.4</v>
      </c>
      <c r="G978" s="4" t="str">
        <f>HYPERLINK("http://141.218.60.56/~jnz1568/getInfo.php?workbook=14_13.xlsx&amp;sheet=U0&amp;row=978&amp;col=7&amp;number=0.397&amp;sourceID=14","0.397")</f>
        <v>0.397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HYPERLINK("http://141.218.60.56/~jnz1568/getInfo.php?workbook=14_13.xlsx&amp;sheet=U0&amp;row=979&amp;col=6&amp;number=4.5&amp;sourceID=14","4.5")</f>
        <v>4.5</v>
      </c>
      <c r="G979" s="4" t="str">
        <f>HYPERLINK("http://141.218.60.56/~jnz1568/getInfo.php?workbook=14_13.xlsx&amp;sheet=U0&amp;row=979&amp;col=7&amp;number=0.401&amp;sourceID=14","0.401")</f>
        <v>0.401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HYPERLINK("http://141.218.60.56/~jnz1568/getInfo.php?workbook=14_13.xlsx&amp;sheet=U0&amp;row=980&amp;col=6&amp;number=4.6&amp;sourceID=14","4.6")</f>
        <v>4.6</v>
      </c>
      <c r="G980" s="4" t="str">
        <f>HYPERLINK("http://141.218.60.56/~jnz1568/getInfo.php?workbook=14_13.xlsx&amp;sheet=U0&amp;row=980&amp;col=7&amp;number=0.407&amp;sourceID=14","0.407")</f>
        <v>0.407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HYPERLINK("http://141.218.60.56/~jnz1568/getInfo.php?workbook=14_13.xlsx&amp;sheet=U0&amp;row=981&amp;col=6&amp;number=4.7&amp;sourceID=14","4.7")</f>
        <v>4.7</v>
      </c>
      <c r="G981" s="4" t="str">
        <f>HYPERLINK("http://141.218.60.56/~jnz1568/getInfo.php?workbook=14_13.xlsx&amp;sheet=U0&amp;row=981&amp;col=7&amp;number=0.416&amp;sourceID=14","0.416")</f>
        <v>0.416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HYPERLINK("http://141.218.60.56/~jnz1568/getInfo.php?workbook=14_13.xlsx&amp;sheet=U0&amp;row=982&amp;col=6&amp;number=4.8&amp;sourceID=14","4.8")</f>
        <v>4.8</v>
      </c>
      <c r="G982" s="4" t="str">
        <f>HYPERLINK("http://141.218.60.56/~jnz1568/getInfo.php?workbook=14_13.xlsx&amp;sheet=U0&amp;row=982&amp;col=7&amp;number=0.43&amp;sourceID=14","0.43")</f>
        <v>0.43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HYPERLINK("http://141.218.60.56/~jnz1568/getInfo.php?workbook=14_13.xlsx&amp;sheet=U0&amp;row=983&amp;col=6&amp;number=4.9&amp;sourceID=14","4.9")</f>
        <v>4.9</v>
      </c>
      <c r="G983" s="4" t="str">
        <f>HYPERLINK("http://141.218.60.56/~jnz1568/getInfo.php?workbook=14_13.xlsx&amp;sheet=U0&amp;row=983&amp;col=7&amp;number=0.448&amp;sourceID=14","0.448")</f>
        <v>0.448</v>
      </c>
    </row>
    <row r="984" spans="1:7">
      <c r="A984" s="3">
        <v>14</v>
      </c>
      <c r="B984" s="3">
        <v>13</v>
      </c>
      <c r="C984" s="3">
        <v>2</v>
      </c>
      <c r="D984" s="3">
        <v>24</v>
      </c>
      <c r="E984" s="3">
        <v>1</v>
      </c>
      <c r="F984" s="4" t="str">
        <f>HYPERLINK("http://141.218.60.56/~jnz1568/getInfo.php?workbook=14_13.xlsx&amp;sheet=U0&amp;row=984&amp;col=6&amp;number=3&amp;sourceID=14","3")</f>
        <v>3</v>
      </c>
      <c r="G984" s="4" t="str">
        <f>HYPERLINK("http://141.218.60.56/~jnz1568/getInfo.php?workbook=14_13.xlsx&amp;sheet=U0&amp;row=984&amp;col=7&amp;number=0.864&amp;sourceID=14","0.864")</f>
        <v>0.864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HYPERLINK("http://141.218.60.56/~jnz1568/getInfo.php?workbook=14_13.xlsx&amp;sheet=U0&amp;row=985&amp;col=6&amp;number=3.1&amp;sourceID=14","3.1")</f>
        <v>3.1</v>
      </c>
      <c r="G985" s="4" t="str">
        <f>HYPERLINK("http://141.218.60.56/~jnz1568/getInfo.php?workbook=14_13.xlsx&amp;sheet=U0&amp;row=985&amp;col=7&amp;number=0.863&amp;sourceID=14","0.863")</f>
        <v>0.863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HYPERLINK("http://141.218.60.56/~jnz1568/getInfo.php?workbook=14_13.xlsx&amp;sheet=U0&amp;row=986&amp;col=6&amp;number=3.2&amp;sourceID=14","3.2")</f>
        <v>3.2</v>
      </c>
      <c r="G986" s="4" t="str">
        <f>HYPERLINK("http://141.218.60.56/~jnz1568/getInfo.php?workbook=14_13.xlsx&amp;sheet=U0&amp;row=986&amp;col=7&amp;number=0.862&amp;sourceID=14","0.862")</f>
        <v>0.862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HYPERLINK("http://141.218.60.56/~jnz1568/getInfo.php?workbook=14_13.xlsx&amp;sheet=U0&amp;row=987&amp;col=6&amp;number=3.3&amp;sourceID=14","3.3")</f>
        <v>3.3</v>
      </c>
      <c r="G987" s="4" t="str">
        <f>HYPERLINK("http://141.218.60.56/~jnz1568/getInfo.php?workbook=14_13.xlsx&amp;sheet=U0&amp;row=987&amp;col=7&amp;number=0.861&amp;sourceID=14","0.861")</f>
        <v>0.861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HYPERLINK("http://141.218.60.56/~jnz1568/getInfo.php?workbook=14_13.xlsx&amp;sheet=U0&amp;row=988&amp;col=6&amp;number=3.4&amp;sourceID=14","3.4")</f>
        <v>3.4</v>
      </c>
      <c r="G988" s="4" t="str">
        <f>HYPERLINK("http://141.218.60.56/~jnz1568/getInfo.php?workbook=14_13.xlsx&amp;sheet=U0&amp;row=988&amp;col=7&amp;number=0.859&amp;sourceID=14","0.859")</f>
        <v>0.859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HYPERLINK("http://141.218.60.56/~jnz1568/getInfo.php?workbook=14_13.xlsx&amp;sheet=U0&amp;row=989&amp;col=6&amp;number=3.5&amp;sourceID=14","3.5")</f>
        <v>3.5</v>
      </c>
      <c r="G989" s="4" t="str">
        <f>HYPERLINK("http://141.218.60.56/~jnz1568/getInfo.php?workbook=14_13.xlsx&amp;sheet=U0&amp;row=989&amp;col=7&amp;number=0.857&amp;sourceID=14","0.857")</f>
        <v>0.857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HYPERLINK("http://141.218.60.56/~jnz1568/getInfo.php?workbook=14_13.xlsx&amp;sheet=U0&amp;row=990&amp;col=6&amp;number=3.6&amp;sourceID=14","3.6")</f>
        <v>3.6</v>
      </c>
      <c r="G990" s="4" t="str">
        <f>HYPERLINK("http://141.218.60.56/~jnz1568/getInfo.php?workbook=14_13.xlsx&amp;sheet=U0&amp;row=990&amp;col=7&amp;number=0.855&amp;sourceID=14","0.855")</f>
        <v>0.855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HYPERLINK("http://141.218.60.56/~jnz1568/getInfo.php?workbook=14_13.xlsx&amp;sheet=U0&amp;row=991&amp;col=6&amp;number=3.7&amp;sourceID=14","3.7")</f>
        <v>3.7</v>
      </c>
      <c r="G991" s="4" t="str">
        <f>HYPERLINK("http://141.218.60.56/~jnz1568/getInfo.php?workbook=14_13.xlsx&amp;sheet=U0&amp;row=991&amp;col=7&amp;number=0.852&amp;sourceID=14","0.852")</f>
        <v>0.852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HYPERLINK("http://141.218.60.56/~jnz1568/getInfo.php?workbook=14_13.xlsx&amp;sheet=U0&amp;row=992&amp;col=6&amp;number=3.8&amp;sourceID=14","3.8")</f>
        <v>3.8</v>
      </c>
      <c r="G992" s="4" t="str">
        <f>HYPERLINK("http://141.218.60.56/~jnz1568/getInfo.php?workbook=14_13.xlsx&amp;sheet=U0&amp;row=992&amp;col=7&amp;number=0.85&amp;sourceID=14","0.85")</f>
        <v>0.85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HYPERLINK("http://141.218.60.56/~jnz1568/getInfo.php?workbook=14_13.xlsx&amp;sheet=U0&amp;row=993&amp;col=6&amp;number=3.9&amp;sourceID=14","3.9")</f>
        <v>3.9</v>
      </c>
      <c r="G993" s="4" t="str">
        <f>HYPERLINK("http://141.218.60.56/~jnz1568/getInfo.php?workbook=14_13.xlsx&amp;sheet=U0&amp;row=993&amp;col=7&amp;number=0.849&amp;sourceID=14","0.849")</f>
        <v>0.849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HYPERLINK("http://141.218.60.56/~jnz1568/getInfo.php?workbook=14_13.xlsx&amp;sheet=U0&amp;row=994&amp;col=6&amp;number=4&amp;sourceID=14","4")</f>
        <v>4</v>
      </c>
      <c r="G994" s="4" t="str">
        <f>HYPERLINK("http://141.218.60.56/~jnz1568/getInfo.php?workbook=14_13.xlsx&amp;sheet=U0&amp;row=994&amp;col=7&amp;number=0.848&amp;sourceID=14","0.848")</f>
        <v>0.848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HYPERLINK("http://141.218.60.56/~jnz1568/getInfo.php?workbook=14_13.xlsx&amp;sheet=U0&amp;row=995&amp;col=6&amp;number=4.1&amp;sourceID=14","4.1")</f>
        <v>4.1</v>
      </c>
      <c r="G995" s="4" t="str">
        <f>HYPERLINK("http://141.218.60.56/~jnz1568/getInfo.php?workbook=14_13.xlsx&amp;sheet=U0&amp;row=995&amp;col=7&amp;number=0.847&amp;sourceID=14","0.847")</f>
        <v>0.847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HYPERLINK("http://141.218.60.56/~jnz1568/getInfo.php?workbook=14_13.xlsx&amp;sheet=U0&amp;row=996&amp;col=6&amp;number=4.2&amp;sourceID=14","4.2")</f>
        <v>4.2</v>
      </c>
      <c r="G996" s="4" t="str">
        <f>HYPERLINK("http://141.218.60.56/~jnz1568/getInfo.php?workbook=14_13.xlsx&amp;sheet=U0&amp;row=996&amp;col=7&amp;number=0.847&amp;sourceID=14","0.847")</f>
        <v>0.847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HYPERLINK("http://141.218.60.56/~jnz1568/getInfo.php?workbook=14_13.xlsx&amp;sheet=U0&amp;row=997&amp;col=6&amp;number=4.3&amp;sourceID=14","4.3")</f>
        <v>4.3</v>
      </c>
      <c r="G997" s="4" t="str">
        <f>HYPERLINK("http://141.218.60.56/~jnz1568/getInfo.php?workbook=14_13.xlsx&amp;sheet=U0&amp;row=997&amp;col=7&amp;number=0.849&amp;sourceID=14","0.849")</f>
        <v>0.849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HYPERLINK("http://141.218.60.56/~jnz1568/getInfo.php?workbook=14_13.xlsx&amp;sheet=U0&amp;row=998&amp;col=6&amp;number=4.4&amp;sourceID=14","4.4")</f>
        <v>4.4</v>
      </c>
      <c r="G998" s="4" t="str">
        <f>HYPERLINK("http://141.218.60.56/~jnz1568/getInfo.php?workbook=14_13.xlsx&amp;sheet=U0&amp;row=998&amp;col=7&amp;number=0.854&amp;sourceID=14","0.854")</f>
        <v>0.854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HYPERLINK("http://141.218.60.56/~jnz1568/getInfo.php?workbook=14_13.xlsx&amp;sheet=U0&amp;row=999&amp;col=6&amp;number=4.5&amp;sourceID=14","4.5")</f>
        <v>4.5</v>
      </c>
      <c r="G999" s="4" t="str">
        <f>HYPERLINK("http://141.218.60.56/~jnz1568/getInfo.php?workbook=14_13.xlsx&amp;sheet=U0&amp;row=999&amp;col=7&amp;number=0.865&amp;sourceID=14","0.865")</f>
        <v>0.865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HYPERLINK("http://141.218.60.56/~jnz1568/getInfo.php?workbook=14_13.xlsx&amp;sheet=U0&amp;row=1000&amp;col=6&amp;number=4.6&amp;sourceID=14","4.6")</f>
        <v>4.6</v>
      </c>
      <c r="G1000" s="4" t="str">
        <f>HYPERLINK("http://141.218.60.56/~jnz1568/getInfo.php?workbook=14_13.xlsx&amp;sheet=U0&amp;row=1000&amp;col=7&amp;number=0.882&amp;sourceID=14","0.882")</f>
        <v>0.882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HYPERLINK("http://141.218.60.56/~jnz1568/getInfo.php?workbook=14_13.xlsx&amp;sheet=U0&amp;row=1001&amp;col=6&amp;number=4.7&amp;sourceID=14","4.7")</f>
        <v>4.7</v>
      </c>
      <c r="G1001" s="4" t="str">
        <f>HYPERLINK("http://141.218.60.56/~jnz1568/getInfo.php?workbook=14_13.xlsx&amp;sheet=U0&amp;row=1001&amp;col=7&amp;number=0.907&amp;sourceID=14","0.907")</f>
        <v>0.907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HYPERLINK("http://141.218.60.56/~jnz1568/getInfo.php?workbook=14_13.xlsx&amp;sheet=U0&amp;row=1002&amp;col=6&amp;number=4.8&amp;sourceID=14","4.8")</f>
        <v>4.8</v>
      </c>
      <c r="G1002" s="4" t="str">
        <f>HYPERLINK("http://141.218.60.56/~jnz1568/getInfo.php?workbook=14_13.xlsx&amp;sheet=U0&amp;row=1002&amp;col=7&amp;number=0.943&amp;sourceID=14","0.943")</f>
        <v>0.943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HYPERLINK("http://141.218.60.56/~jnz1568/getInfo.php?workbook=14_13.xlsx&amp;sheet=U0&amp;row=1003&amp;col=6&amp;number=4.9&amp;sourceID=14","4.9")</f>
        <v>4.9</v>
      </c>
      <c r="G1003" s="4" t="str">
        <f>HYPERLINK("http://141.218.60.56/~jnz1568/getInfo.php?workbook=14_13.xlsx&amp;sheet=U0&amp;row=1003&amp;col=7&amp;number=0.992&amp;sourceID=14","0.992")</f>
        <v>0.992</v>
      </c>
    </row>
    <row r="1004" spans="1:7">
      <c r="A1004" s="3">
        <v>14</v>
      </c>
      <c r="B1004" s="3">
        <v>13</v>
      </c>
      <c r="C1004" s="3">
        <v>2</v>
      </c>
      <c r="D1004" s="3">
        <v>25</v>
      </c>
      <c r="E1004" s="3">
        <v>1</v>
      </c>
      <c r="F1004" s="4" t="str">
        <f>HYPERLINK("http://141.218.60.56/~jnz1568/getInfo.php?workbook=14_13.xlsx&amp;sheet=U0&amp;row=1004&amp;col=6&amp;number=3&amp;sourceID=14","3")</f>
        <v>3</v>
      </c>
      <c r="G1004" s="4" t="str">
        <f>HYPERLINK("http://141.218.60.56/~jnz1568/getInfo.php?workbook=14_13.xlsx&amp;sheet=U0&amp;row=1004&amp;col=7&amp;number=0.275&amp;sourceID=14","0.275")</f>
        <v>0.275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HYPERLINK("http://141.218.60.56/~jnz1568/getInfo.php?workbook=14_13.xlsx&amp;sheet=U0&amp;row=1005&amp;col=6&amp;number=3.1&amp;sourceID=14","3.1")</f>
        <v>3.1</v>
      </c>
      <c r="G1005" s="4" t="str">
        <f>HYPERLINK("http://141.218.60.56/~jnz1568/getInfo.php?workbook=14_13.xlsx&amp;sheet=U0&amp;row=1005&amp;col=7&amp;number=0.274&amp;sourceID=14","0.274")</f>
        <v>0.274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HYPERLINK("http://141.218.60.56/~jnz1568/getInfo.php?workbook=14_13.xlsx&amp;sheet=U0&amp;row=1006&amp;col=6&amp;number=3.2&amp;sourceID=14","3.2")</f>
        <v>3.2</v>
      </c>
      <c r="G1006" s="4" t="str">
        <f>HYPERLINK("http://141.218.60.56/~jnz1568/getInfo.php?workbook=14_13.xlsx&amp;sheet=U0&amp;row=1006&amp;col=7&amp;number=0.273&amp;sourceID=14","0.273")</f>
        <v>0.273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HYPERLINK("http://141.218.60.56/~jnz1568/getInfo.php?workbook=14_13.xlsx&amp;sheet=U0&amp;row=1007&amp;col=6&amp;number=3.3&amp;sourceID=14","3.3")</f>
        <v>3.3</v>
      </c>
      <c r="G1007" s="4" t="str">
        <f>HYPERLINK("http://141.218.60.56/~jnz1568/getInfo.php?workbook=14_13.xlsx&amp;sheet=U0&amp;row=1007&amp;col=7&amp;number=0.271&amp;sourceID=14","0.271")</f>
        <v>0.271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HYPERLINK("http://141.218.60.56/~jnz1568/getInfo.php?workbook=14_13.xlsx&amp;sheet=U0&amp;row=1008&amp;col=6&amp;number=3.4&amp;sourceID=14","3.4")</f>
        <v>3.4</v>
      </c>
      <c r="G1008" s="4" t="str">
        <f>HYPERLINK("http://141.218.60.56/~jnz1568/getInfo.php?workbook=14_13.xlsx&amp;sheet=U0&amp;row=1008&amp;col=7&amp;number=0.269&amp;sourceID=14","0.269")</f>
        <v>0.269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HYPERLINK("http://141.218.60.56/~jnz1568/getInfo.php?workbook=14_13.xlsx&amp;sheet=U0&amp;row=1009&amp;col=6&amp;number=3.5&amp;sourceID=14","3.5")</f>
        <v>3.5</v>
      </c>
      <c r="G1009" s="4" t="str">
        <f>HYPERLINK("http://141.218.60.56/~jnz1568/getInfo.php?workbook=14_13.xlsx&amp;sheet=U0&amp;row=1009&amp;col=7&amp;number=0.267&amp;sourceID=14","0.267")</f>
        <v>0.267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HYPERLINK("http://141.218.60.56/~jnz1568/getInfo.php?workbook=14_13.xlsx&amp;sheet=U0&amp;row=1010&amp;col=6&amp;number=3.6&amp;sourceID=14","3.6")</f>
        <v>3.6</v>
      </c>
      <c r="G1010" s="4" t="str">
        <f>HYPERLINK("http://141.218.60.56/~jnz1568/getInfo.php?workbook=14_13.xlsx&amp;sheet=U0&amp;row=1010&amp;col=7&amp;number=0.264&amp;sourceID=14","0.264")</f>
        <v>0.264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HYPERLINK("http://141.218.60.56/~jnz1568/getInfo.php?workbook=14_13.xlsx&amp;sheet=U0&amp;row=1011&amp;col=6&amp;number=3.7&amp;sourceID=14","3.7")</f>
        <v>3.7</v>
      </c>
      <c r="G1011" s="4" t="str">
        <f>HYPERLINK("http://141.218.60.56/~jnz1568/getInfo.php?workbook=14_13.xlsx&amp;sheet=U0&amp;row=1011&amp;col=7&amp;number=0.261&amp;sourceID=14","0.261")</f>
        <v>0.261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HYPERLINK("http://141.218.60.56/~jnz1568/getInfo.php?workbook=14_13.xlsx&amp;sheet=U0&amp;row=1012&amp;col=6&amp;number=3.8&amp;sourceID=14","3.8")</f>
        <v>3.8</v>
      </c>
      <c r="G1012" s="4" t="str">
        <f>HYPERLINK("http://141.218.60.56/~jnz1568/getInfo.php?workbook=14_13.xlsx&amp;sheet=U0&amp;row=1012&amp;col=7&amp;number=0.257&amp;sourceID=14","0.257")</f>
        <v>0.257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HYPERLINK("http://141.218.60.56/~jnz1568/getInfo.php?workbook=14_13.xlsx&amp;sheet=U0&amp;row=1013&amp;col=6&amp;number=3.9&amp;sourceID=14","3.9")</f>
        <v>3.9</v>
      </c>
      <c r="G1013" s="4" t="str">
        <f>HYPERLINK("http://141.218.60.56/~jnz1568/getInfo.php?workbook=14_13.xlsx&amp;sheet=U0&amp;row=1013&amp;col=7&amp;number=0.254&amp;sourceID=14","0.254")</f>
        <v>0.254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HYPERLINK("http://141.218.60.56/~jnz1568/getInfo.php?workbook=14_13.xlsx&amp;sheet=U0&amp;row=1014&amp;col=6&amp;number=4&amp;sourceID=14","4")</f>
        <v>4</v>
      </c>
      <c r="G1014" s="4" t="str">
        <f>HYPERLINK("http://141.218.60.56/~jnz1568/getInfo.php?workbook=14_13.xlsx&amp;sheet=U0&amp;row=1014&amp;col=7&amp;number=0.25&amp;sourceID=14","0.25")</f>
        <v>0.25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HYPERLINK("http://141.218.60.56/~jnz1568/getInfo.php?workbook=14_13.xlsx&amp;sheet=U0&amp;row=1015&amp;col=6&amp;number=4.1&amp;sourceID=14","4.1")</f>
        <v>4.1</v>
      </c>
      <c r="G1015" s="4" t="str">
        <f>HYPERLINK("http://141.218.60.56/~jnz1568/getInfo.php?workbook=14_13.xlsx&amp;sheet=U0&amp;row=1015&amp;col=7&amp;number=0.246&amp;sourceID=14","0.246")</f>
        <v>0.246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HYPERLINK("http://141.218.60.56/~jnz1568/getInfo.php?workbook=14_13.xlsx&amp;sheet=U0&amp;row=1016&amp;col=6&amp;number=4.2&amp;sourceID=14","4.2")</f>
        <v>4.2</v>
      </c>
      <c r="G1016" s="4" t="str">
        <f>HYPERLINK("http://141.218.60.56/~jnz1568/getInfo.php?workbook=14_13.xlsx&amp;sheet=U0&amp;row=1016&amp;col=7&amp;number=0.242&amp;sourceID=14","0.242")</f>
        <v>0.242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HYPERLINK("http://141.218.60.56/~jnz1568/getInfo.php?workbook=14_13.xlsx&amp;sheet=U0&amp;row=1017&amp;col=6&amp;number=4.3&amp;sourceID=14","4.3")</f>
        <v>4.3</v>
      </c>
      <c r="G1017" s="4" t="str">
        <f>HYPERLINK("http://141.218.60.56/~jnz1568/getInfo.php?workbook=14_13.xlsx&amp;sheet=U0&amp;row=1017&amp;col=7&amp;number=0.238&amp;sourceID=14","0.238")</f>
        <v>0.238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HYPERLINK("http://141.218.60.56/~jnz1568/getInfo.php?workbook=14_13.xlsx&amp;sheet=U0&amp;row=1018&amp;col=6&amp;number=4.4&amp;sourceID=14","4.4")</f>
        <v>4.4</v>
      </c>
      <c r="G1018" s="4" t="str">
        <f>HYPERLINK("http://141.218.60.56/~jnz1568/getInfo.php?workbook=14_13.xlsx&amp;sheet=U0&amp;row=1018&amp;col=7&amp;number=0.234&amp;sourceID=14","0.234")</f>
        <v>0.234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HYPERLINK("http://141.218.60.56/~jnz1568/getInfo.php?workbook=14_13.xlsx&amp;sheet=U0&amp;row=1019&amp;col=6&amp;number=4.5&amp;sourceID=14","4.5")</f>
        <v>4.5</v>
      </c>
      <c r="G1019" s="4" t="str">
        <f>HYPERLINK("http://141.218.60.56/~jnz1568/getInfo.php?workbook=14_13.xlsx&amp;sheet=U0&amp;row=1019&amp;col=7&amp;number=0.229&amp;sourceID=14","0.229")</f>
        <v>0.229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HYPERLINK("http://141.218.60.56/~jnz1568/getInfo.php?workbook=14_13.xlsx&amp;sheet=U0&amp;row=1020&amp;col=6&amp;number=4.6&amp;sourceID=14","4.6")</f>
        <v>4.6</v>
      </c>
      <c r="G1020" s="4" t="str">
        <f>HYPERLINK("http://141.218.60.56/~jnz1568/getInfo.php?workbook=14_13.xlsx&amp;sheet=U0&amp;row=1020&amp;col=7&amp;number=0.223&amp;sourceID=14","0.223")</f>
        <v>0.223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HYPERLINK("http://141.218.60.56/~jnz1568/getInfo.php?workbook=14_13.xlsx&amp;sheet=U0&amp;row=1021&amp;col=6&amp;number=4.7&amp;sourceID=14","4.7")</f>
        <v>4.7</v>
      </c>
      <c r="G1021" s="4" t="str">
        <f>HYPERLINK("http://141.218.60.56/~jnz1568/getInfo.php?workbook=14_13.xlsx&amp;sheet=U0&amp;row=1021&amp;col=7&amp;number=0.216&amp;sourceID=14","0.216")</f>
        <v>0.216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HYPERLINK("http://141.218.60.56/~jnz1568/getInfo.php?workbook=14_13.xlsx&amp;sheet=U0&amp;row=1022&amp;col=6&amp;number=4.8&amp;sourceID=14","4.8")</f>
        <v>4.8</v>
      </c>
      <c r="G1022" s="4" t="str">
        <f>HYPERLINK("http://141.218.60.56/~jnz1568/getInfo.php?workbook=14_13.xlsx&amp;sheet=U0&amp;row=1022&amp;col=7&amp;number=0.209&amp;sourceID=14","0.209")</f>
        <v>0.209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HYPERLINK("http://141.218.60.56/~jnz1568/getInfo.php?workbook=14_13.xlsx&amp;sheet=U0&amp;row=1023&amp;col=6&amp;number=4.9&amp;sourceID=14","4.9")</f>
        <v>4.9</v>
      </c>
      <c r="G1023" s="4" t="str">
        <f>HYPERLINK("http://141.218.60.56/~jnz1568/getInfo.php?workbook=14_13.xlsx&amp;sheet=U0&amp;row=1023&amp;col=7&amp;number=0.201&amp;sourceID=14","0.201")</f>
        <v>0.201</v>
      </c>
    </row>
    <row r="1024" spans="1:7">
      <c r="A1024" s="3">
        <v>14</v>
      </c>
      <c r="B1024" s="3">
        <v>13</v>
      </c>
      <c r="C1024" s="3">
        <v>2</v>
      </c>
      <c r="D1024" s="3">
        <v>26</v>
      </c>
      <c r="E1024" s="3">
        <v>1</v>
      </c>
      <c r="F1024" s="4" t="str">
        <f>HYPERLINK("http://141.218.60.56/~jnz1568/getInfo.php?workbook=14_13.xlsx&amp;sheet=U0&amp;row=1024&amp;col=6&amp;number=3&amp;sourceID=14","3")</f>
        <v>3</v>
      </c>
      <c r="G1024" s="4" t="str">
        <f>HYPERLINK("http://141.218.60.56/~jnz1568/getInfo.php?workbook=14_13.xlsx&amp;sheet=U0&amp;row=1024&amp;col=7&amp;number=0.314&amp;sourceID=14","0.314")</f>
        <v>0.314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HYPERLINK("http://141.218.60.56/~jnz1568/getInfo.php?workbook=14_13.xlsx&amp;sheet=U0&amp;row=1025&amp;col=6&amp;number=3.1&amp;sourceID=14","3.1")</f>
        <v>3.1</v>
      </c>
      <c r="G1025" s="4" t="str">
        <f>HYPERLINK("http://141.218.60.56/~jnz1568/getInfo.php?workbook=14_13.xlsx&amp;sheet=U0&amp;row=1025&amp;col=7&amp;number=0.315&amp;sourceID=14","0.315")</f>
        <v>0.315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HYPERLINK("http://141.218.60.56/~jnz1568/getInfo.php?workbook=14_13.xlsx&amp;sheet=U0&amp;row=1026&amp;col=6&amp;number=3.2&amp;sourceID=14","3.2")</f>
        <v>3.2</v>
      </c>
      <c r="G1026" s="4" t="str">
        <f>HYPERLINK("http://141.218.60.56/~jnz1568/getInfo.php?workbook=14_13.xlsx&amp;sheet=U0&amp;row=1026&amp;col=7&amp;number=0.315&amp;sourceID=14","0.315")</f>
        <v>0.315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HYPERLINK("http://141.218.60.56/~jnz1568/getInfo.php?workbook=14_13.xlsx&amp;sheet=U0&amp;row=1027&amp;col=6&amp;number=3.3&amp;sourceID=14","3.3")</f>
        <v>3.3</v>
      </c>
      <c r="G1027" s="4" t="str">
        <f>HYPERLINK("http://141.218.60.56/~jnz1568/getInfo.php?workbook=14_13.xlsx&amp;sheet=U0&amp;row=1027&amp;col=7&amp;number=0.316&amp;sourceID=14","0.316")</f>
        <v>0.316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HYPERLINK("http://141.218.60.56/~jnz1568/getInfo.php?workbook=14_13.xlsx&amp;sheet=U0&amp;row=1028&amp;col=6&amp;number=3.4&amp;sourceID=14","3.4")</f>
        <v>3.4</v>
      </c>
      <c r="G1028" s="4" t="str">
        <f>HYPERLINK("http://141.218.60.56/~jnz1568/getInfo.php?workbook=14_13.xlsx&amp;sheet=U0&amp;row=1028&amp;col=7&amp;number=0.317&amp;sourceID=14","0.317")</f>
        <v>0.317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HYPERLINK("http://141.218.60.56/~jnz1568/getInfo.php?workbook=14_13.xlsx&amp;sheet=U0&amp;row=1029&amp;col=6&amp;number=3.5&amp;sourceID=14","3.5")</f>
        <v>3.5</v>
      </c>
      <c r="G1029" s="4" t="str">
        <f>HYPERLINK("http://141.218.60.56/~jnz1568/getInfo.php?workbook=14_13.xlsx&amp;sheet=U0&amp;row=1029&amp;col=7&amp;number=0.318&amp;sourceID=14","0.318")</f>
        <v>0.318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HYPERLINK("http://141.218.60.56/~jnz1568/getInfo.php?workbook=14_13.xlsx&amp;sheet=U0&amp;row=1030&amp;col=6&amp;number=3.6&amp;sourceID=14","3.6")</f>
        <v>3.6</v>
      </c>
      <c r="G1030" s="4" t="str">
        <f>HYPERLINK("http://141.218.60.56/~jnz1568/getInfo.php?workbook=14_13.xlsx&amp;sheet=U0&amp;row=1030&amp;col=7&amp;number=0.319&amp;sourceID=14","0.319")</f>
        <v>0.319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HYPERLINK("http://141.218.60.56/~jnz1568/getInfo.php?workbook=14_13.xlsx&amp;sheet=U0&amp;row=1031&amp;col=6&amp;number=3.7&amp;sourceID=14","3.7")</f>
        <v>3.7</v>
      </c>
      <c r="G1031" s="4" t="str">
        <f>HYPERLINK("http://141.218.60.56/~jnz1568/getInfo.php?workbook=14_13.xlsx&amp;sheet=U0&amp;row=1031&amp;col=7&amp;number=0.321&amp;sourceID=14","0.321")</f>
        <v>0.321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HYPERLINK("http://141.218.60.56/~jnz1568/getInfo.php?workbook=14_13.xlsx&amp;sheet=U0&amp;row=1032&amp;col=6&amp;number=3.8&amp;sourceID=14","3.8")</f>
        <v>3.8</v>
      </c>
      <c r="G1032" s="4" t="str">
        <f>HYPERLINK("http://141.218.60.56/~jnz1568/getInfo.php?workbook=14_13.xlsx&amp;sheet=U0&amp;row=1032&amp;col=7&amp;number=0.324&amp;sourceID=14","0.324")</f>
        <v>0.324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HYPERLINK("http://141.218.60.56/~jnz1568/getInfo.php?workbook=14_13.xlsx&amp;sheet=U0&amp;row=1033&amp;col=6&amp;number=3.9&amp;sourceID=14","3.9")</f>
        <v>3.9</v>
      </c>
      <c r="G1033" s="4" t="str">
        <f>HYPERLINK("http://141.218.60.56/~jnz1568/getInfo.php?workbook=14_13.xlsx&amp;sheet=U0&amp;row=1033&amp;col=7&amp;number=0.327&amp;sourceID=14","0.327")</f>
        <v>0.327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HYPERLINK("http://141.218.60.56/~jnz1568/getInfo.php?workbook=14_13.xlsx&amp;sheet=U0&amp;row=1034&amp;col=6&amp;number=4&amp;sourceID=14","4")</f>
        <v>4</v>
      </c>
      <c r="G1034" s="4" t="str">
        <f>HYPERLINK("http://141.218.60.56/~jnz1568/getInfo.php?workbook=14_13.xlsx&amp;sheet=U0&amp;row=1034&amp;col=7&amp;number=0.331&amp;sourceID=14","0.331")</f>
        <v>0.331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HYPERLINK("http://141.218.60.56/~jnz1568/getInfo.php?workbook=14_13.xlsx&amp;sheet=U0&amp;row=1035&amp;col=6&amp;number=4.1&amp;sourceID=14","4.1")</f>
        <v>4.1</v>
      </c>
      <c r="G1035" s="4" t="str">
        <f>HYPERLINK("http://141.218.60.56/~jnz1568/getInfo.php?workbook=14_13.xlsx&amp;sheet=U0&amp;row=1035&amp;col=7&amp;number=0.336&amp;sourceID=14","0.336")</f>
        <v>0.336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HYPERLINK("http://141.218.60.56/~jnz1568/getInfo.php?workbook=14_13.xlsx&amp;sheet=U0&amp;row=1036&amp;col=6&amp;number=4.2&amp;sourceID=14","4.2")</f>
        <v>4.2</v>
      </c>
      <c r="G1036" s="4" t="str">
        <f>HYPERLINK("http://141.218.60.56/~jnz1568/getInfo.php?workbook=14_13.xlsx&amp;sheet=U0&amp;row=1036&amp;col=7&amp;number=0.34&amp;sourceID=14","0.34")</f>
        <v>0.34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HYPERLINK("http://141.218.60.56/~jnz1568/getInfo.php?workbook=14_13.xlsx&amp;sheet=U0&amp;row=1037&amp;col=6&amp;number=4.3&amp;sourceID=14","4.3")</f>
        <v>4.3</v>
      </c>
      <c r="G1037" s="4" t="str">
        <f>HYPERLINK("http://141.218.60.56/~jnz1568/getInfo.php?workbook=14_13.xlsx&amp;sheet=U0&amp;row=1037&amp;col=7&amp;number=0.343&amp;sourceID=14","0.343")</f>
        <v>0.343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HYPERLINK("http://141.218.60.56/~jnz1568/getInfo.php?workbook=14_13.xlsx&amp;sheet=U0&amp;row=1038&amp;col=6&amp;number=4.4&amp;sourceID=14","4.4")</f>
        <v>4.4</v>
      </c>
      <c r="G1038" s="4" t="str">
        <f>HYPERLINK("http://141.218.60.56/~jnz1568/getInfo.php?workbook=14_13.xlsx&amp;sheet=U0&amp;row=1038&amp;col=7&amp;number=0.344&amp;sourceID=14","0.344")</f>
        <v>0.344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HYPERLINK("http://141.218.60.56/~jnz1568/getInfo.php?workbook=14_13.xlsx&amp;sheet=U0&amp;row=1039&amp;col=6&amp;number=4.5&amp;sourceID=14","4.5")</f>
        <v>4.5</v>
      </c>
      <c r="G1039" s="4" t="str">
        <f>HYPERLINK("http://141.218.60.56/~jnz1568/getInfo.php?workbook=14_13.xlsx&amp;sheet=U0&amp;row=1039&amp;col=7&amp;number=0.343&amp;sourceID=14","0.343")</f>
        <v>0.343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HYPERLINK("http://141.218.60.56/~jnz1568/getInfo.php?workbook=14_13.xlsx&amp;sheet=U0&amp;row=1040&amp;col=6&amp;number=4.6&amp;sourceID=14","4.6")</f>
        <v>4.6</v>
      </c>
      <c r="G1040" s="4" t="str">
        <f>HYPERLINK("http://141.218.60.56/~jnz1568/getInfo.php?workbook=14_13.xlsx&amp;sheet=U0&amp;row=1040&amp;col=7&amp;number=0.34&amp;sourceID=14","0.34")</f>
        <v>0.34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HYPERLINK("http://141.218.60.56/~jnz1568/getInfo.php?workbook=14_13.xlsx&amp;sheet=U0&amp;row=1041&amp;col=6&amp;number=4.7&amp;sourceID=14","4.7")</f>
        <v>4.7</v>
      </c>
      <c r="G1041" s="4" t="str">
        <f>HYPERLINK("http://141.218.60.56/~jnz1568/getInfo.php?workbook=14_13.xlsx&amp;sheet=U0&amp;row=1041&amp;col=7&amp;number=0.335&amp;sourceID=14","0.335")</f>
        <v>0.335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HYPERLINK("http://141.218.60.56/~jnz1568/getInfo.php?workbook=14_13.xlsx&amp;sheet=U0&amp;row=1042&amp;col=6&amp;number=4.8&amp;sourceID=14","4.8")</f>
        <v>4.8</v>
      </c>
      <c r="G1042" s="4" t="str">
        <f>HYPERLINK("http://141.218.60.56/~jnz1568/getInfo.php?workbook=14_13.xlsx&amp;sheet=U0&amp;row=1042&amp;col=7&amp;number=0.327&amp;sourceID=14","0.327")</f>
        <v>0.327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HYPERLINK("http://141.218.60.56/~jnz1568/getInfo.php?workbook=14_13.xlsx&amp;sheet=U0&amp;row=1043&amp;col=6&amp;number=4.9&amp;sourceID=14","4.9")</f>
        <v>4.9</v>
      </c>
      <c r="G1043" s="4" t="str">
        <f>HYPERLINK("http://141.218.60.56/~jnz1568/getInfo.php?workbook=14_13.xlsx&amp;sheet=U0&amp;row=1043&amp;col=7&amp;number=0.317&amp;sourceID=14","0.317")</f>
        <v>0.317</v>
      </c>
    </row>
    <row r="1044" spans="1:7">
      <c r="A1044" s="3">
        <v>14</v>
      </c>
      <c r="B1044" s="3">
        <v>13</v>
      </c>
      <c r="C1044" s="3">
        <v>2</v>
      </c>
      <c r="D1044" s="3">
        <v>27</v>
      </c>
      <c r="E1044" s="3">
        <v>1</v>
      </c>
      <c r="F1044" s="4" t="str">
        <f>HYPERLINK("http://141.218.60.56/~jnz1568/getInfo.php?workbook=14_13.xlsx&amp;sheet=U0&amp;row=1044&amp;col=6&amp;number=3&amp;sourceID=14","3")</f>
        <v>3</v>
      </c>
      <c r="G1044" s="4" t="str">
        <f>HYPERLINK("http://141.218.60.56/~jnz1568/getInfo.php?workbook=14_13.xlsx&amp;sheet=U0&amp;row=1044&amp;col=7&amp;number=0.783&amp;sourceID=14","0.783")</f>
        <v>0.783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HYPERLINK("http://141.218.60.56/~jnz1568/getInfo.php?workbook=14_13.xlsx&amp;sheet=U0&amp;row=1045&amp;col=6&amp;number=3.1&amp;sourceID=14","3.1")</f>
        <v>3.1</v>
      </c>
      <c r="G1045" s="4" t="str">
        <f>HYPERLINK("http://141.218.60.56/~jnz1568/getInfo.php?workbook=14_13.xlsx&amp;sheet=U0&amp;row=1045&amp;col=7&amp;number=0.788&amp;sourceID=14","0.788")</f>
        <v>0.788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HYPERLINK("http://141.218.60.56/~jnz1568/getInfo.php?workbook=14_13.xlsx&amp;sheet=U0&amp;row=1046&amp;col=6&amp;number=3.2&amp;sourceID=14","3.2")</f>
        <v>3.2</v>
      </c>
      <c r="G1046" s="4" t="str">
        <f>HYPERLINK("http://141.218.60.56/~jnz1568/getInfo.php?workbook=14_13.xlsx&amp;sheet=U0&amp;row=1046&amp;col=7&amp;number=0.795&amp;sourceID=14","0.795")</f>
        <v>0.795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HYPERLINK("http://141.218.60.56/~jnz1568/getInfo.php?workbook=14_13.xlsx&amp;sheet=U0&amp;row=1047&amp;col=6&amp;number=3.3&amp;sourceID=14","3.3")</f>
        <v>3.3</v>
      </c>
      <c r="G1047" s="4" t="str">
        <f>HYPERLINK("http://141.218.60.56/~jnz1568/getInfo.php?workbook=14_13.xlsx&amp;sheet=U0&amp;row=1047&amp;col=7&amp;number=0.803&amp;sourceID=14","0.803")</f>
        <v>0.803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HYPERLINK("http://141.218.60.56/~jnz1568/getInfo.php?workbook=14_13.xlsx&amp;sheet=U0&amp;row=1048&amp;col=6&amp;number=3.4&amp;sourceID=14","3.4")</f>
        <v>3.4</v>
      </c>
      <c r="G1048" s="4" t="str">
        <f>HYPERLINK("http://141.218.60.56/~jnz1568/getInfo.php?workbook=14_13.xlsx&amp;sheet=U0&amp;row=1048&amp;col=7&amp;number=0.812&amp;sourceID=14","0.812")</f>
        <v>0.812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HYPERLINK("http://141.218.60.56/~jnz1568/getInfo.php?workbook=14_13.xlsx&amp;sheet=U0&amp;row=1049&amp;col=6&amp;number=3.5&amp;sourceID=14","3.5")</f>
        <v>3.5</v>
      </c>
      <c r="G1049" s="4" t="str">
        <f>HYPERLINK("http://141.218.60.56/~jnz1568/getInfo.php?workbook=14_13.xlsx&amp;sheet=U0&amp;row=1049&amp;col=7&amp;number=0.823&amp;sourceID=14","0.823")</f>
        <v>0.823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HYPERLINK("http://141.218.60.56/~jnz1568/getInfo.php?workbook=14_13.xlsx&amp;sheet=U0&amp;row=1050&amp;col=6&amp;number=3.6&amp;sourceID=14","3.6")</f>
        <v>3.6</v>
      </c>
      <c r="G1050" s="4" t="str">
        <f>HYPERLINK("http://141.218.60.56/~jnz1568/getInfo.php?workbook=14_13.xlsx&amp;sheet=U0&amp;row=1050&amp;col=7&amp;number=0.837&amp;sourceID=14","0.837")</f>
        <v>0.837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HYPERLINK("http://141.218.60.56/~jnz1568/getInfo.php?workbook=14_13.xlsx&amp;sheet=U0&amp;row=1051&amp;col=6&amp;number=3.7&amp;sourceID=14","3.7")</f>
        <v>3.7</v>
      </c>
      <c r="G1051" s="4" t="str">
        <f>HYPERLINK("http://141.218.60.56/~jnz1568/getInfo.php?workbook=14_13.xlsx&amp;sheet=U0&amp;row=1051&amp;col=7&amp;number=0.852&amp;sourceID=14","0.852")</f>
        <v>0.852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HYPERLINK("http://141.218.60.56/~jnz1568/getInfo.php?workbook=14_13.xlsx&amp;sheet=U0&amp;row=1052&amp;col=6&amp;number=3.8&amp;sourceID=14","3.8")</f>
        <v>3.8</v>
      </c>
      <c r="G1052" s="4" t="str">
        <f>HYPERLINK("http://141.218.60.56/~jnz1568/getInfo.php?workbook=14_13.xlsx&amp;sheet=U0&amp;row=1052&amp;col=7&amp;number=0.871&amp;sourceID=14","0.871")</f>
        <v>0.871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HYPERLINK("http://141.218.60.56/~jnz1568/getInfo.php?workbook=14_13.xlsx&amp;sheet=U0&amp;row=1053&amp;col=6&amp;number=3.9&amp;sourceID=14","3.9")</f>
        <v>3.9</v>
      </c>
      <c r="G1053" s="4" t="str">
        <f>HYPERLINK("http://141.218.60.56/~jnz1568/getInfo.php?workbook=14_13.xlsx&amp;sheet=U0&amp;row=1053&amp;col=7&amp;number=0.893&amp;sourceID=14","0.893")</f>
        <v>0.893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HYPERLINK("http://141.218.60.56/~jnz1568/getInfo.php?workbook=14_13.xlsx&amp;sheet=U0&amp;row=1054&amp;col=6&amp;number=4&amp;sourceID=14","4")</f>
        <v>4</v>
      </c>
      <c r="G1054" s="4" t="str">
        <f>HYPERLINK("http://141.218.60.56/~jnz1568/getInfo.php?workbook=14_13.xlsx&amp;sheet=U0&amp;row=1054&amp;col=7&amp;number=0.92&amp;sourceID=14","0.92")</f>
        <v>0.92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HYPERLINK("http://141.218.60.56/~jnz1568/getInfo.php?workbook=14_13.xlsx&amp;sheet=U0&amp;row=1055&amp;col=6&amp;number=4.1&amp;sourceID=14","4.1")</f>
        <v>4.1</v>
      </c>
      <c r="G1055" s="4" t="str">
        <f>HYPERLINK("http://141.218.60.56/~jnz1568/getInfo.php?workbook=14_13.xlsx&amp;sheet=U0&amp;row=1055&amp;col=7&amp;number=0.95&amp;sourceID=14","0.95")</f>
        <v>0.95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HYPERLINK("http://141.218.60.56/~jnz1568/getInfo.php?workbook=14_13.xlsx&amp;sheet=U0&amp;row=1056&amp;col=6&amp;number=4.2&amp;sourceID=14","4.2")</f>
        <v>4.2</v>
      </c>
      <c r="G1056" s="4" t="str">
        <f>HYPERLINK("http://141.218.60.56/~jnz1568/getInfo.php?workbook=14_13.xlsx&amp;sheet=U0&amp;row=1056&amp;col=7&amp;number=0.98&amp;sourceID=14","0.98")</f>
        <v>0.98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HYPERLINK("http://141.218.60.56/~jnz1568/getInfo.php?workbook=14_13.xlsx&amp;sheet=U0&amp;row=1057&amp;col=6&amp;number=4.3&amp;sourceID=14","4.3")</f>
        <v>4.3</v>
      </c>
      <c r="G1057" s="4" t="str">
        <f>HYPERLINK("http://141.218.60.56/~jnz1568/getInfo.php?workbook=14_13.xlsx&amp;sheet=U0&amp;row=1057&amp;col=7&amp;number=1.01&amp;sourceID=14","1.01")</f>
        <v>1.01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HYPERLINK("http://141.218.60.56/~jnz1568/getInfo.php?workbook=14_13.xlsx&amp;sheet=U0&amp;row=1058&amp;col=6&amp;number=4.4&amp;sourceID=14","4.4")</f>
        <v>4.4</v>
      </c>
      <c r="G1058" s="4" t="str">
        <f>HYPERLINK("http://141.218.60.56/~jnz1568/getInfo.php?workbook=14_13.xlsx&amp;sheet=U0&amp;row=1058&amp;col=7&amp;number=1.03&amp;sourceID=14","1.03")</f>
        <v>1.03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HYPERLINK("http://141.218.60.56/~jnz1568/getInfo.php?workbook=14_13.xlsx&amp;sheet=U0&amp;row=1059&amp;col=6&amp;number=4.5&amp;sourceID=14","4.5")</f>
        <v>4.5</v>
      </c>
      <c r="G1059" s="4" t="str">
        <f>HYPERLINK("http://141.218.60.56/~jnz1568/getInfo.php?workbook=14_13.xlsx&amp;sheet=U0&amp;row=1059&amp;col=7&amp;number=1.06&amp;sourceID=14","1.06")</f>
        <v>1.06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HYPERLINK("http://141.218.60.56/~jnz1568/getInfo.php?workbook=14_13.xlsx&amp;sheet=U0&amp;row=1060&amp;col=6&amp;number=4.6&amp;sourceID=14","4.6")</f>
        <v>4.6</v>
      </c>
      <c r="G1060" s="4" t="str">
        <f>HYPERLINK("http://141.218.60.56/~jnz1568/getInfo.php?workbook=14_13.xlsx&amp;sheet=U0&amp;row=1060&amp;col=7&amp;number=1.08&amp;sourceID=14","1.08")</f>
        <v>1.08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HYPERLINK("http://141.218.60.56/~jnz1568/getInfo.php?workbook=14_13.xlsx&amp;sheet=U0&amp;row=1061&amp;col=6&amp;number=4.7&amp;sourceID=14","4.7")</f>
        <v>4.7</v>
      </c>
      <c r="G1061" s="4" t="str">
        <f>HYPERLINK("http://141.218.60.56/~jnz1568/getInfo.php?workbook=14_13.xlsx&amp;sheet=U0&amp;row=1061&amp;col=7&amp;number=1.09&amp;sourceID=14","1.09")</f>
        <v>1.09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HYPERLINK("http://141.218.60.56/~jnz1568/getInfo.php?workbook=14_13.xlsx&amp;sheet=U0&amp;row=1062&amp;col=6&amp;number=4.8&amp;sourceID=14","4.8")</f>
        <v>4.8</v>
      </c>
      <c r="G1062" s="4" t="str">
        <f>HYPERLINK("http://141.218.60.56/~jnz1568/getInfo.php?workbook=14_13.xlsx&amp;sheet=U0&amp;row=1062&amp;col=7&amp;number=1.1&amp;sourceID=14","1.1")</f>
        <v>1.1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HYPERLINK("http://141.218.60.56/~jnz1568/getInfo.php?workbook=14_13.xlsx&amp;sheet=U0&amp;row=1063&amp;col=6&amp;number=4.9&amp;sourceID=14","4.9")</f>
        <v>4.9</v>
      </c>
      <c r="G1063" s="4" t="str">
        <f>HYPERLINK("http://141.218.60.56/~jnz1568/getInfo.php?workbook=14_13.xlsx&amp;sheet=U0&amp;row=1063&amp;col=7&amp;number=1.11&amp;sourceID=14","1.11")</f>
        <v>1.11</v>
      </c>
    </row>
    <row r="1064" spans="1:7">
      <c r="A1064" s="3">
        <v>14</v>
      </c>
      <c r="B1064" s="3">
        <v>13</v>
      </c>
      <c r="C1064" s="3">
        <v>2</v>
      </c>
      <c r="D1064" s="3">
        <v>28</v>
      </c>
      <c r="E1064" s="3">
        <v>1</v>
      </c>
      <c r="F1064" s="4" t="str">
        <f>HYPERLINK("http://141.218.60.56/~jnz1568/getInfo.php?workbook=14_13.xlsx&amp;sheet=U0&amp;row=1064&amp;col=6&amp;number=3&amp;sourceID=14","3")</f>
        <v>3</v>
      </c>
      <c r="G1064" s="4" t="str">
        <f>HYPERLINK("http://141.218.60.56/~jnz1568/getInfo.php?workbook=14_13.xlsx&amp;sheet=U0&amp;row=1064&amp;col=7&amp;number=0.0703&amp;sourceID=14","0.0703")</f>
        <v>0.0703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HYPERLINK("http://141.218.60.56/~jnz1568/getInfo.php?workbook=14_13.xlsx&amp;sheet=U0&amp;row=1065&amp;col=6&amp;number=3.1&amp;sourceID=14","3.1")</f>
        <v>3.1</v>
      </c>
      <c r="G1065" s="4" t="str">
        <f>HYPERLINK("http://141.218.60.56/~jnz1568/getInfo.php?workbook=14_13.xlsx&amp;sheet=U0&amp;row=1065&amp;col=7&amp;number=0.071&amp;sourceID=14","0.071")</f>
        <v>0.071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HYPERLINK("http://141.218.60.56/~jnz1568/getInfo.php?workbook=14_13.xlsx&amp;sheet=U0&amp;row=1066&amp;col=6&amp;number=3.2&amp;sourceID=14","3.2")</f>
        <v>3.2</v>
      </c>
      <c r="G1066" s="4" t="str">
        <f>HYPERLINK("http://141.218.60.56/~jnz1568/getInfo.php?workbook=14_13.xlsx&amp;sheet=U0&amp;row=1066&amp;col=7&amp;number=0.0719&amp;sourceID=14","0.0719")</f>
        <v>0.0719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HYPERLINK("http://141.218.60.56/~jnz1568/getInfo.php?workbook=14_13.xlsx&amp;sheet=U0&amp;row=1067&amp;col=6&amp;number=3.3&amp;sourceID=14","3.3")</f>
        <v>3.3</v>
      </c>
      <c r="G1067" s="4" t="str">
        <f>HYPERLINK("http://141.218.60.56/~jnz1568/getInfo.php?workbook=14_13.xlsx&amp;sheet=U0&amp;row=1067&amp;col=7&amp;number=0.0729&amp;sourceID=14","0.0729")</f>
        <v>0.0729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HYPERLINK("http://141.218.60.56/~jnz1568/getInfo.php?workbook=14_13.xlsx&amp;sheet=U0&amp;row=1068&amp;col=6&amp;number=3.4&amp;sourceID=14","3.4")</f>
        <v>3.4</v>
      </c>
      <c r="G1068" s="4" t="str">
        <f>HYPERLINK("http://141.218.60.56/~jnz1568/getInfo.php?workbook=14_13.xlsx&amp;sheet=U0&amp;row=1068&amp;col=7&amp;number=0.0742&amp;sourceID=14","0.0742")</f>
        <v>0.0742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HYPERLINK("http://141.218.60.56/~jnz1568/getInfo.php?workbook=14_13.xlsx&amp;sheet=U0&amp;row=1069&amp;col=6&amp;number=3.5&amp;sourceID=14","3.5")</f>
        <v>3.5</v>
      </c>
      <c r="G1069" s="4" t="str">
        <f>HYPERLINK("http://141.218.60.56/~jnz1568/getInfo.php?workbook=14_13.xlsx&amp;sheet=U0&amp;row=1069&amp;col=7&amp;number=0.0758&amp;sourceID=14","0.0758")</f>
        <v>0.0758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HYPERLINK("http://141.218.60.56/~jnz1568/getInfo.php?workbook=14_13.xlsx&amp;sheet=U0&amp;row=1070&amp;col=6&amp;number=3.6&amp;sourceID=14","3.6")</f>
        <v>3.6</v>
      </c>
      <c r="G1070" s="4" t="str">
        <f>HYPERLINK("http://141.218.60.56/~jnz1568/getInfo.php?workbook=14_13.xlsx&amp;sheet=U0&amp;row=1070&amp;col=7&amp;number=0.0778&amp;sourceID=14","0.0778")</f>
        <v>0.0778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HYPERLINK("http://141.218.60.56/~jnz1568/getInfo.php?workbook=14_13.xlsx&amp;sheet=U0&amp;row=1071&amp;col=6&amp;number=3.7&amp;sourceID=14","3.7")</f>
        <v>3.7</v>
      </c>
      <c r="G1071" s="4" t="str">
        <f>HYPERLINK("http://141.218.60.56/~jnz1568/getInfo.php?workbook=14_13.xlsx&amp;sheet=U0&amp;row=1071&amp;col=7&amp;number=0.0803&amp;sourceID=14","0.0803")</f>
        <v>0.0803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HYPERLINK("http://141.218.60.56/~jnz1568/getInfo.php?workbook=14_13.xlsx&amp;sheet=U0&amp;row=1072&amp;col=6&amp;number=3.8&amp;sourceID=14","3.8")</f>
        <v>3.8</v>
      </c>
      <c r="G1072" s="4" t="str">
        <f>HYPERLINK("http://141.218.60.56/~jnz1568/getInfo.php?workbook=14_13.xlsx&amp;sheet=U0&amp;row=1072&amp;col=7&amp;number=0.0835&amp;sourceID=14","0.0835")</f>
        <v>0.0835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HYPERLINK("http://141.218.60.56/~jnz1568/getInfo.php?workbook=14_13.xlsx&amp;sheet=U0&amp;row=1073&amp;col=6&amp;number=3.9&amp;sourceID=14","3.9")</f>
        <v>3.9</v>
      </c>
      <c r="G1073" s="4" t="str">
        <f>HYPERLINK("http://141.218.60.56/~jnz1568/getInfo.php?workbook=14_13.xlsx&amp;sheet=U0&amp;row=1073&amp;col=7&amp;number=0.0873&amp;sourceID=14","0.0873")</f>
        <v>0.0873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HYPERLINK("http://141.218.60.56/~jnz1568/getInfo.php?workbook=14_13.xlsx&amp;sheet=U0&amp;row=1074&amp;col=6&amp;number=4&amp;sourceID=14","4")</f>
        <v>4</v>
      </c>
      <c r="G1074" s="4" t="str">
        <f>HYPERLINK("http://141.218.60.56/~jnz1568/getInfo.php?workbook=14_13.xlsx&amp;sheet=U0&amp;row=1074&amp;col=7&amp;number=0.0919&amp;sourceID=14","0.0919")</f>
        <v>0.0919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HYPERLINK("http://141.218.60.56/~jnz1568/getInfo.php?workbook=14_13.xlsx&amp;sheet=U0&amp;row=1075&amp;col=6&amp;number=4.1&amp;sourceID=14","4.1")</f>
        <v>4.1</v>
      </c>
      <c r="G1075" s="4" t="str">
        <f>HYPERLINK("http://141.218.60.56/~jnz1568/getInfo.php?workbook=14_13.xlsx&amp;sheet=U0&amp;row=1075&amp;col=7&amp;number=0.0972&amp;sourceID=14","0.0972")</f>
        <v>0.0972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HYPERLINK("http://141.218.60.56/~jnz1568/getInfo.php?workbook=14_13.xlsx&amp;sheet=U0&amp;row=1076&amp;col=6&amp;number=4.2&amp;sourceID=14","4.2")</f>
        <v>4.2</v>
      </c>
      <c r="G1076" s="4" t="str">
        <f>HYPERLINK("http://141.218.60.56/~jnz1568/getInfo.php?workbook=14_13.xlsx&amp;sheet=U0&amp;row=1076&amp;col=7&amp;number=0.103&amp;sourceID=14","0.103")</f>
        <v>0.103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HYPERLINK("http://141.218.60.56/~jnz1568/getInfo.php?workbook=14_13.xlsx&amp;sheet=U0&amp;row=1077&amp;col=6&amp;number=4.3&amp;sourceID=14","4.3")</f>
        <v>4.3</v>
      </c>
      <c r="G1077" s="4" t="str">
        <f>HYPERLINK("http://141.218.60.56/~jnz1568/getInfo.php?workbook=14_13.xlsx&amp;sheet=U0&amp;row=1077&amp;col=7&amp;number=0.109&amp;sourceID=14","0.109")</f>
        <v>0.109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HYPERLINK("http://141.218.60.56/~jnz1568/getInfo.php?workbook=14_13.xlsx&amp;sheet=U0&amp;row=1078&amp;col=6&amp;number=4.4&amp;sourceID=14","4.4")</f>
        <v>4.4</v>
      </c>
      <c r="G1078" s="4" t="str">
        <f>HYPERLINK("http://141.218.60.56/~jnz1568/getInfo.php?workbook=14_13.xlsx&amp;sheet=U0&amp;row=1078&amp;col=7&amp;number=0.116&amp;sourceID=14","0.116")</f>
        <v>0.116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HYPERLINK("http://141.218.60.56/~jnz1568/getInfo.php?workbook=14_13.xlsx&amp;sheet=U0&amp;row=1079&amp;col=6&amp;number=4.5&amp;sourceID=14","4.5")</f>
        <v>4.5</v>
      </c>
      <c r="G1079" s="4" t="str">
        <f>HYPERLINK("http://141.218.60.56/~jnz1568/getInfo.php?workbook=14_13.xlsx&amp;sheet=U0&amp;row=1079&amp;col=7&amp;number=0.123&amp;sourceID=14","0.123")</f>
        <v>0.123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HYPERLINK("http://141.218.60.56/~jnz1568/getInfo.php?workbook=14_13.xlsx&amp;sheet=U0&amp;row=1080&amp;col=6&amp;number=4.6&amp;sourceID=14","4.6")</f>
        <v>4.6</v>
      </c>
      <c r="G1080" s="4" t="str">
        <f>HYPERLINK("http://141.218.60.56/~jnz1568/getInfo.php?workbook=14_13.xlsx&amp;sheet=U0&amp;row=1080&amp;col=7&amp;number=0.129&amp;sourceID=14","0.129")</f>
        <v>0.129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HYPERLINK("http://141.218.60.56/~jnz1568/getInfo.php?workbook=14_13.xlsx&amp;sheet=U0&amp;row=1081&amp;col=6&amp;number=4.7&amp;sourceID=14","4.7")</f>
        <v>4.7</v>
      </c>
      <c r="G1081" s="4" t="str">
        <f>HYPERLINK("http://141.218.60.56/~jnz1568/getInfo.php?workbook=14_13.xlsx&amp;sheet=U0&amp;row=1081&amp;col=7&amp;number=0.133&amp;sourceID=14","0.133")</f>
        <v>0.133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HYPERLINK("http://141.218.60.56/~jnz1568/getInfo.php?workbook=14_13.xlsx&amp;sheet=U0&amp;row=1082&amp;col=6&amp;number=4.8&amp;sourceID=14","4.8")</f>
        <v>4.8</v>
      </c>
      <c r="G1082" s="4" t="str">
        <f>HYPERLINK("http://141.218.60.56/~jnz1568/getInfo.php?workbook=14_13.xlsx&amp;sheet=U0&amp;row=1082&amp;col=7&amp;number=0.135&amp;sourceID=14","0.135")</f>
        <v>0.135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HYPERLINK("http://141.218.60.56/~jnz1568/getInfo.php?workbook=14_13.xlsx&amp;sheet=U0&amp;row=1083&amp;col=6&amp;number=4.9&amp;sourceID=14","4.9")</f>
        <v>4.9</v>
      </c>
      <c r="G1083" s="4" t="str">
        <f>HYPERLINK("http://141.218.60.56/~jnz1568/getInfo.php?workbook=14_13.xlsx&amp;sheet=U0&amp;row=1083&amp;col=7&amp;number=0.134&amp;sourceID=14","0.134")</f>
        <v>0.134</v>
      </c>
    </row>
    <row r="1084" spans="1:7">
      <c r="A1084" s="3">
        <v>14</v>
      </c>
      <c r="B1084" s="3">
        <v>13</v>
      </c>
      <c r="C1084" s="3">
        <v>2</v>
      </c>
      <c r="D1084" s="3">
        <v>29</v>
      </c>
      <c r="E1084" s="3">
        <v>1</v>
      </c>
      <c r="F1084" s="4" t="str">
        <f>HYPERLINK("http://141.218.60.56/~jnz1568/getInfo.php?workbook=14_13.xlsx&amp;sheet=U0&amp;row=1084&amp;col=6&amp;number=3&amp;sourceID=14","3")</f>
        <v>3</v>
      </c>
      <c r="G1084" s="4" t="str">
        <f>HYPERLINK("http://141.218.60.56/~jnz1568/getInfo.php?workbook=14_13.xlsx&amp;sheet=U0&amp;row=1084&amp;col=7&amp;number=0.171&amp;sourceID=14","0.171")</f>
        <v>0.171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HYPERLINK("http://141.218.60.56/~jnz1568/getInfo.php?workbook=14_13.xlsx&amp;sheet=U0&amp;row=1085&amp;col=6&amp;number=3.1&amp;sourceID=14","3.1")</f>
        <v>3.1</v>
      </c>
      <c r="G1085" s="4" t="str">
        <f>HYPERLINK("http://141.218.60.56/~jnz1568/getInfo.php?workbook=14_13.xlsx&amp;sheet=U0&amp;row=1085&amp;col=7&amp;number=0.174&amp;sourceID=14","0.174")</f>
        <v>0.174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HYPERLINK("http://141.218.60.56/~jnz1568/getInfo.php?workbook=14_13.xlsx&amp;sheet=U0&amp;row=1086&amp;col=6&amp;number=3.2&amp;sourceID=14","3.2")</f>
        <v>3.2</v>
      </c>
      <c r="G1086" s="4" t="str">
        <f>HYPERLINK("http://141.218.60.56/~jnz1568/getInfo.php?workbook=14_13.xlsx&amp;sheet=U0&amp;row=1086&amp;col=7&amp;number=0.177&amp;sourceID=14","0.177")</f>
        <v>0.177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HYPERLINK("http://141.218.60.56/~jnz1568/getInfo.php?workbook=14_13.xlsx&amp;sheet=U0&amp;row=1087&amp;col=6&amp;number=3.3&amp;sourceID=14","3.3")</f>
        <v>3.3</v>
      </c>
      <c r="G1087" s="4" t="str">
        <f>HYPERLINK("http://141.218.60.56/~jnz1568/getInfo.php?workbook=14_13.xlsx&amp;sheet=U0&amp;row=1087&amp;col=7&amp;number=0.181&amp;sourceID=14","0.181")</f>
        <v>0.181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HYPERLINK("http://141.218.60.56/~jnz1568/getInfo.php?workbook=14_13.xlsx&amp;sheet=U0&amp;row=1088&amp;col=6&amp;number=3.4&amp;sourceID=14","3.4")</f>
        <v>3.4</v>
      </c>
      <c r="G1088" s="4" t="str">
        <f>HYPERLINK("http://141.218.60.56/~jnz1568/getInfo.php?workbook=14_13.xlsx&amp;sheet=U0&amp;row=1088&amp;col=7&amp;number=0.186&amp;sourceID=14","0.186")</f>
        <v>0.186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HYPERLINK("http://141.218.60.56/~jnz1568/getInfo.php?workbook=14_13.xlsx&amp;sheet=U0&amp;row=1089&amp;col=6&amp;number=3.5&amp;sourceID=14","3.5")</f>
        <v>3.5</v>
      </c>
      <c r="G1089" s="4" t="str">
        <f>HYPERLINK("http://141.218.60.56/~jnz1568/getInfo.php?workbook=14_13.xlsx&amp;sheet=U0&amp;row=1089&amp;col=7&amp;number=0.192&amp;sourceID=14","0.192")</f>
        <v>0.192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HYPERLINK("http://141.218.60.56/~jnz1568/getInfo.php?workbook=14_13.xlsx&amp;sheet=U0&amp;row=1090&amp;col=6&amp;number=3.6&amp;sourceID=14","3.6")</f>
        <v>3.6</v>
      </c>
      <c r="G1090" s="4" t="str">
        <f>HYPERLINK("http://141.218.60.56/~jnz1568/getInfo.php?workbook=14_13.xlsx&amp;sheet=U0&amp;row=1090&amp;col=7&amp;number=0.2&amp;sourceID=14","0.2")</f>
        <v>0.2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HYPERLINK("http://141.218.60.56/~jnz1568/getInfo.php?workbook=14_13.xlsx&amp;sheet=U0&amp;row=1091&amp;col=6&amp;number=3.7&amp;sourceID=14","3.7")</f>
        <v>3.7</v>
      </c>
      <c r="G1091" s="4" t="str">
        <f>HYPERLINK("http://141.218.60.56/~jnz1568/getInfo.php?workbook=14_13.xlsx&amp;sheet=U0&amp;row=1091&amp;col=7&amp;number=0.21&amp;sourceID=14","0.21")</f>
        <v>0.21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HYPERLINK("http://141.218.60.56/~jnz1568/getInfo.php?workbook=14_13.xlsx&amp;sheet=U0&amp;row=1092&amp;col=6&amp;number=3.8&amp;sourceID=14","3.8")</f>
        <v>3.8</v>
      </c>
      <c r="G1092" s="4" t="str">
        <f>HYPERLINK("http://141.218.60.56/~jnz1568/getInfo.php?workbook=14_13.xlsx&amp;sheet=U0&amp;row=1092&amp;col=7&amp;number=0.223&amp;sourceID=14","0.223")</f>
        <v>0.223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HYPERLINK("http://141.218.60.56/~jnz1568/getInfo.php?workbook=14_13.xlsx&amp;sheet=U0&amp;row=1093&amp;col=6&amp;number=3.9&amp;sourceID=14","3.9")</f>
        <v>3.9</v>
      </c>
      <c r="G1093" s="4" t="str">
        <f>HYPERLINK("http://141.218.60.56/~jnz1568/getInfo.php?workbook=14_13.xlsx&amp;sheet=U0&amp;row=1093&amp;col=7&amp;number=0.238&amp;sourceID=14","0.238")</f>
        <v>0.238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HYPERLINK("http://141.218.60.56/~jnz1568/getInfo.php?workbook=14_13.xlsx&amp;sheet=U0&amp;row=1094&amp;col=6&amp;number=4&amp;sourceID=14","4")</f>
        <v>4</v>
      </c>
      <c r="G1094" s="4" t="str">
        <f>HYPERLINK("http://141.218.60.56/~jnz1568/getInfo.php?workbook=14_13.xlsx&amp;sheet=U0&amp;row=1094&amp;col=7&amp;number=0.256&amp;sourceID=14","0.256")</f>
        <v>0.256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HYPERLINK("http://141.218.60.56/~jnz1568/getInfo.php?workbook=14_13.xlsx&amp;sheet=U0&amp;row=1095&amp;col=6&amp;number=4.1&amp;sourceID=14","4.1")</f>
        <v>4.1</v>
      </c>
      <c r="G1095" s="4" t="str">
        <f>HYPERLINK("http://141.218.60.56/~jnz1568/getInfo.php?workbook=14_13.xlsx&amp;sheet=U0&amp;row=1095&amp;col=7&amp;number=0.276&amp;sourceID=14","0.276")</f>
        <v>0.276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HYPERLINK("http://141.218.60.56/~jnz1568/getInfo.php?workbook=14_13.xlsx&amp;sheet=U0&amp;row=1096&amp;col=6&amp;number=4.2&amp;sourceID=14","4.2")</f>
        <v>4.2</v>
      </c>
      <c r="G1096" s="4" t="str">
        <f>HYPERLINK("http://141.218.60.56/~jnz1568/getInfo.php?workbook=14_13.xlsx&amp;sheet=U0&amp;row=1096&amp;col=7&amp;number=0.298&amp;sourceID=14","0.298")</f>
        <v>0.298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HYPERLINK("http://141.218.60.56/~jnz1568/getInfo.php?workbook=14_13.xlsx&amp;sheet=U0&amp;row=1097&amp;col=6&amp;number=4.3&amp;sourceID=14","4.3")</f>
        <v>4.3</v>
      </c>
      <c r="G1097" s="4" t="str">
        <f>HYPERLINK("http://141.218.60.56/~jnz1568/getInfo.php?workbook=14_13.xlsx&amp;sheet=U0&amp;row=1097&amp;col=7&amp;number=0.321&amp;sourceID=14","0.321")</f>
        <v>0.321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HYPERLINK("http://141.218.60.56/~jnz1568/getInfo.php?workbook=14_13.xlsx&amp;sheet=U0&amp;row=1098&amp;col=6&amp;number=4.4&amp;sourceID=14","4.4")</f>
        <v>4.4</v>
      </c>
      <c r="G1098" s="4" t="str">
        <f>HYPERLINK("http://141.218.60.56/~jnz1568/getInfo.php?workbook=14_13.xlsx&amp;sheet=U0&amp;row=1098&amp;col=7&amp;number=0.344&amp;sourceID=14","0.344")</f>
        <v>0.344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HYPERLINK("http://141.218.60.56/~jnz1568/getInfo.php?workbook=14_13.xlsx&amp;sheet=U0&amp;row=1099&amp;col=6&amp;number=4.5&amp;sourceID=14","4.5")</f>
        <v>4.5</v>
      </c>
      <c r="G1099" s="4" t="str">
        <f>HYPERLINK("http://141.218.60.56/~jnz1568/getInfo.php?workbook=14_13.xlsx&amp;sheet=U0&amp;row=1099&amp;col=7&amp;number=0.365&amp;sourceID=14","0.365")</f>
        <v>0.365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HYPERLINK("http://141.218.60.56/~jnz1568/getInfo.php?workbook=14_13.xlsx&amp;sheet=U0&amp;row=1100&amp;col=6&amp;number=4.6&amp;sourceID=14","4.6")</f>
        <v>4.6</v>
      </c>
      <c r="G1100" s="4" t="str">
        <f>HYPERLINK("http://141.218.60.56/~jnz1568/getInfo.php?workbook=14_13.xlsx&amp;sheet=U0&amp;row=1100&amp;col=7&amp;number=0.383&amp;sourceID=14","0.383")</f>
        <v>0.383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HYPERLINK("http://141.218.60.56/~jnz1568/getInfo.php?workbook=14_13.xlsx&amp;sheet=U0&amp;row=1101&amp;col=6&amp;number=4.7&amp;sourceID=14","4.7")</f>
        <v>4.7</v>
      </c>
      <c r="G1101" s="4" t="str">
        <f>HYPERLINK("http://141.218.60.56/~jnz1568/getInfo.php?workbook=14_13.xlsx&amp;sheet=U0&amp;row=1101&amp;col=7&amp;number=0.394&amp;sourceID=14","0.394")</f>
        <v>0.394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HYPERLINK("http://141.218.60.56/~jnz1568/getInfo.php?workbook=14_13.xlsx&amp;sheet=U0&amp;row=1102&amp;col=6&amp;number=4.8&amp;sourceID=14","4.8")</f>
        <v>4.8</v>
      </c>
      <c r="G1102" s="4" t="str">
        <f>HYPERLINK("http://141.218.60.56/~jnz1568/getInfo.php?workbook=14_13.xlsx&amp;sheet=U0&amp;row=1102&amp;col=7&amp;number=0.398&amp;sourceID=14","0.398")</f>
        <v>0.398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HYPERLINK("http://141.218.60.56/~jnz1568/getInfo.php?workbook=14_13.xlsx&amp;sheet=U0&amp;row=1103&amp;col=6&amp;number=4.9&amp;sourceID=14","4.9")</f>
        <v>4.9</v>
      </c>
      <c r="G1103" s="4" t="str">
        <f>HYPERLINK("http://141.218.60.56/~jnz1568/getInfo.php?workbook=14_13.xlsx&amp;sheet=U0&amp;row=1103&amp;col=7&amp;number=0.394&amp;sourceID=14","0.394")</f>
        <v>0.394</v>
      </c>
    </row>
    <row r="1104" spans="1:7">
      <c r="A1104" s="3">
        <v>14</v>
      </c>
      <c r="B1104" s="3">
        <v>13</v>
      </c>
      <c r="C1104" s="3">
        <v>3</v>
      </c>
      <c r="D1104" s="3">
        <v>4</v>
      </c>
      <c r="E1104" s="3">
        <v>1</v>
      </c>
      <c r="F1104" s="4" t="str">
        <f>HYPERLINK("http://141.218.60.56/~jnz1568/getInfo.php?workbook=14_13.xlsx&amp;sheet=U0&amp;row=1104&amp;col=6&amp;number=3&amp;sourceID=14","3")</f>
        <v>3</v>
      </c>
      <c r="G1104" s="4" t="str">
        <f>HYPERLINK("http://141.218.60.56/~jnz1568/getInfo.php?workbook=14_13.xlsx&amp;sheet=U0&amp;row=1104&amp;col=7&amp;number=3.8&amp;sourceID=14","3.8")</f>
        <v>3.8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HYPERLINK("http://141.218.60.56/~jnz1568/getInfo.php?workbook=14_13.xlsx&amp;sheet=U0&amp;row=1105&amp;col=6&amp;number=3.1&amp;sourceID=14","3.1")</f>
        <v>3.1</v>
      </c>
      <c r="G1105" s="4" t="str">
        <f>HYPERLINK("http://141.218.60.56/~jnz1568/getInfo.php?workbook=14_13.xlsx&amp;sheet=U0&amp;row=1105&amp;col=7&amp;number=3.78&amp;sourceID=14","3.78")</f>
        <v>3.78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HYPERLINK("http://141.218.60.56/~jnz1568/getInfo.php?workbook=14_13.xlsx&amp;sheet=U0&amp;row=1106&amp;col=6&amp;number=3.2&amp;sourceID=14","3.2")</f>
        <v>3.2</v>
      </c>
      <c r="G1106" s="4" t="str">
        <f>HYPERLINK("http://141.218.60.56/~jnz1568/getInfo.php?workbook=14_13.xlsx&amp;sheet=U0&amp;row=1106&amp;col=7&amp;number=3.76&amp;sourceID=14","3.76")</f>
        <v>3.76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HYPERLINK("http://141.218.60.56/~jnz1568/getInfo.php?workbook=14_13.xlsx&amp;sheet=U0&amp;row=1107&amp;col=6&amp;number=3.3&amp;sourceID=14","3.3")</f>
        <v>3.3</v>
      </c>
      <c r="G1107" s="4" t="str">
        <f>HYPERLINK("http://141.218.60.56/~jnz1568/getInfo.php?workbook=14_13.xlsx&amp;sheet=U0&amp;row=1107&amp;col=7&amp;number=3.74&amp;sourceID=14","3.74")</f>
        <v>3.74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HYPERLINK("http://141.218.60.56/~jnz1568/getInfo.php?workbook=14_13.xlsx&amp;sheet=U0&amp;row=1108&amp;col=6&amp;number=3.4&amp;sourceID=14","3.4")</f>
        <v>3.4</v>
      </c>
      <c r="G1108" s="4" t="str">
        <f>HYPERLINK("http://141.218.60.56/~jnz1568/getInfo.php?workbook=14_13.xlsx&amp;sheet=U0&amp;row=1108&amp;col=7&amp;number=3.72&amp;sourceID=14","3.72")</f>
        <v>3.72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HYPERLINK("http://141.218.60.56/~jnz1568/getInfo.php?workbook=14_13.xlsx&amp;sheet=U0&amp;row=1109&amp;col=6&amp;number=3.5&amp;sourceID=14","3.5")</f>
        <v>3.5</v>
      </c>
      <c r="G1109" s="4" t="str">
        <f>HYPERLINK("http://141.218.60.56/~jnz1568/getInfo.php?workbook=14_13.xlsx&amp;sheet=U0&amp;row=1109&amp;col=7&amp;number=3.69&amp;sourceID=14","3.69")</f>
        <v>3.69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HYPERLINK("http://141.218.60.56/~jnz1568/getInfo.php?workbook=14_13.xlsx&amp;sheet=U0&amp;row=1110&amp;col=6&amp;number=3.6&amp;sourceID=14","3.6")</f>
        <v>3.6</v>
      </c>
      <c r="G1110" s="4" t="str">
        <f>HYPERLINK("http://141.218.60.56/~jnz1568/getInfo.php?workbook=14_13.xlsx&amp;sheet=U0&amp;row=1110&amp;col=7&amp;number=3.66&amp;sourceID=14","3.66")</f>
        <v>3.66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HYPERLINK("http://141.218.60.56/~jnz1568/getInfo.php?workbook=14_13.xlsx&amp;sheet=U0&amp;row=1111&amp;col=6&amp;number=3.7&amp;sourceID=14","3.7")</f>
        <v>3.7</v>
      </c>
      <c r="G1111" s="4" t="str">
        <f>HYPERLINK("http://141.218.60.56/~jnz1568/getInfo.php?workbook=14_13.xlsx&amp;sheet=U0&amp;row=1111&amp;col=7&amp;number=3.63&amp;sourceID=14","3.63")</f>
        <v>3.63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HYPERLINK("http://141.218.60.56/~jnz1568/getInfo.php?workbook=14_13.xlsx&amp;sheet=U0&amp;row=1112&amp;col=6&amp;number=3.8&amp;sourceID=14","3.8")</f>
        <v>3.8</v>
      </c>
      <c r="G1112" s="4" t="str">
        <f>HYPERLINK("http://141.218.60.56/~jnz1568/getInfo.php?workbook=14_13.xlsx&amp;sheet=U0&amp;row=1112&amp;col=7&amp;number=3.61&amp;sourceID=14","3.61")</f>
        <v>3.61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HYPERLINK("http://141.218.60.56/~jnz1568/getInfo.php?workbook=14_13.xlsx&amp;sheet=U0&amp;row=1113&amp;col=6&amp;number=3.9&amp;sourceID=14","3.9")</f>
        <v>3.9</v>
      </c>
      <c r="G1113" s="4" t="str">
        <f>HYPERLINK("http://141.218.60.56/~jnz1568/getInfo.php?workbook=14_13.xlsx&amp;sheet=U0&amp;row=1113&amp;col=7&amp;number=3.58&amp;sourceID=14","3.58")</f>
        <v>3.58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HYPERLINK("http://141.218.60.56/~jnz1568/getInfo.php?workbook=14_13.xlsx&amp;sheet=U0&amp;row=1114&amp;col=6&amp;number=4&amp;sourceID=14","4")</f>
        <v>4</v>
      </c>
      <c r="G1114" s="4" t="str">
        <f>HYPERLINK("http://141.218.60.56/~jnz1568/getInfo.php?workbook=14_13.xlsx&amp;sheet=U0&amp;row=1114&amp;col=7&amp;number=3.54&amp;sourceID=14","3.54")</f>
        <v>3.54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HYPERLINK("http://141.218.60.56/~jnz1568/getInfo.php?workbook=14_13.xlsx&amp;sheet=U0&amp;row=1115&amp;col=6&amp;number=4.1&amp;sourceID=14","4.1")</f>
        <v>4.1</v>
      </c>
      <c r="G1115" s="4" t="str">
        <f>HYPERLINK("http://141.218.60.56/~jnz1568/getInfo.php?workbook=14_13.xlsx&amp;sheet=U0&amp;row=1115&amp;col=7&amp;number=3.49&amp;sourceID=14","3.49")</f>
        <v>3.49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HYPERLINK("http://141.218.60.56/~jnz1568/getInfo.php?workbook=14_13.xlsx&amp;sheet=U0&amp;row=1116&amp;col=6&amp;number=4.2&amp;sourceID=14","4.2")</f>
        <v>4.2</v>
      </c>
      <c r="G1116" s="4" t="str">
        <f>HYPERLINK("http://141.218.60.56/~jnz1568/getInfo.php?workbook=14_13.xlsx&amp;sheet=U0&amp;row=1116&amp;col=7&amp;number=3.44&amp;sourceID=14","3.44")</f>
        <v>3.44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HYPERLINK("http://141.218.60.56/~jnz1568/getInfo.php?workbook=14_13.xlsx&amp;sheet=U0&amp;row=1117&amp;col=6&amp;number=4.3&amp;sourceID=14","4.3")</f>
        <v>4.3</v>
      </c>
      <c r="G1117" s="4" t="str">
        <f>HYPERLINK("http://141.218.60.56/~jnz1568/getInfo.php?workbook=14_13.xlsx&amp;sheet=U0&amp;row=1117&amp;col=7&amp;number=3.38&amp;sourceID=14","3.38")</f>
        <v>3.38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HYPERLINK("http://141.218.60.56/~jnz1568/getInfo.php?workbook=14_13.xlsx&amp;sheet=U0&amp;row=1118&amp;col=6&amp;number=4.4&amp;sourceID=14","4.4")</f>
        <v>4.4</v>
      </c>
      <c r="G1118" s="4" t="str">
        <f>HYPERLINK("http://141.218.60.56/~jnz1568/getInfo.php?workbook=14_13.xlsx&amp;sheet=U0&amp;row=1118&amp;col=7&amp;number=3.31&amp;sourceID=14","3.31")</f>
        <v>3.31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HYPERLINK("http://141.218.60.56/~jnz1568/getInfo.php?workbook=14_13.xlsx&amp;sheet=U0&amp;row=1119&amp;col=6&amp;number=4.5&amp;sourceID=14","4.5")</f>
        <v>4.5</v>
      </c>
      <c r="G1119" s="4" t="str">
        <f>HYPERLINK("http://141.218.60.56/~jnz1568/getInfo.php?workbook=14_13.xlsx&amp;sheet=U0&amp;row=1119&amp;col=7&amp;number=3.23&amp;sourceID=14","3.23")</f>
        <v>3.23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HYPERLINK("http://141.218.60.56/~jnz1568/getInfo.php?workbook=14_13.xlsx&amp;sheet=U0&amp;row=1120&amp;col=6&amp;number=4.6&amp;sourceID=14","4.6")</f>
        <v>4.6</v>
      </c>
      <c r="G1120" s="4" t="str">
        <f>HYPERLINK("http://141.218.60.56/~jnz1568/getInfo.php?workbook=14_13.xlsx&amp;sheet=U0&amp;row=1120&amp;col=7&amp;number=3.14&amp;sourceID=14","3.14")</f>
        <v>3.14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HYPERLINK("http://141.218.60.56/~jnz1568/getInfo.php?workbook=14_13.xlsx&amp;sheet=U0&amp;row=1121&amp;col=6&amp;number=4.7&amp;sourceID=14","4.7")</f>
        <v>4.7</v>
      </c>
      <c r="G1121" s="4" t="str">
        <f>HYPERLINK("http://141.218.60.56/~jnz1568/getInfo.php?workbook=14_13.xlsx&amp;sheet=U0&amp;row=1121&amp;col=7&amp;number=3.02&amp;sourceID=14","3.02")</f>
        <v>3.02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HYPERLINK("http://141.218.60.56/~jnz1568/getInfo.php?workbook=14_13.xlsx&amp;sheet=U0&amp;row=1122&amp;col=6&amp;number=4.8&amp;sourceID=14","4.8")</f>
        <v>4.8</v>
      </c>
      <c r="G1122" s="4" t="str">
        <f>HYPERLINK("http://141.218.60.56/~jnz1568/getInfo.php?workbook=14_13.xlsx&amp;sheet=U0&amp;row=1122&amp;col=7&amp;number=2.89&amp;sourceID=14","2.89")</f>
        <v>2.89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HYPERLINK("http://141.218.60.56/~jnz1568/getInfo.php?workbook=14_13.xlsx&amp;sheet=U0&amp;row=1123&amp;col=6&amp;number=4.9&amp;sourceID=14","4.9")</f>
        <v>4.9</v>
      </c>
      <c r="G1123" s="4" t="str">
        <f>HYPERLINK("http://141.218.60.56/~jnz1568/getInfo.php?workbook=14_13.xlsx&amp;sheet=U0&amp;row=1123&amp;col=7&amp;number=2.74&amp;sourceID=14","2.74")</f>
        <v>2.74</v>
      </c>
    </row>
    <row r="1124" spans="1:7">
      <c r="A1124" s="3">
        <v>14</v>
      </c>
      <c r="B1124" s="3">
        <v>13</v>
      </c>
      <c r="C1124" s="3">
        <v>3</v>
      </c>
      <c r="D1124" s="3">
        <v>5</v>
      </c>
      <c r="E1124" s="3">
        <v>1</v>
      </c>
      <c r="F1124" s="4" t="str">
        <f>HYPERLINK("http://141.218.60.56/~jnz1568/getInfo.php?workbook=14_13.xlsx&amp;sheet=U0&amp;row=1124&amp;col=6&amp;number=3&amp;sourceID=14","3")</f>
        <v>3</v>
      </c>
      <c r="G1124" s="4" t="str">
        <f>HYPERLINK("http://141.218.60.56/~jnz1568/getInfo.php?workbook=14_13.xlsx&amp;sheet=U0&amp;row=1124&amp;col=7&amp;number=2.47&amp;sourceID=14","2.47")</f>
        <v>2.47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HYPERLINK("http://141.218.60.56/~jnz1568/getInfo.php?workbook=14_13.xlsx&amp;sheet=U0&amp;row=1125&amp;col=6&amp;number=3.1&amp;sourceID=14","3.1")</f>
        <v>3.1</v>
      </c>
      <c r="G1125" s="4" t="str">
        <f>HYPERLINK("http://141.218.60.56/~jnz1568/getInfo.php?workbook=14_13.xlsx&amp;sheet=U0&amp;row=1125&amp;col=7&amp;number=2.5&amp;sourceID=14","2.5")</f>
        <v>2.5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HYPERLINK("http://141.218.60.56/~jnz1568/getInfo.php?workbook=14_13.xlsx&amp;sheet=U0&amp;row=1126&amp;col=6&amp;number=3.2&amp;sourceID=14","3.2")</f>
        <v>3.2</v>
      </c>
      <c r="G1126" s="4" t="str">
        <f>HYPERLINK("http://141.218.60.56/~jnz1568/getInfo.php?workbook=14_13.xlsx&amp;sheet=U0&amp;row=1126&amp;col=7&amp;number=2.53&amp;sourceID=14","2.53")</f>
        <v>2.53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HYPERLINK("http://141.218.60.56/~jnz1568/getInfo.php?workbook=14_13.xlsx&amp;sheet=U0&amp;row=1127&amp;col=6&amp;number=3.3&amp;sourceID=14","3.3")</f>
        <v>3.3</v>
      </c>
      <c r="G1127" s="4" t="str">
        <f>HYPERLINK("http://141.218.60.56/~jnz1568/getInfo.php?workbook=14_13.xlsx&amp;sheet=U0&amp;row=1127&amp;col=7&amp;number=2.56&amp;sourceID=14","2.56")</f>
        <v>2.56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HYPERLINK("http://141.218.60.56/~jnz1568/getInfo.php?workbook=14_13.xlsx&amp;sheet=U0&amp;row=1128&amp;col=6&amp;number=3.4&amp;sourceID=14","3.4")</f>
        <v>3.4</v>
      </c>
      <c r="G1128" s="4" t="str">
        <f>HYPERLINK("http://141.218.60.56/~jnz1568/getInfo.php?workbook=14_13.xlsx&amp;sheet=U0&amp;row=1128&amp;col=7&amp;number=2.59&amp;sourceID=14","2.59")</f>
        <v>2.59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HYPERLINK("http://141.218.60.56/~jnz1568/getInfo.php?workbook=14_13.xlsx&amp;sheet=U0&amp;row=1129&amp;col=6&amp;number=3.5&amp;sourceID=14","3.5")</f>
        <v>3.5</v>
      </c>
      <c r="G1129" s="4" t="str">
        <f>HYPERLINK("http://141.218.60.56/~jnz1568/getInfo.php?workbook=14_13.xlsx&amp;sheet=U0&amp;row=1129&amp;col=7&amp;number=2.62&amp;sourceID=14","2.62")</f>
        <v>2.62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HYPERLINK("http://141.218.60.56/~jnz1568/getInfo.php?workbook=14_13.xlsx&amp;sheet=U0&amp;row=1130&amp;col=6&amp;number=3.6&amp;sourceID=14","3.6")</f>
        <v>3.6</v>
      </c>
      <c r="G1130" s="4" t="str">
        <f>HYPERLINK("http://141.218.60.56/~jnz1568/getInfo.php?workbook=14_13.xlsx&amp;sheet=U0&amp;row=1130&amp;col=7&amp;number=2.64&amp;sourceID=14","2.64")</f>
        <v>2.64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HYPERLINK("http://141.218.60.56/~jnz1568/getInfo.php?workbook=14_13.xlsx&amp;sheet=U0&amp;row=1131&amp;col=6&amp;number=3.7&amp;sourceID=14","3.7")</f>
        <v>3.7</v>
      </c>
      <c r="G1131" s="4" t="str">
        <f>HYPERLINK("http://141.218.60.56/~jnz1568/getInfo.php?workbook=14_13.xlsx&amp;sheet=U0&amp;row=1131&amp;col=7&amp;number=2.65&amp;sourceID=14","2.65")</f>
        <v>2.65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HYPERLINK("http://141.218.60.56/~jnz1568/getInfo.php?workbook=14_13.xlsx&amp;sheet=U0&amp;row=1132&amp;col=6&amp;number=3.8&amp;sourceID=14","3.8")</f>
        <v>3.8</v>
      </c>
      <c r="G1132" s="4" t="str">
        <f>HYPERLINK("http://141.218.60.56/~jnz1568/getInfo.php?workbook=14_13.xlsx&amp;sheet=U0&amp;row=1132&amp;col=7&amp;number=2.64&amp;sourceID=14","2.64")</f>
        <v>2.64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HYPERLINK("http://141.218.60.56/~jnz1568/getInfo.php?workbook=14_13.xlsx&amp;sheet=U0&amp;row=1133&amp;col=6&amp;number=3.9&amp;sourceID=14","3.9")</f>
        <v>3.9</v>
      </c>
      <c r="G1133" s="4" t="str">
        <f>HYPERLINK("http://141.218.60.56/~jnz1568/getInfo.php?workbook=14_13.xlsx&amp;sheet=U0&amp;row=1133&amp;col=7&amp;number=2.62&amp;sourceID=14","2.62")</f>
        <v>2.62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HYPERLINK("http://141.218.60.56/~jnz1568/getInfo.php?workbook=14_13.xlsx&amp;sheet=U0&amp;row=1134&amp;col=6&amp;number=4&amp;sourceID=14","4")</f>
        <v>4</v>
      </c>
      <c r="G1134" s="4" t="str">
        <f>HYPERLINK("http://141.218.60.56/~jnz1568/getInfo.php?workbook=14_13.xlsx&amp;sheet=U0&amp;row=1134&amp;col=7&amp;number=2.59&amp;sourceID=14","2.59")</f>
        <v>2.59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HYPERLINK("http://141.218.60.56/~jnz1568/getInfo.php?workbook=14_13.xlsx&amp;sheet=U0&amp;row=1135&amp;col=6&amp;number=4.1&amp;sourceID=14","4.1")</f>
        <v>4.1</v>
      </c>
      <c r="G1135" s="4" t="str">
        <f>HYPERLINK("http://141.218.60.56/~jnz1568/getInfo.php?workbook=14_13.xlsx&amp;sheet=U0&amp;row=1135&amp;col=7&amp;number=2.55&amp;sourceID=14","2.55")</f>
        <v>2.55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HYPERLINK("http://141.218.60.56/~jnz1568/getInfo.php?workbook=14_13.xlsx&amp;sheet=U0&amp;row=1136&amp;col=6&amp;number=4.2&amp;sourceID=14","4.2")</f>
        <v>4.2</v>
      </c>
      <c r="G1136" s="4" t="str">
        <f>HYPERLINK("http://141.218.60.56/~jnz1568/getInfo.php?workbook=14_13.xlsx&amp;sheet=U0&amp;row=1136&amp;col=7&amp;number=2.49&amp;sourceID=14","2.49")</f>
        <v>2.49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HYPERLINK("http://141.218.60.56/~jnz1568/getInfo.php?workbook=14_13.xlsx&amp;sheet=U0&amp;row=1137&amp;col=6&amp;number=4.3&amp;sourceID=14","4.3")</f>
        <v>4.3</v>
      </c>
      <c r="G1137" s="4" t="str">
        <f>HYPERLINK("http://141.218.60.56/~jnz1568/getInfo.php?workbook=14_13.xlsx&amp;sheet=U0&amp;row=1137&amp;col=7&amp;number=2.42&amp;sourceID=14","2.42")</f>
        <v>2.42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HYPERLINK("http://141.218.60.56/~jnz1568/getInfo.php?workbook=14_13.xlsx&amp;sheet=U0&amp;row=1138&amp;col=6&amp;number=4.4&amp;sourceID=14","4.4")</f>
        <v>4.4</v>
      </c>
      <c r="G1138" s="4" t="str">
        <f>HYPERLINK("http://141.218.60.56/~jnz1568/getInfo.php?workbook=14_13.xlsx&amp;sheet=U0&amp;row=1138&amp;col=7&amp;number=2.35&amp;sourceID=14","2.35")</f>
        <v>2.35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HYPERLINK("http://141.218.60.56/~jnz1568/getInfo.php?workbook=14_13.xlsx&amp;sheet=U0&amp;row=1139&amp;col=6&amp;number=4.5&amp;sourceID=14","4.5")</f>
        <v>4.5</v>
      </c>
      <c r="G1139" s="4" t="str">
        <f>HYPERLINK("http://141.218.60.56/~jnz1568/getInfo.php?workbook=14_13.xlsx&amp;sheet=U0&amp;row=1139&amp;col=7&amp;number=2.27&amp;sourceID=14","2.27")</f>
        <v>2.27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HYPERLINK("http://141.218.60.56/~jnz1568/getInfo.php?workbook=14_13.xlsx&amp;sheet=U0&amp;row=1140&amp;col=6&amp;number=4.6&amp;sourceID=14","4.6")</f>
        <v>4.6</v>
      </c>
      <c r="G1140" s="4" t="str">
        <f>HYPERLINK("http://141.218.60.56/~jnz1568/getInfo.php?workbook=14_13.xlsx&amp;sheet=U0&amp;row=1140&amp;col=7&amp;number=2.2&amp;sourceID=14","2.2")</f>
        <v>2.2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HYPERLINK("http://141.218.60.56/~jnz1568/getInfo.php?workbook=14_13.xlsx&amp;sheet=U0&amp;row=1141&amp;col=6&amp;number=4.7&amp;sourceID=14","4.7")</f>
        <v>4.7</v>
      </c>
      <c r="G1141" s="4" t="str">
        <f>HYPERLINK("http://141.218.60.56/~jnz1568/getInfo.php?workbook=14_13.xlsx&amp;sheet=U0&amp;row=1141&amp;col=7&amp;number=2.13&amp;sourceID=14","2.13")</f>
        <v>2.13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HYPERLINK("http://141.218.60.56/~jnz1568/getInfo.php?workbook=14_13.xlsx&amp;sheet=U0&amp;row=1142&amp;col=6&amp;number=4.8&amp;sourceID=14","4.8")</f>
        <v>4.8</v>
      </c>
      <c r="G1142" s="4" t="str">
        <f>HYPERLINK("http://141.218.60.56/~jnz1568/getInfo.php?workbook=14_13.xlsx&amp;sheet=U0&amp;row=1142&amp;col=7&amp;number=2.07&amp;sourceID=14","2.07")</f>
        <v>2.07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HYPERLINK("http://141.218.60.56/~jnz1568/getInfo.php?workbook=14_13.xlsx&amp;sheet=U0&amp;row=1143&amp;col=6&amp;number=4.9&amp;sourceID=14","4.9")</f>
        <v>4.9</v>
      </c>
      <c r="G1143" s="4" t="str">
        <f>HYPERLINK("http://141.218.60.56/~jnz1568/getInfo.php?workbook=14_13.xlsx&amp;sheet=U0&amp;row=1143&amp;col=7&amp;number=2.02&amp;sourceID=14","2.02")</f>
        <v>2.02</v>
      </c>
    </row>
    <row r="1144" spans="1:7">
      <c r="A1144" s="3">
        <v>14</v>
      </c>
      <c r="B1144" s="3">
        <v>13</v>
      </c>
      <c r="C1144" s="3">
        <v>3</v>
      </c>
      <c r="D1144" s="3">
        <v>6</v>
      </c>
      <c r="E1144" s="3">
        <v>1</v>
      </c>
      <c r="F1144" s="4" t="str">
        <f>HYPERLINK("http://141.218.60.56/~jnz1568/getInfo.php?workbook=14_13.xlsx&amp;sheet=U0&amp;row=1144&amp;col=6&amp;number=3&amp;sourceID=14","3")</f>
        <v>3</v>
      </c>
      <c r="G1144" s="4" t="str">
        <f>HYPERLINK("http://141.218.60.56/~jnz1568/getInfo.php?workbook=14_13.xlsx&amp;sheet=U0&amp;row=1144&amp;col=7&amp;number=1.24&amp;sourceID=14","1.24")</f>
        <v>1.24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HYPERLINK("http://141.218.60.56/~jnz1568/getInfo.php?workbook=14_13.xlsx&amp;sheet=U0&amp;row=1145&amp;col=6&amp;number=3.1&amp;sourceID=14","3.1")</f>
        <v>3.1</v>
      </c>
      <c r="G1145" s="4" t="str">
        <f>HYPERLINK("http://141.218.60.56/~jnz1568/getInfo.php?workbook=14_13.xlsx&amp;sheet=U0&amp;row=1145&amp;col=7&amp;number=1.25&amp;sourceID=14","1.25")</f>
        <v>1.25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HYPERLINK("http://141.218.60.56/~jnz1568/getInfo.php?workbook=14_13.xlsx&amp;sheet=U0&amp;row=1146&amp;col=6&amp;number=3.2&amp;sourceID=14","3.2")</f>
        <v>3.2</v>
      </c>
      <c r="G1146" s="4" t="str">
        <f>HYPERLINK("http://141.218.60.56/~jnz1568/getInfo.php?workbook=14_13.xlsx&amp;sheet=U0&amp;row=1146&amp;col=7&amp;number=1.25&amp;sourceID=14","1.25")</f>
        <v>1.25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HYPERLINK("http://141.218.60.56/~jnz1568/getInfo.php?workbook=14_13.xlsx&amp;sheet=U0&amp;row=1147&amp;col=6&amp;number=3.3&amp;sourceID=14","3.3")</f>
        <v>3.3</v>
      </c>
      <c r="G1147" s="4" t="str">
        <f>HYPERLINK("http://141.218.60.56/~jnz1568/getInfo.php?workbook=14_13.xlsx&amp;sheet=U0&amp;row=1147&amp;col=7&amp;number=1.26&amp;sourceID=14","1.26")</f>
        <v>1.26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HYPERLINK("http://141.218.60.56/~jnz1568/getInfo.php?workbook=14_13.xlsx&amp;sheet=U0&amp;row=1148&amp;col=6&amp;number=3.4&amp;sourceID=14","3.4")</f>
        <v>3.4</v>
      </c>
      <c r="G1148" s="4" t="str">
        <f>HYPERLINK("http://141.218.60.56/~jnz1568/getInfo.php?workbook=14_13.xlsx&amp;sheet=U0&amp;row=1148&amp;col=7&amp;number=1.26&amp;sourceID=14","1.26")</f>
        <v>1.26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HYPERLINK("http://141.218.60.56/~jnz1568/getInfo.php?workbook=14_13.xlsx&amp;sheet=U0&amp;row=1149&amp;col=6&amp;number=3.5&amp;sourceID=14","3.5")</f>
        <v>3.5</v>
      </c>
      <c r="G1149" s="4" t="str">
        <f>HYPERLINK("http://141.218.60.56/~jnz1568/getInfo.php?workbook=14_13.xlsx&amp;sheet=U0&amp;row=1149&amp;col=7&amp;number=1.27&amp;sourceID=14","1.27")</f>
        <v>1.27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HYPERLINK("http://141.218.60.56/~jnz1568/getInfo.php?workbook=14_13.xlsx&amp;sheet=U0&amp;row=1150&amp;col=6&amp;number=3.6&amp;sourceID=14","3.6")</f>
        <v>3.6</v>
      </c>
      <c r="G1150" s="4" t="str">
        <f>HYPERLINK("http://141.218.60.56/~jnz1568/getInfo.php?workbook=14_13.xlsx&amp;sheet=U0&amp;row=1150&amp;col=7&amp;number=1.27&amp;sourceID=14","1.27")</f>
        <v>1.27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HYPERLINK("http://141.218.60.56/~jnz1568/getInfo.php?workbook=14_13.xlsx&amp;sheet=U0&amp;row=1151&amp;col=6&amp;number=3.7&amp;sourceID=14","3.7")</f>
        <v>3.7</v>
      </c>
      <c r="G1151" s="4" t="str">
        <f>HYPERLINK("http://141.218.60.56/~jnz1568/getInfo.php?workbook=14_13.xlsx&amp;sheet=U0&amp;row=1151&amp;col=7&amp;number=1.26&amp;sourceID=14","1.26")</f>
        <v>1.26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HYPERLINK("http://141.218.60.56/~jnz1568/getInfo.php?workbook=14_13.xlsx&amp;sheet=U0&amp;row=1152&amp;col=6&amp;number=3.8&amp;sourceID=14","3.8")</f>
        <v>3.8</v>
      </c>
      <c r="G1152" s="4" t="str">
        <f>HYPERLINK("http://141.218.60.56/~jnz1568/getInfo.php?workbook=14_13.xlsx&amp;sheet=U0&amp;row=1152&amp;col=7&amp;number=1.25&amp;sourceID=14","1.25")</f>
        <v>1.25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HYPERLINK("http://141.218.60.56/~jnz1568/getInfo.php?workbook=14_13.xlsx&amp;sheet=U0&amp;row=1153&amp;col=6&amp;number=3.9&amp;sourceID=14","3.9")</f>
        <v>3.9</v>
      </c>
      <c r="G1153" s="4" t="str">
        <f>HYPERLINK("http://141.218.60.56/~jnz1568/getInfo.php?workbook=14_13.xlsx&amp;sheet=U0&amp;row=1153&amp;col=7&amp;number=1.23&amp;sourceID=14","1.23")</f>
        <v>1.23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HYPERLINK("http://141.218.60.56/~jnz1568/getInfo.php?workbook=14_13.xlsx&amp;sheet=U0&amp;row=1154&amp;col=6&amp;number=4&amp;sourceID=14","4")</f>
        <v>4</v>
      </c>
      <c r="G1154" s="4" t="str">
        <f>HYPERLINK("http://141.218.60.56/~jnz1568/getInfo.php?workbook=14_13.xlsx&amp;sheet=U0&amp;row=1154&amp;col=7&amp;number=1.2&amp;sourceID=14","1.2")</f>
        <v>1.2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HYPERLINK("http://141.218.60.56/~jnz1568/getInfo.php?workbook=14_13.xlsx&amp;sheet=U0&amp;row=1155&amp;col=6&amp;number=4.1&amp;sourceID=14","4.1")</f>
        <v>4.1</v>
      </c>
      <c r="G1155" s="4" t="str">
        <f>HYPERLINK("http://141.218.60.56/~jnz1568/getInfo.php?workbook=14_13.xlsx&amp;sheet=U0&amp;row=1155&amp;col=7&amp;number=1.16&amp;sourceID=14","1.16")</f>
        <v>1.16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HYPERLINK("http://141.218.60.56/~jnz1568/getInfo.php?workbook=14_13.xlsx&amp;sheet=U0&amp;row=1156&amp;col=6&amp;number=4.2&amp;sourceID=14","4.2")</f>
        <v>4.2</v>
      </c>
      <c r="G1156" s="4" t="str">
        <f>HYPERLINK("http://141.218.60.56/~jnz1568/getInfo.php?workbook=14_13.xlsx&amp;sheet=U0&amp;row=1156&amp;col=7&amp;number=1.12&amp;sourceID=14","1.12")</f>
        <v>1.12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HYPERLINK("http://141.218.60.56/~jnz1568/getInfo.php?workbook=14_13.xlsx&amp;sheet=U0&amp;row=1157&amp;col=6&amp;number=4.3&amp;sourceID=14","4.3")</f>
        <v>4.3</v>
      </c>
      <c r="G1157" s="4" t="str">
        <f>HYPERLINK("http://141.218.60.56/~jnz1568/getInfo.php?workbook=14_13.xlsx&amp;sheet=U0&amp;row=1157&amp;col=7&amp;number=1.08&amp;sourceID=14","1.08")</f>
        <v>1.08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HYPERLINK("http://141.218.60.56/~jnz1568/getInfo.php?workbook=14_13.xlsx&amp;sheet=U0&amp;row=1158&amp;col=6&amp;number=4.4&amp;sourceID=14","4.4")</f>
        <v>4.4</v>
      </c>
      <c r="G1158" s="4" t="str">
        <f>HYPERLINK("http://141.218.60.56/~jnz1568/getInfo.php?workbook=14_13.xlsx&amp;sheet=U0&amp;row=1158&amp;col=7&amp;number=1.03&amp;sourceID=14","1.03")</f>
        <v>1.03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HYPERLINK("http://141.218.60.56/~jnz1568/getInfo.php?workbook=14_13.xlsx&amp;sheet=U0&amp;row=1159&amp;col=6&amp;number=4.5&amp;sourceID=14","4.5")</f>
        <v>4.5</v>
      </c>
      <c r="G1159" s="4" t="str">
        <f>HYPERLINK("http://141.218.60.56/~jnz1568/getInfo.php?workbook=14_13.xlsx&amp;sheet=U0&amp;row=1159&amp;col=7&amp;number=0.979&amp;sourceID=14","0.979")</f>
        <v>0.979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HYPERLINK("http://141.218.60.56/~jnz1568/getInfo.php?workbook=14_13.xlsx&amp;sheet=U0&amp;row=1160&amp;col=6&amp;number=4.6&amp;sourceID=14","4.6")</f>
        <v>4.6</v>
      </c>
      <c r="G1160" s="4" t="str">
        <f>HYPERLINK("http://141.218.60.56/~jnz1568/getInfo.php?workbook=14_13.xlsx&amp;sheet=U0&amp;row=1160&amp;col=7&amp;number=0.925&amp;sourceID=14","0.925")</f>
        <v>0.925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HYPERLINK("http://141.218.60.56/~jnz1568/getInfo.php?workbook=14_13.xlsx&amp;sheet=U0&amp;row=1161&amp;col=6&amp;number=4.7&amp;sourceID=14","4.7")</f>
        <v>4.7</v>
      </c>
      <c r="G1161" s="4" t="str">
        <f>HYPERLINK("http://141.218.60.56/~jnz1568/getInfo.php?workbook=14_13.xlsx&amp;sheet=U0&amp;row=1161&amp;col=7&amp;number=0.869&amp;sourceID=14","0.869")</f>
        <v>0.869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HYPERLINK("http://141.218.60.56/~jnz1568/getInfo.php?workbook=14_13.xlsx&amp;sheet=U0&amp;row=1162&amp;col=6&amp;number=4.8&amp;sourceID=14","4.8")</f>
        <v>4.8</v>
      </c>
      <c r="G1162" s="4" t="str">
        <f>HYPERLINK("http://141.218.60.56/~jnz1568/getInfo.php?workbook=14_13.xlsx&amp;sheet=U0&amp;row=1162&amp;col=7&amp;number=0.809&amp;sourceID=14","0.809")</f>
        <v>0.809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HYPERLINK("http://141.218.60.56/~jnz1568/getInfo.php?workbook=14_13.xlsx&amp;sheet=U0&amp;row=1163&amp;col=6&amp;number=4.9&amp;sourceID=14","4.9")</f>
        <v>4.9</v>
      </c>
      <c r="G1163" s="4" t="str">
        <f>HYPERLINK("http://141.218.60.56/~jnz1568/getInfo.php?workbook=14_13.xlsx&amp;sheet=U0&amp;row=1163&amp;col=7&amp;number=0.747&amp;sourceID=14","0.747")</f>
        <v>0.747</v>
      </c>
    </row>
    <row r="1164" spans="1:7">
      <c r="A1164" s="3">
        <v>14</v>
      </c>
      <c r="B1164" s="3">
        <v>13</v>
      </c>
      <c r="C1164" s="3">
        <v>3</v>
      </c>
      <c r="D1164" s="3">
        <v>7</v>
      </c>
      <c r="E1164" s="3">
        <v>1</v>
      </c>
      <c r="F1164" s="4" t="str">
        <f>HYPERLINK("http://141.218.60.56/~jnz1568/getInfo.php?workbook=14_13.xlsx&amp;sheet=U0&amp;row=1164&amp;col=6&amp;number=3&amp;sourceID=14","3")</f>
        <v>3</v>
      </c>
      <c r="G1164" s="4" t="str">
        <f>HYPERLINK("http://141.218.60.56/~jnz1568/getInfo.php?workbook=14_13.xlsx&amp;sheet=U0&amp;row=1164&amp;col=7&amp;number=0.684&amp;sourceID=14","0.684")</f>
        <v>0.684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HYPERLINK("http://141.218.60.56/~jnz1568/getInfo.php?workbook=14_13.xlsx&amp;sheet=U0&amp;row=1165&amp;col=6&amp;number=3.1&amp;sourceID=14","3.1")</f>
        <v>3.1</v>
      </c>
      <c r="G1165" s="4" t="str">
        <f>HYPERLINK("http://141.218.60.56/~jnz1568/getInfo.php?workbook=14_13.xlsx&amp;sheet=U0&amp;row=1165&amp;col=7&amp;number=0.692&amp;sourceID=14","0.692")</f>
        <v>0.692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HYPERLINK("http://141.218.60.56/~jnz1568/getInfo.php?workbook=14_13.xlsx&amp;sheet=U0&amp;row=1166&amp;col=6&amp;number=3.2&amp;sourceID=14","3.2")</f>
        <v>3.2</v>
      </c>
      <c r="G1166" s="4" t="str">
        <f>HYPERLINK("http://141.218.60.56/~jnz1568/getInfo.php?workbook=14_13.xlsx&amp;sheet=U0&amp;row=1166&amp;col=7&amp;number=0.701&amp;sourceID=14","0.701")</f>
        <v>0.701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HYPERLINK("http://141.218.60.56/~jnz1568/getInfo.php?workbook=14_13.xlsx&amp;sheet=U0&amp;row=1167&amp;col=6&amp;number=3.3&amp;sourceID=14","3.3")</f>
        <v>3.3</v>
      </c>
      <c r="G1167" s="4" t="str">
        <f>HYPERLINK("http://141.218.60.56/~jnz1568/getInfo.php?workbook=14_13.xlsx&amp;sheet=U0&amp;row=1167&amp;col=7&amp;number=0.712&amp;sourceID=14","0.712")</f>
        <v>0.712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HYPERLINK("http://141.218.60.56/~jnz1568/getInfo.php?workbook=14_13.xlsx&amp;sheet=U0&amp;row=1168&amp;col=6&amp;number=3.4&amp;sourceID=14","3.4")</f>
        <v>3.4</v>
      </c>
      <c r="G1168" s="4" t="str">
        <f>HYPERLINK("http://141.218.60.56/~jnz1568/getInfo.php?workbook=14_13.xlsx&amp;sheet=U0&amp;row=1168&amp;col=7&amp;number=0.724&amp;sourceID=14","0.724")</f>
        <v>0.724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HYPERLINK("http://141.218.60.56/~jnz1568/getInfo.php?workbook=14_13.xlsx&amp;sheet=U0&amp;row=1169&amp;col=6&amp;number=3.5&amp;sourceID=14","3.5")</f>
        <v>3.5</v>
      </c>
      <c r="G1169" s="4" t="str">
        <f>HYPERLINK("http://141.218.60.56/~jnz1568/getInfo.php?workbook=14_13.xlsx&amp;sheet=U0&amp;row=1169&amp;col=7&amp;number=0.736&amp;sourceID=14","0.736")</f>
        <v>0.736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HYPERLINK("http://141.218.60.56/~jnz1568/getInfo.php?workbook=14_13.xlsx&amp;sheet=U0&amp;row=1170&amp;col=6&amp;number=3.6&amp;sourceID=14","3.6")</f>
        <v>3.6</v>
      </c>
      <c r="G1170" s="4" t="str">
        <f>HYPERLINK("http://141.218.60.56/~jnz1568/getInfo.php?workbook=14_13.xlsx&amp;sheet=U0&amp;row=1170&amp;col=7&amp;number=0.745&amp;sourceID=14","0.745")</f>
        <v>0.745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HYPERLINK("http://141.218.60.56/~jnz1568/getInfo.php?workbook=14_13.xlsx&amp;sheet=U0&amp;row=1171&amp;col=6&amp;number=3.7&amp;sourceID=14","3.7")</f>
        <v>3.7</v>
      </c>
      <c r="G1171" s="4" t="str">
        <f>HYPERLINK("http://141.218.60.56/~jnz1568/getInfo.php?workbook=14_13.xlsx&amp;sheet=U0&amp;row=1171&amp;col=7&amp;number=0.75&amp;sourceID=14","0.75")</f>
        <v>0.75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HYPERLINK("http://141.218.60.56/~jnz1568/getInfo.php?workbook=14_13.xlsx&amp;sheet=U0&amp;row=1172&amp;col=6&amp;number=3.8&amp;sourceID=14","3.8")</f>
        <v>3.8</v>
      </c>
      <c r="G1172" s="4" t="str">
        <f>HYPERLINK("http://141.218.60.56/~jnz1568/getInfo.php?workbook=14_13.xlsx&amp;sheet=U0&amp;row=1172&amp;col=7&amp;number=0.748&amp;sourceID=14","0.748")</f>
        <v>0.748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HYPERLINK("http://141.218.60.56/~jnz1568/getInfo.php?workbook=14_13.xlsx&amp;sheet=U0&amp;row=1173&amp;col=6&amp;number=3.9&amp;sourceID=14","3.9")</f>
        <v>3.9</v>
      </c>
      <c r="G1173" s="4" t="str">
        <f>HYPERLINK("http://141.218.60.56/~jnz1568/getInfo.php?workbook=14_13.xlsx&amp;sheet=U0&amp;row=1173&amp;col=7&amp;number=0.739&amp;sourceID=14","0.739")</f>
        <v>0.739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HYPERLINK("http://141.218.60.56/~jnz1568/getInfo.php?workbook=14_13.xlsx&amp;sheet=U0&amp;row=1174&amp;col=6&amp;number=4&amp;sourceID=14","4")</f>
        <v>4</v>
      </c>
      <c r="G1174" s="4" t="str">
        <f>HYPERLINK("http://141.218.60.56/~jnz1568/getInfo.php?workbook=14_13.xlsx&amp;sheet=U0&amp;row=1174&amp;col=7&amp;number=0.725&amp;sourceID=14","0.725")</f>
        <v>0.725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HYPERLINK("http://141.218.60.56/~jnz1568/getInfo.php?workbook=14_13.xlsx&amp;sheet=U0&amp;row=1175&amp;col=6&amp;number=4.1&amp;sourceID=14","4.1")</f>
        <v>4.1</v>
      </c>
      <c r="G1175" s="4" t="str">
        <f>HYPERLINK("http://141.218.60.56/~jnz1568/getInfo.php?workbook=14_13.xlsx&amp;sheet=U0&amp;row=1175&amp;col=7&amp;number=0.708&amp;sourceID=14","0.708")</f>
        <v>0.708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HYPERLINK("http://141.218.60.56/~jnz1568/getInfo.php?workbook=14_13.xlsx&amp;sheet=U0&amp;row=1176&amp;col=6&amp;number=4.2&amp;sourceID=14","4.2")</f>
        <v>4.2</v>
      </c>
      <c r="G1176" s="4" t="str">
        <f>HYPERLINK("http://141.218.60.56/~jnz1568/getInfo.php?workbook=14_13.xlsx&amp;sheet=U0&amp;row=1176&amp;col=7&amp;number=0.687&amp;sourceID=14","0.687")</f>
        <v>0.687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HYPERLINK("http://141.218.60.56/~jnz1568/getInfo.php?workbook=14_13.xlsx&amp;sheet=U0&amp;row=1177&amp;col=6&amp;number=4.3&amp;sourceID=14","4.3")</f>
        <v>4.3</v>
      </c>
      <c r="G1177" s="4" t="str">
        <f>HYPERLINK("http://141.218.60.56/~jnz1568/getInfo.php?workbook=14_13.xlsx&amp;sheet=U0&amp;row=1177&amp;col=7&amp;number=0.662&amp;sourceID=14","0.662")</f>
        <v>0.662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HYPERLINK("http://141.218.60.56/~jnz1568/getInfo.php?workbook=14_13.xlsx&amp;sheet=U0&amp;row=1178&amp;col=6&amp;number=4.4&amp;sourceID=14","4.4")</f>
        <v>4.4</v>
      </c>
      <c r="G1178" s="4" t="str">
        <f>HYPERLINK("http://141.218.60.56/~jnz1568/getInfo.php?workbook=14_13.xlsx&amp;sheet=U0&amp;row=1178&amp;col=7&amp;number=0.634&amp;sourceID=14","0.634")</f>
        <v>0.634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HYPERLINK("http://141.218.60.56/~jnz1568/getInfo.php?workbook=14_13.xlsx&amp;sheet=U0&amp;row=1179&amp;col=6&amp;number=4.5&amp;sourceID=14","4.5")</f>
        <v>4.5</v>
      </c>
      <c r="G1179" s="4" t="str">
        <f>HYPERLINK("http://141.218.60.56/~jnz1568/getInfo.php?workbook=14_13.xlsx&amp;sheet=U0&amp;row=1179&amp;col=7&amp;number=0.604&amp;sourceID=14","0.604")</f>
        <v>0.604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HYPERLINK("http://141.218.60.56/~jnz1568/getInfo.php?workbook=14_13.xlsx&amp;sheet=U0&amp;row=1180&amp;col=6&amp;number=4.6&amp;sourceID=14","4.6")</f>
        <v>4.6</v>
      </c>
      <c r="G1180" s="4" t="str">
        <f>HYPERLINK("http://141.218.60.56/~jnz1568/getInfo.php?workbook=14_13.xlsx&amp;sheet=U0&amp;row=1180&amp;col=7&amp;number=0.572&amp;sourceID=14","0.572")</f>
        <v>0.572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HYPERLINK("http://141.218.60.56/~jnz1568/getInfo.php?workbook=14_13.xlsx&amp;sheet=U0&amp;row=1181&amp;col=6&amp;number=4.7&amp;sourceID=14","4.7")</f>
        <v>4.7</v>
      </c>
      <c r="G1181" s="4" t="str">
        <f>HYPERLINK("http://141.218.60.56/~jnz1568/getInfo.php?workbook=14_13.xlsx&amp;sheet=U0&amp;row=1181&amp;col=7&amp;number=0.538&amp;sourceID=14","0.538")</f>
        <v>0.538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HYPERLINK("http://141.218.60.56/~jnz1568/getInfo.php?workbook=14_13.xlsx&amp;sheet=U0&amp;row=1182&amp;col=6&amp;number=4.8&amp;sourceID=14","4.8")</f>
        <v>4.8</v>
      </c>
      <c r="G1182" s="4" t="str">
        <f>HYPERLINK("http://141.218.60.56/~jnz1568/getInfo.php?workbook=14_13.xlsx&amp;sheet=U0&amp;row=1182&amp;col=7&amp;number=0.504&amp;sourceID=14","0.504")</f>
        <v>0.504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HYPERLINK("http://141.218.60.56/~jnz1568/getInfo.php?workbook=14_13.xlsx&amp;sheet=U0&amp;row=1183&amp;col=6&amp;number=4.9&amp;sourceID=14","4.9")</f>
        <v>4.9</v>
      </c>
      <c r="G1183" s="4" t="str">
        <f>HYPERLINK("http://141.218.60.56/~jnz1568/getInfo.php?workbook=14_13.xlsx&amp;sheet=U0&amp;row=1183&amp;col=7&amp;number=0.468&amp;sourceID=14","0.468")</f>
        <v>0.468</v>
      </c>
    </row>
    <row r="1184" spans="1:7">
      <c r="A1184" s="3">
        <v>14</v>
      </c>
      <c r="B1184" s="3">
        <v>13</v>
      </c>
      <c r="C1184" s="3">
        <v>3</v>
      </c>
      <c r="D1184" s="3">
        <v>8</v>
      </c>
      <c r="E1184" s="3">
        <v>1</v>
      </c>
      <c r="F1184" s="4" t="str">
        <f>HYPERLINK("http://141.218.60.56/~jnz1568/getInfo.php?workbook=14_13.xlsx&amp;sheet=U0&amp;row=1184&amp;col=6&amp;number=3&amp;sourceID=14","3")</f>
        <v>3</v>
      </c>
      <c r="G1184" s="4" t="str">
        <f>HYPERLINK("http://141.218.60.56/~jnz1568/getInfo.php?workbook=14_13.xlsx&amp;sheet=U0&amp;row=1184&amp;col=7&amp;number=0.0759&amp;sourceID=14","0.0759")</f>
        <v>0.0759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HYPERLINK("http://141.218.60.56/~jnz1568/getInfo.php?workbook=14_13.xlsx&amp;sheet=U0&amp;row=1185&amp;col=6&amp;number=3.1&amp;sourceID=14","3.1")</f>
        <v>3.1</v>
      </c>
      <c r="G1185" s="4" t="str">
        <f>HYPERLINK("http://141.218.60.56/~jnz1568/getInfo.php?workbook=14_13.xlsx&amp;sheet=U0&amp;row=1185&amp;col=7&amp;number=0.0783&amp;sourceID=14","0.0783")</f>
        <v>0.0783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HYPERLINK("http://141.218.60.56/~jnz1568/getInfo.php?workbook=14_13.xlsx&amp;sheet=U0&amp;row=1186&amp;col=6&amp;number=3.2&amp;sourceID=14","3.2")</f>
        <v>3.2</v>
      </c>
      <c r="G1186" s="4" t="str">
        <f>HYPERLINK("http://141.218.60.56/~jnz1568/getInfo.php?workbook=14_13.xlsx&amp;sheet=U0&amp;row=1186&amp;col=7&amp;number=0.0811&amp;sourceID=14","0.0811")</f>
        <v>0.0811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HYPERLINK("http://141.218.60.56/~jnz1568/getInfo.php?workbook=14_13.xlsx&amp;sheet=U0&amp;row=1187&amp;col=6&amp;number=3.3&amp;sourceID=14","3.3")</f>
        <v>3.3</v>
      </c>
      <c r="G1187" s="4" t="str">
        <f>HYPERLINK("http://141.218.60.56/~jnz1568/getInfo.php?workbook=14_13.xlsx&amp;sheet=U0&amp;row=1187&amp;col=7&amp;number=0.0841&amp;sourceID=14","0.0841")</f>
        <v>0.0841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HYPERLINK("http://141.218.60.56/~jnz1568/getInfo.php?workbook=14_13.xlsx&amp;sheet=U0&amp;row=1188&amp;col=6&amp;number=3.4&amp;sourceID=14","3.4")</f>
        <v>3.4</v>
      </c>
      <c r="G1188" s="4" t="str">
        <f>HYPERLINK("http://141.218.60.56/~jnz1568/getInfo.php?workbook=14_13.xlsx&amp;sheet=U0&amp;row=1188&amp;col=7&amp;number=0.0869&amp;sourceID=14","0.0869")</f>
        <v>0.0869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HYPERLINK("http://141.218.60.56/~jnz1568/getInfo.php?workbook=14_13.xlsx&amp;sheet=U0&amp;row=1189&amp;col=6&amp;number=3.5&amp;sourceID=14","3.5")</f>
        <v>3.5</v>
      </c>
      <c r="G1189" s="4" t="str">
        <f>HYPERLINK("http://141.218.60.56/~jnz1568/getInfo.php?workbook=14_13.xlsx&amp;sheet=U0&amp;row=1189&amp;col=7&amp;number=0.089&amp;sourceID=14","0.089")</f>
        <v>0.089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HYPERLINK("http://141.218.60.56/~jnz1568/getInfo.php?workbook=14_13.xlsx&amp;sheet=U0&amp;row=1190&amp;col=6&amp;number=3.6&amp;sourceID=14","3.6")</f>
        <v>3.6</v>
      </c>
      <c r="G1190" s="4" t="str">
        <f>HYPERLINK("http://141.218.60.56/~jnz1568/getInfo.php?workbook=14_13.xlsx&amp;sheet=U0&amp;row=1190&amp;col=7&amp;number=0.0895&amp;sourceID=14","0.0895")</f>
        <v>0.0895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HYPERLINK("http://141.218.60.56/~jnz1568/getInfo.php?workbook=14_13.xlsx&amp;sheet=U0&amp;row=1191&amp;col=6&amp;number=3.7&amp;sourceID=14","3.7")</f>
        <v>3.7</v>
      </c>
      <c r="G1191" s="4" t="str">
        <f>HYPERLINK("http://141.218.60.56/~jnz1568/getInfo.php?workbook=14_13.xlsx&amp;sheet=U0&amp;row=1191&amp;col=7&amp;number=0.0879&amp;sourceID=14","0.0879")</f>
        <v>0.0879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HYPERLINK("http://141.218.60.56/~jnz1568/getInfo.php?workbook=14_13.xlsx&amp;sheet=U0&amp;row=1192&amp;col=6&amp;number=3.8&amp;sourceID=14","3.8")</f>
        <v>3.8</v>
      </c>
      <c r="G1192" s="4" t="str">
        <f>HYPERLINK("http://141.218.60.56/~jnz1568/getInfo.php?workbook=14_13.xlsx&amp;sheet=U0&amp;row=1192&amp;col=7&amp;number=0.0841&amp;sourceID=14","0.0841")</f>
        <v>0.0841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HYPERLINK("http://141.218.60.56/~jnz1568/getInfo.php?workbook=14_13.xlsx&amp;sheet=U0&amp;row=1193&amp;col=6&amp;number=3.9&amp;sourceID=14","3.9")</f>
        <v>3.9</v>
      </c>
      <c r="G1193" s="4" t="str">
        <f>HYPERLINK("http://141.218.60.56/~jnz1568/getInfo.php?workbook=14_13.xlsx&amp;sheet=U0&amp;row=1193&amp;col=7&amp;number=0.079&amp;sourceID=14","0.079")</f>
        <v>0.079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HYPERLINK("http://141.218.60.56/~jnz1568/getInfo.php?workbook=14_13.xlsx&amp;sheet=U0&amp;row=1194&amp;col=6&amp;number=4&amp;sourceID=14","4")</f>
        <v>4</v>
      </c>
      <c r="G1194" s="4" t="str">
        <f>HYPERLINK("http://141.218.60.56/~jnz1568/getInfo.php?workbook=14_13.xlsx&amp;sheet=U0&amp;row=1194&amp;col=7&amp;number=0.0732&amp;sourceID=14","0.0732")</f>
        <v>0.0732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HYPERLINK("http://141.218.60.56/~jnz1568/getInfo.php?workbook=14_13.xlsx&amp;sheet=U0&amp;row=1195&amp;col=6&amp;number=4.1&amp;sourceID=14","4.1")</f>
        <v>4.1</v>
      </c>
      <c r="G1195" s="4" t="str">
        <f>HYPERLINK("http://141.218.60.56/~jnz1568/getInfo.php?workbook=14_13.xlsx&amp;sheet=U0&amp;row=1195&amp;col=7&amp;number=0.0668&amp;sourceID=14","0.0668")</f>
        <v>0.0668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HYPERLINK("http://141.218.60.56/~jnz1568/getInfo.php?workbook=14_13.xlsx&amp;sheet=U0&amp;row=1196&amp;col=6&amp;number=4.2&amp;sourceID=14","4.2")</f>
        <v>4.2</v>
      </c>
      <c r="G1196" s="4" t="str">
        <f>HYPERLINK("http://141.218.60.56/~jnz1568/getInfo.php?workbook=14_13.xlsx&amp;sheet=U0&amp;row=1196&amp;col=7&amp;number=0.06&amp;sourceID=14","0.06")</f>
        <v>0.06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HYPERLINK("http://141.218.60.56/~jnz1568/getInfo.php?workbook=14_13.xlsx&amp;sheet=U0&amp;row=1197&amp;col=6&amp;number=4.3&amp;sourceID=14","4.3")</f>
        <v>4.3</v>
      </c>
      <c r="G1197" s="4" t="str">
        <f>HYPERLINK("http://141.218.60.56/~jnz1568/getInfo.php?workbook=14_13.xlsx&amp;sheet=U0&amp;row=1197&amp;col=7&amp;number=0.0531&amp;sourceID=14","0.0531")</f>
        <v>0.0531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HYPERLINK("http://141.218.60.56/~jnz1568/getInfo.php?workbook=14_13.xlsx&amp;sheet=U0&amp;row=1198&amp;col=6&amp;number=4.4&amp;sourceID=14","4.4")</f>
        <v>4.4</v>
      </c>
      <c r="G1198" s="4" t="str">
        <f>HYPERLINK("http://141.218.60.56/~jnz1568/getInfo.php?workbook=14_13.xlsx&amp;sheet=U0&amp;row=1198&amp;col=7&amp;number=0.0464&amp;sourceID=14","0.0464")</f>
        <v>0.0464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HYPERLINK("http://141.218.60.56/~jnz1568/getInfo.php?workbook=14_13.xlsx&amp;sheet=U0&amp;row=1199&amp;col=6&amp;number=4.5&amp;sourceID=14","4.5")</f>
        <v>4.5</v>
      </c>
      <c r="G1199" s="4" t="str">
        <f>HYPERLINK("http://141.218.60.56/~jnz1568/getInfo.php?workbook=14_13.xlsx&amp;sheet=U0&amp;row=1199&amp;col=7&amp;number=0.0402&amp;sourceID=14","0.0402")</f>
        <v>0.0402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HYPERLINK("http://141.218.60.56/~jnz1568/getInfo.php?workbook=14_13.xlsx&amp;sheet=U0&amp;row=1200&amp;col=6&amp;number=4.6&amp;sourceID=14","4.6")</f>
        <v>4.6</v>
      </c>
      <c r="G1200" s="4" t="str">
        <f>HYPERLINK("http://141.218.60.56/~jnz1568/getInfo.php?workbook=14_13.xlsx&amp;sheet=U0&amp;row=1200&amp;col=7&amp;number=0.0346&amp;sourceID=14","0.0346")</f>
        <v>0.0346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HYPERLINK("http://141.218.60.56/~jnz1568/getInfo.php?workbook=14_13.xlsx&amp;sheet=U0&amp;row=1201&amp;col=6&amp;number=4.7&amp;sourceID=14","4.7")</f>
        <v>4.7</v>
      </c>
      <c r="G1201" s="4" t="str">
        <f>HYPERLINK("http://141.218.60.56/~jnz1568/getInfo.php?workbook=14_13.xlsx&amp;sheet=U0&amp;row=1201&amp;col=7&amp;number=0.0298&amp;sourceID=14","0.0298")</f>
        <v>0.0298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HYPERLINK("http://141.218.60.56/~jnz1568/getInfo.php?workbook=14_13.xlsx&amp;sheet=U0&amp;row=1202&amp;col=6&amp;number=4.8&amp;sourceID=14","4.8")</f>
        <v>4.8</v>
      </c>
      <c r="G1202" s="4" t="str">
        <f>HYPERLINK("http://141.218.60.56/~jnz1568/getInfo.php?workbook=14_13.xlsx&amp;sheet=U0&amp;row=1202&amp;col=7&amp;number=0.0256&amp;sourceID=14","0.0256")</f>
        <v>0.0256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HYPERLINK("http://141.218.60.56/~jnz1568/getInfo.php?workbook=14_13.xlsx&amp;sheet=U0&amp;row=1203&amp;col=6&amp;number=4.9&amp;sourceID=14","4.9")</f>
        <v>4.9</v>
      </c>
      <c r="G1203" s="4" t="str">
        <f>HYPERLINK("http://141.218.60.56/~jnz1568/getInfo.php?workbook=14_13.xlsx&amp;sheet=U0&amp;row=1203&amp;col=7&amp;number=0.0222&amp;sourceID=14","0.0222")</f>
        <v>0.0222</v>
      </c>
    </row>
    <row r="1204" spans="1:7">
      <c r="A1204" s="3">
        <v>14</v>
      </c>
      <c r="B1204" s="3">
        <v>13</v>
      </c>
      <c r="C1204" s="3">
        <v>3</v>
      </c>
      <c r="D1204" s="3">
        <v>9</v>
      </c>
      <c r="E1204" s="3">
        <v>1</v>
      </c>
      <c r="F1204" s="4" t="str">
        <f>HYPERLINK("http://141.218.60.56/~jnz1568/getInfo.php?workbook=14_13.xlsx&amp;sheet=U0&amp;row=1204&amp;col=6&amp;number=3&amp;sourceID=14","3")</f>
        <v>3</v>
      </c>
      <c r="G1204" s="4" t="str">
        <f>HYPERLINK("http://141.218.60.56/~jnz1568/getInfo.php?workbook=14_13.xlsx&amp;sheet=U0&amp;row=1204&amp;col=7&amp;number=0.308&amp;sourceID=14","0.308")</f>
        <v>0.308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HYPERLINK("http://141.218.60.56/~jnz1568/getInfo.php?workbook=14_13.xlsx&amp;sheet=U0&amp;row=1205&amp;col=6&amp;number=3.1&amp;sourceID=14","3.1")</f>
        <v>3.1</v>
      </c>
      <c r="G1205" s="4" t="str">
        <f>HYPERLINK("http://141.218.60.56/~jnz1568/getInfo.php?workbook=14_13.xlsx&amp;sheet=U0&amp;row=1205&amp;col=7&amp;number=0.313&amp;sourceID=14","0.313")</f>
        <v>0.313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HYPERLINK("http://141.218.60.56/~jnz1568/getInfo.php?workbook=14_13.xlsx&amp;sheet=U0&amp;row=1206&amp;col=6&amp;number=3.2&amp;sourceID=14","3.2")</f>
        <v>3.2</v>
      </c>
      <c r="G1206" s="4" t="str">
        <f>HYPERLINK("http://141.218.60.56/~jnz1568/getInfo.php?workbook=14_13.xlsx&amp;sheet=U0&amp;row=1206&amp;col=7&amp;number=0.32&amp;sourceID=14","0.32")</f>
        <v>0.32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HYPERLINK("http://141.218.60.56/~jnz1568/getInfo.php?workbook=14_13.xlsx&amp;sheet=U0&amp;row=1207&amp;col=6&amp;number=3.3&amp;sourceID=14","3.3")</f>
        <v>3.3</v>
      </c>
      <c r="G1207" s="4" t="str">
        <f>HYPERLINK("http://141.218.60.56/~jnz1568/getInfo.php?workbook=14_13.xlsx&amp;sheet=U0&amp;row=1207&amp;col=7&amp;number=0.327&amp;sourceID=14","0.327")</f>
        <v>0.327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HYPERLINK("http://141.218.60.56/~jnz1568/getInfo.php?workbook=14_13.xlsx&amp;sheet=U0&amp;row=1208&amp;col=6&amp;number=3.4&amp;sourceID=14","3.4")</f>
        <v>3.4</v>
      </c>
      <c r="G1208" s="4" t="str">
        <f>HYPERLINK("http://141.218.60.56/~jnz1568/getInfo.php?workbook=14_13.xlsx&amp;sheet=U0&amp;row=1208&amp;col=7&amp;number=0.335&amp;sourceID=14","0.335")</f>
        <v>0.335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HYPERLINK("http://141.218.60.56/~jnz1568/getInfo.php?workbook=14_13.xlsx&amp;sheet=U0&amp;row=1209&amp;col=6&amp;number=3.5&amp;sourceID=14","3.5")</f>
        <v>3.5</v>
      </c>
      <c r="G1209" s="4" t="str">
        <f>HYPERLINK("http://141.218.60.56/~jnz1568/getInfo.php?workbook=14_13.xlsx&amp;sheet=U0&amp;row=1209&amp;col=7&amp;number=0.344&amp;sourceID=14","0.344")</f>
        <v>0.344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HYPERLINK("http://141.218.60.56/~jnz1568/getInfo.php?workbook=14_13.xlsx&amp;sheet=U0&amp;row=1210&amp;col=6&amp;number=3.6&amp;sourceID=14","3.6")</f>
        <v>3.6</v>
      </c>
      <c r="G1210" s="4" t="str">
        <f>HYPERLINK("http://141.218.60.56/~jnz1568/getInfo.php?workbook=14_13.xlsx&amp;sheet=U0&amp;row=1210&amp;col=7&amp;number=0.352&amp;sourceID=14","0.352")</f>
        <v>0.352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HYPERLINK("http://141.218.60.56/~jnz1568/getInfo.php?workbook=14_13.xlsx&amp;sheet=U0&amp;row=1211&amp;col=6&amp;number=3.7&amp;sourceID=14","3.7")</f>
        <v>3.7</v>
      </c>
      <c r="G1211" s="4" t="str">
        <f>HYPERLINK("http://141.218.60.56/~jnz1568/getInfo.php?workbook=14_13.xlsx&amp;sheet=U0&amp;row=1211&amp;col=7&amp;number=0.357&amp;sourceID=14","0.357")</f>
        <v>0.357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HYPERLINK("http://141.218.60.56/~jnz1568/getInfo.php?workbook=14_13.xlsx&amp;sheet=U0&amp;row=1212&amp;col=6&amp;number=3.8&amp;sourceID=14","3.8")</f>
        <v>3.8</v>
      </c>
      <c r="G1212" s="4" t="str">
        <f>HYPERLINK("http://141.218.60.56/~jnz1568/getInfo.php?workbook=14_13.xlsx&amp;sheet=U0&amp;row=1212&amp;col=7&amp;number=0.361&amp;sourceID=14","0.361")</f>
        <v>0.361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HYPERLINK("http://141.218.60.56/~jnz1568/getInfo.php?workbook=14_13.xlsx&amp;sheet=U0&amp;row=1213&amp;col=6&amp;number=3.9&amp;sourceID=14","3.9")</f>
        <v>3.9</v>
      </c>
      <c r="G1213" s="4" t="str">
        <f>HYPERLINK("http://141.218.60.56/~jnz1568/getInfo.php?workbook=14_13.xlsx&amp;sheet=U0&amp;row=1213&amp;col=7&amp;number=0.361&amp;sourceID=14","0.361")</f>
        <v>0.361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HYPERLINK("http://141.218.60.56/~jnz1568/getInfo.php?workbook=14_13.xlsx&amp;sheet=U0&amp;row=1214&amp;col=6&amp;number=4&amp;sourceID=14","4")</f>
        <v>4</v>
      </c>
      <c r="G1214" s="4" t="str">
        <f>HYPERLINK("http://141.218.60.56/~jnz1568/getInfo.php?workbook=14_13.xlsx&amp;sheet=U0&amp;row=1214&amp;col=7&amp;number=0.359&amp;sourceID=14","0.359")</f>
        <v>0.359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HYPERLINK("http://141.218.60.56/~jnz1568/getInfo.php?workbook=14_13.xlsx&amp;sheet=U0&amp;row=1215&amp;col=6&amp;number=4.1&amp;sourceID=14","4.1")</f>
        <v>4.1</v>
      </c>
      <c r="G1215" s="4" t="str">
        <f>HYPERLINK("http://141.218.60.56/~jnz1568/getInfo.php?workbook=14_13.xlsx&amp;sheet=U0&amp;row=1215&amp;col=7&amp;number=0.355&amp;sourceID=14","0.355")</f>
        <v>0.355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HYPERLINK("http://141.218.60.56/~jnz1568/getInfo.php?workbook=14_13.xlsx&amp;sheet=U0&amp;row=1216&amp;col=6&amp;number=4.2&amp;sourceID=14","4.2")</f>
        <v>4.2</v>
      </c>
      <c r="G1216" s="4" t="str">
        <f>HYPERLINK("http://141.218.60.56/~jnz1568/getInfo.php?workbook=14_13.xlsx&amp;sheet=U0&amp;row=1216&amp;col=7&amp;number=0.349&amp;sourceID=14","0.349")</f>
        <v>0.349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HYPERLINK("http://141.218.60.56/~jnz1568/getInfo.php?workbook=14_13.xlsx&amp;sheet=U0&amp;row=1217&amp;col=6&amp;number=4.3&amp;sourceID=14","4.3")</f>
        <v>4.3</v>
      </c>
      <c r="G1217" s="4" t="str">
        <f>HYPERLINK("http://141.218.60.56/~jnz1568/getInfo.php?workbook=14_13.xlsx&amp;sheet=U0&amp;row=1217&amp;col=7&amp;number=0.34&amp;sourceID=14","0.34")</f>
        <v>0.34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HYPERLINK("http://141.218.60.56/~jnz1568/getInfo.php?workbook=14_13.xlsx&amp;sheet=U0&amp;row=1218&amp;col=6&amp;number=4.4&amp;sourceID=14","4.4")</f>
        <v>4.4</v>
      </c>
      <c r="G1218" s="4" t="str">
        <f>HYPERLINK("http://141.218.60.56/~jnz1568/getInfo.php?workbook=14_13.xlsx&amp;sheet=U0&amp;row=1218&amp;col=7&amp;number=0.329&amp;sourceID=14","0.329")</f>
        <v>0.329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HYPERLINK("http://141.218.60.56/~jnz1568/getInfo.php?workbook=14_13.xlsx&amp;sheet=U0&amp;row=1219&amp;col=6&amp;number=4.5&amp;sourceID=14","4.5")</f>
        <v>4.5</v>
      </c>
      <c r="G1219" s="4" t="str">
        <f>HYPERLINK("http://141.218.60.56/~jnz1568/getInfo.php?workbook=14_13.xlsx&amp;sheet=U0&amp;row=1219&amp;col=7&amp;number=0.314&amp;sourceID=14","0.314")</f>
        <v>0.314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HYPERLINK("http://141.218.60.56/~jnz1568/getInfo.php?workbook=14_13.xlsx&amp;sheet=U0&amp;row=1220&amp;col=6&amp;number=4.6&amp;sourceID=14","4.6")</f>
        <v>4.6</v>
      </c>
      <c r="G1220" s="4" t="str">
        <f>HYPERLINK("http://141.218.60.56/~jnz1568/getInfo.php?workbook=14_13.xlsx&amp;sheet=U0&amp;row=1220&amp;col=7&amp;number=0.296&amp;sourceID=14","0.296")</f>
        <v>0.296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HYPERLINK("http://141.218.60.56/~jnz1568/getInfo.php?workbook=14_13.xlsx&amp;sheet=U0&amp;row=1221&amp;col=6&amp;number=4.7&amp;sourceID=14","4.7")</f>
        <v>4.7</v>
      </c>
      <c r="G1221" s="4" t="str">
        <f>HYPERLINK("http://141.218.60.56/~jnz1568/getInfo.php?workbook=14_13.xlsx&amp;sheet=U0&amp;row=1221&amp;col=7&amp;number=0.276&amp;sourceID=14","0.276")</f>
        <v>0.276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HYPERLINK("http://141.218.60.56/~jnz1568/getInfo.php?workbook=14_13.xlsx&amp;sheet=U0&amp;row=1222&amp;col=6&amp;number=4.8&amp;sourceID=14","4.8")</f>
        <v>4.8</v>
      </c>
      <c r="G1222" s="4" t="str">
        <f>HYPERLINK("http://141.218.60.56/~jnz1568/getInfo.php?workbook=14_13.xlsx&amp;sheet=U0&amp;row=1222&amp;col=7&amp;number=0.255&amp;sourceID=14","0.255")</f>
        <v>0.255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HYPERLINK("http://141.218.60.56/~jnz1568/getInfo.php?workbook=14_13.xlsx&amp;sheet=U0&amp;row=1223&amp;col=6&amp;number=4.9&amp;sourceID=14","4.9")</f>
        <v>4.9</v>
      </c>
      <c r="G1223" s="4" t="str">
        <f>HYPERLINK("http://141.218.60.56/~jnz1568/getInfo.php?workbook=14_13.xlsx&amp;sheet=U0&amp;row=1223&amp;col=7&amp;number=0.232&amp;sourceID=14","0.232")</f>
        <v>0.232</v>
      </c>
    </row>
    <row r="1224" spans="1:7">
      <c r="A1224" s="3">
        <v>14</v>
      </c>
      <c r="B1224" s="3">
        <v>13</v>
      </c>
      <c r="C1224" s="3">
        <v>3</v>
      </c>
      <c r="D1224" s="3">
        <v>10</v>
      </c>
      <c r="E1224" s="3">
        <v>1</v>
      </c>
      <c r="F1224" s="4" t="str">
        <f>HYPERLINK("http://141.218.60.56/~jnz1568/getInfo.php?workbook=14_13.xlsx&amp;sheet=U0&amp;row=1224&amp;col=6&amp;number=3&amp;sourceID=14","3")</f>
        <v>3</v>
      </c>
      <c r="G1224" s="4" t="str">
        <f>HYPERLINK("http://141.218.60.56/~jnz1568/getInfo.php?workbook=14_13.xlsx&amp;sheet=U0&amp;row=1224&amp;col=7&amp;number=0.532&amp;sourceID=14","0.532")</f>
        <v>0.532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HYPERLINK("http://141.218.60.56/~jnz1568/getInfo.php?workbook=14_13.xlsx&amp;sheet=U0&amp;row=1225&amp;col=6&amp;number=3.1&amp;sourceID=14","3.1")</f>
        <v>3.1</v>
      </c>
      <c r="G1225" s="4" t="str">
        <f>HYPERLINK("http://141.218.60.56/~jnz1568/getInfo.php?workbook=14_13.xlsx&amp;sheet=U0&amp;row=1225&amp;col=7&amp;number=0.526&amp;sourceID=14","0.526")</f>
        <v>0.526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HYPERLINK("http://141.218.60.56/~jnz1568/getInfo.php?workbook=14_13.xlsx&amp;sheet=U0&amp;row=1226&amp;col=6&amp;number=3.2&amp;sourceID=14","3.2")</f>
        <v>3.2</v>
      </c>
      <c r="G1226" s="4" t="str">
        <f>HYPERLINK("http://141.218.60.56/~jnz1568/getInfo.php?workbook=14_13.xlsx&amp;sheet=U0&amp;row=1226&amp;col=7&amp;number=0.52&amp;sourceID=14","0.52")</f>
        <v>0.52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HYPERLINK("http://141.218.60.56/~jnz1568/getInfo.php?workbook=14_13.xlsx&amp;sheet=U0&amp;row=1227&amp;col=6&amp;number=3.3&amp;sourceID=14","3.3")</f>
        <v>3.3</v>
      </c>
      <c r="G1227" s="4" t="str">
        <f>HYPERLINK("http://141.218.60.56/~jnz1568/getInfo.php?workbook=14_13.xlsx&amp;sheet=U0&amp;row=1227&amp;col=7&amp;number=0.512&amp;sourceID=14","0.512")</f>
        <v>0.512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HYPERLINK("http://141.218.60.56/~jnz1568/getInfo.php?workbook=14_13.xlsx&amp;sheet=U0&amp;row=1228&amp;col=6&amp;number=3.4&amp;sourceID=14","3.4")</f>
        <v>3.4</v>
      </c>
      <c r="G1228" s="4" t="str">
        <f>HYPERLINK("http://141.218.60.56/~jnz1568/getInfo.php?workbook=14_13.xlsx&amp;sheet=U0&amp;row=1228&amp;col=7&amp;number=0.502&amp;sourceID=14","0.502")</f>
        <v>0.502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HYPERLINK("http://141.218.60.56/~jnz1568/getInfo.php?workbook=14_13.xlsx&amp;sheet=U0&amp;row=1229&amp;col=6&amp;number=3.5&amp;sourceID=14","3.5")</f>
        <v>3.5</v>
      </c>
      <c r="G1229" s="4" t="str">
        <f>HYPERLINK("http://141.218.60.56/~jnz1568/getInfo.php?workbook=14_13.xlsx&amp;sheet=U0&amp;row=1229&amp;col=7&amp;number=0.491&amp;sourceID=14","0.491")</f>
        <v>0.491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HYPERLINK("http://141.218.60.56/~jnz1568/getInfo.php?workbook=14_13.xlsx&amp;sheet=U0&amp;row=1230&amp;col=6&amp;number=3.6&amp;sourceID=14","3.6")</f>
        <v>3.6</v>
      </c>
      <c r="G1230" s="4" t="str">
        <f>HYPERLINK("http://141.218.60.56/~jnz1568/getInfo.php?workbook=14_13.xlsx&amp;sheet=U0&amp;row=1230&amp;col=7&amp;number=0.479&amp;sourceID=14","0.479")</f>
        <v>0.479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HYPERLINK("http://141.218.60.56/~jnz1568/getInfo.php?workbook=14_13.xlsx&amp;sheet=U0&amp;row=1231&amp;col=6&amp;number=3.7&amp;sourceID=14","3.7")</f>
        <v>3.7</v>
      </c>
      <c r="G1231" s="4" t="str">
        <f>HYPERLINK("http://141.218.60.56/~jnz1568/getInfo.php?workbook=14_13.xlsx&amp;sheet=U0&amp;row=1231&amp;col=7&amp;number=0.465&amp;sourceID=14","0.465")</f>
        <v>0.465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HYPERLINK("http://141.218.60.56/~jnz1568/getInfo.php?workbook=14_13.xlsx&amp;sheet=U0&amp;row=1232&amp;col=6&amp;number=3.8&amp;sourceID=14","3.8")</f>
        <v>3.8</v>
      </c>
      <c r="G1232" s="4" t="str">
        <f>HYPERLINK("http://141.218.60.56/~jnz1568/getInfo.php?workbook=14_13.xlsx&amp;sheet=U0&amp;row=1232&amp;col=7&amp;number=0.451&amp;sourceID=14","0.451")</f>
        <v>0.451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HYPERLINK("http://141.218.60.56/~jnz1568/getInfo.php?workbook=14_13.xlsx&amp;sheet=U0&amp;row=1233&amp;col=6&amp;number=3.9&amp;sourceID=14","3.9")</f>
        <v>3.9</v>
      </c>
      <c r="G1233" s="4" t="str">
        <f>HYPERLINK("http://141.218.60.56/~jnz1568/getInfo.php?workbook=14_13.xlsx&amp;sheet=U0&amp;row=1233&amp;col=7&amp;number=0.437&amp;sourceID=14","0.437")</f>
        <v>0.437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HYPERLINK("http://141.218.60.56/~jnz1568/getInfo.php?workbook=14_13.xlsx&amp;sheet=U0&amp;row=1234&amp;col=6&amp;number=4&amp;sourceID=14","4")</f>
        <v>4</v>
      </c>
      <c r="G1234" s="4" t="str">
        <f>HYPERLINK("http://141.218.60.56/~jnz1568/getInfo.php?workbook=14_13.xlsx&amp;sheet=U0&amp;row=1234&amp;col=7&amp;number=0.421&amp;sourceID=14","0.421")</f>
        <v>0.421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HYPERLINK("http://141.218.60.56/~jnz1568/getInfo.php?workbook=14_13.xlsx&amp;sheet=U0&amp;row=1235&amp;col=6&amp;number=4.1&amp;sourceID=14","4.1")</f>
        <v>4.1</v>
      </c>
      <c r="G1235" s="4" t="str">
        <f>HYPERLINK("http://141.218.60.56/~jnz1568/getInfo.php?workbook=14_13.xlsx&amp;sheet=U0&amp;row=1235&amp;col=7&amp;number=0.404&amp;sourceID=14","0.404")</f>
        <v>0.404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HYPERLINK("http://141.218.60.56/~jnz1568/getInfo.php?workbook=14_13.xlsx&amp;sheet=U0&amp;row=1236&amp;col=6&amp;number=4.2&amp;sourceID=14","4.2")</f>
        <v>4.2</v>
      </c>
      <c r="G1236" s="4" t="str">
        <f>HYPERLINK("http://141.218.60.56/~jnz1568/getInfo.php?workbook=14_13.xlsx&amp;sheet=U0&amp;row=1236&amp;col=7&amp;number=0.385&amp;sourceID=14","0.385")</f>
        <v>0.385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HYPERLINK("http://141.218.60.56/~jnz1568/getInfo.php?workbook=14_13.xlsx&amp;sheet=U0&amp;row=1237&amp;col=6&amp;number=4.3&amp;sourceID=14","4.3")</f>
        <v>4.3</v>
      </c>
      <c r="G1237" s="4" t="str">
        <f>HYPERLINK("http://141.218.60.56/~jnz1568/getInfo.php?workbook=14_13.xlsx&amp;sheet=U0&amp;row=1237&amp;col=7&amp;number=0.366&amp;sourceID=14","0.366")</f>
        <v>0.366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HYPERLINK("http://141.218.60.56/~jnz1568/getInfo.php?workbook=14_13.xlsx&amp;sheet=U0&amp;row=1238&amp;col=6&amp;number=4.4&amp;sourceID=14","4.4")</f>
        <v>4.4</v>
      </c>
      <c r="G1238" s="4" t="str">
        <f>HYPERLINK("http://141.218.60.56/~jnz1568/getInfo.php?workbook=14_13.xlsx&amp;sheet=U0&amp;row=1238&amp;col=7&amp;number=0.346&amp;sourceID=14","0.346")</f>
        <v>0.346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HYPERLINK("http://141.218.60.56/~jnz1568/getInfo.php?workbook=14_13.xlsx&amp;sheet=U0&amp;row=1239&amp;col=6&amp;number=4.5&amp;sourceID=14","4.5")</f>
        <v>4.5</v>
      </c>
      <c r="G1239" s="4" t="str">
        <f>HYPERLINK("http://141.218.60.56/~jnz1568/getInfo.php?workbook=14_13.xlsx&amp;sheet=U0&amp;row=1239&amp;col=7&amp;number=0.325&amp;sourceID=14","0.325")</f>
        <v>0.325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HYPERLINK("http://141.218.60.56/~jnz1568/getInfo.php?workbook=14_13.xlsx&amp;sheet=U0&amp;row=1240&amp;col=6&amp;number=4.6&amp;sourceID=14","4.6")</f>
        <v>4.6</v>
      </c>
      <c r="G1240" s="4" t="str">
        <f>HYPERLINK("http://141.218.60.56/~jnz1568/getInfo.php?workbook=14_13.xlsx&amp;sheet=U0&amp;row=1240&amp;col=7&amp;number=0.304&amp;sourceID=14","0.304")</f>
        <v>0.304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HYPERLINK("http://141.218.60.56/~jnz1568/getInfo.php?workbook=14_13.xlsx&amp;sheet=U0&amp;row=1241&amp;col=6&amp;number=4.7&amp;sourceID=14","4.7")</f>
        <v>4.7</v>
      </c>
      <c r="G1241" s="4" t="str">
        <f>HYPERLINK("http://141.218.60.56/~jnz1568/getInfo.php?workbook=14_13.xlsx&amp;sheet=U0&amp;row=1241&amp;col=7&amp;number=0.283&amp;sourceID=14","0.283")</f>
        <v>0.283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HYPERLINK("http://141.218.60.56/~jnz1568/getInfo.php?workbook=14_13.xlsx&amp;sheet=U0&amp;row=1242&amp;col=6&amp;number=4.8&amp;sourceID=14","4.8")</f>
        <v>4.8</v>
      </c>
      <c r="G1242" s="4" t="str">
        <f>HYPERLINK("http://141.218.60.56/~jnz1568/getInfo.php?workbook=14_13.xlsx&amp;sheet=U0&amp;row=1242&amp;col=7&amp;number=0.263&amp;sourceID=14","0.263")</f>
        <v>0.263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HYPERLINK("http://141.218.60.56/~jnz1568/getInfo.php?workbook=14_13.xlsx&amp;sheet=U0&amp;row=1243&amp;col=6&amp;number=4.9&amp;sourceID=14","4.9")</f>
        <v>4.9</v>
      </c>
      <c r="G1243" s="4" t="str">
        <f>HYPERLINK("http://141.218.60.56/~jnz1568/getInfo.php?workbook=14_13.xlsx&amp;sheet=U0&amp;row=1243&amp;col=7&amp;number=0.243&amp;sourceID=14","0.243")</f>
        <v>0.243</v>
      </c>
    </row>
    <row r="1244" spans="1:7">
      <c r="A1244" s="3">
        <v>14</v>
      </c>
      <c r="B1244" s="3">
        <v>13</v>
      </c>
      <c r="C1244" s="3">
        <v>3</v>
      </c>
      <c r="D1244" s="3">
        <v>11</v>
      </c>
      <c r="E1244" s="3">
        <v>1</v>
      </c>
      <c r="F1244" s="4" t="str">
        <f>HYPERLINK("http://141.218.60.56/~jnz1568/getInfo.php?workbook=14_13.xlsx&amp;sheet=U0&amp;row=1244&amp;col=6&amp;number=3&amp;sourceID=14","3")</f>
        <v>3</v>
      </c>
      <c r="G1244" s="4" t="str">
        <f>HYPERLINK("http://141.218.60.56/~jnz1568/getInfo.php?workbook=14_13.xlsx&amp;sheet=U0&amp;row=1244&amp;col=7&amp;number=0.324&amp;sourceID=14","0.324")</f>
        <v>0.324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HYPERLINK("http://141.218.60.56/~jnz1568/getInfo.php?workbook=14_13.xlsx&amp;sheet=U0&amp;row=1245&amp;col=6&amp;number=3.1&amp;sourceID=14","3.1")</f>
        <v>3.1</v>
      </c>
      <c r="G1245" s="4" t="str">
        <f>HYPERLINK("http://141.218.60.56/~jnz1568/getInfo.php?workbook=14_13.xlsx&amp;sheet=U0&amp;row=1245&amp;col=7&amp;number=0.321&amp;sourceID=14","0.321")</f>
        <v>0.321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HYPERLINK("http://141.218.60.56/~jnz1568/getInfo.php?workbook=14_13.xlsx&amp;sheet=U0&amp;row=1246&amp;col=6&amp;number=3.2&amp;sourceID=14","3.2")</f>
        <v>3.2</v>
      </c>
      <c r="G1246" s="4" t="str">
        <f>HYPERLINK("http://141.218.60.56/~jnz1568/getInfo.php?workbook=14_13.xlsx&amp;sheet=U0&amp;row=1246&amp;col=7&amp;number=0.317&amp;sourceID=14","0.317")</f>
        <v>0.317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HYPERLINK("http://141.218.60.56/~jnz1568/getInfo.php?workbook=14_13.xlsx&amp;sheet=U0&amp;row=1247&amp;col=6&amp;number=3.3&amp;sourceID=14","3.3")</f>
        <v>3.3</v>
      </c>
      <c r="G1247" s="4" t="str">
        <f>HYPERLINK("http://141.218.60.56/~jnz1568/getInfo.php?workbook=14_13.xlsx&amp;sheet=U0&amp;row=1247&amp;col=7&amp;number=0.313&amp;sourceID=14","0.313")</f>
        <v>0.313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HYPERLINK("http://141.218.60.56/~jnz1568/getInfo.php?workbook=14_13.xlsx&amp;sheet=U0&amp;row=1248&amp;col=6&amp;number=3.4&amp;sourceID=14","3.4")</f>
        <v>3.4</v>
      </c>
      <c r="G1248" s="4" t="str">
        <f>HYPERLINK("http://141.218.60.56/~jnz1568/getInfo.php?workbook=14_13.xlsx&amp;sheet=U0&amp;row=1248&amp;col=7&amp;number=0.308&amp;sourceID=14","0.308")</f>
        <v>0.308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HYPERLINK("http://141.218.60.56/~jnz1568/getInfo.php?workbook=14_13.xlsx&amp;sheet=U0&amp;row=1249&amp;col=6&amp;number=3.5&amp;sourceID=14","3.5")</f>
        <v>3.5</v>
      </c>
      <c r="G1249" s="4" t="str">
        <f>HYPERLINK("http://141.218.60.56/~jnz1568/getInfo.php?workbook=14_13.xlsx&amp;sheet=U0&amp;row=1249&amp;col=7&amp;number=0.302&amp;sourceID=14","0.302")</f>
        <v>0.302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HYPERLINK("http://141.218.60.56/~jnz1568/getInfo.php?workbook=14_13.xlsx&amp;sheet=U0&amp;row=1250&amp;col=6&amp;number=3.6&amp;sourceID=14","3.6")</f>
        <v>3.6</v>
      </c>
      <c r="G1250" s="4" t="str">
        <f>HYPERLINK("http://141.218.60.56/~jnz1568/getInfo.php?workbook=14_13.xlsx&amp;sheet=U0&amp;row=1250&amp;col=7&amp;number=0.295&amp;sourceID=14","0.295")</f>
        <v>0.295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HYPERLINK("http://141.218.60.56/~jnz1568/getInfo.php?workbook=14_13.xlsx&amp;sheet=U0&amp;row=1251&amp;col=6&amp;number=3.7&amp;sourceID=14","3.7")</f>
        <v>3.7</v>
      </c>
      <c r="G1251" s="4" t="str">
        <f>HYPERLINK("http://141.218.60.56/~jnz1568/getInfo.php?workbook=14_13.xlsx&amp;sheet=U0&amp;row=1251&amp;col=7&amp;number=0.287&amp;sourceID=14","0.287")</f>
        <v>0.287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HYPERLINK("http://141.218.60.56/~jnz1568/getInfo.php?workbook=14_13.xlsx&amp;sheet=U0&amp;row=1252&amp;col=6&amp;number=3.8&amp;sourceID=14","3.8")</f>
        <v>3.8</v>
      </c>
      <c r="G1252" s="4" t="str">
        <f>HYPERLINK("http://141.218.60.56/~jnz1568/getInfo.php?workbook=14_13.xlsx&amp;sheet=U0&amp;row=1252&amp;col=7&amp;number=0.279&amp;sourceID=14","0.279")</f>
        <v>0.279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HYPERLINK("http://141.218.60.56/~jnz1568/getInfo.php?workbook=14_13.xlsx&amp;sheet=U0&amp;row=1253&amp;col=6&amp;number=3.9&amp;sourceID=14","3.9")</f>
        <v>3.9</v>
      </c>
      <c r="G1253" s="4" t="str">
        <f>HYPERLINK("http://141.218.60.56/~jnz1568/getInfo.php?workbook=14_13.xlsx&amp;sheet=U0&amp;row=1253&amp;col=7&amp;number=0.271&amp;sourceID=14","0.271")</f>
        <v>0.271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HYPERLINK("http://141.218.60.56/~jnz1568/getInfo.php?workbook=14_13.xlsx&amp;sheet=U0&amp;row=1254&amp;col=6&amp;number=4&amp;sourceID=14","4")</f>
        <v>4</v>
      </c>
      <c r="G1254" s="4" t="str">
        <f>HYPERLINK("http://141.218.60.56/~jnz1568/getInfo.php?workbook=14_13.xlsx&amp;sheet=U0&amp;row=1254&amp;col=7&amp;number=0.262&amp;sourceID=14","0.262")</f>
        <v>0.262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HYPERLINK("http://141.218.60.56/~jnz1568/getInfo.php?workbook=14_13.xlsx&amp;sheet=U0&amp;row=1255&amp;col=6&amp;number=4.1&amp;sourceID=14","4.1")</f>
        <v>4.1</v>
      </c>
      <c r="G1255" s="4" t="str">
        <f>HYPERLINK("http://141.218.60.56/~jnz1568/getInfo.php?workbook=14_13.xlsx&amp;sheet=U0&amp;row=1255&amp;col=7&amp;number=0.254&amp;sourceID=14","0.254")</f>
        <v>0.254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HYPERLINK("http://141.218.60.56/~jnz1568/getInfo.php?workbook=14_13.xlsx&amp;sheet=U0&amp;row=1256&amp;col=6&amp;number=4.2&amp;sourceID=14","4.2")</f>
        <v>4.2</v>
      </c>
      <c r="G1256" s="4" t="str">
        <f>HYPERLINK("http://141.218.60.56/~jnz1568/getInfo.php?workbook=14_13.xlsx&amp;sheet=U0&amp;row=1256&amp;col=7&amp;number=0.244&amp;sourceID=14","0.244")</f>
        <v>0.244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HYPERLINK("http://141.218.60.56/~jnz1568/getInfo.php?workbook=14_13.xlsx&amp;sheet=U0&amp;row=1257&amp;col=6&amp;number=4.3&amp;sourceID=14","4.3")</f>
        <v>4.3</v>
      </c>
      <c r="G1257" s="4" t="str">
        <f>HYPERLINK("http://141.218.60.56/~jnz1568/getInfo.php?workbook=14_13.xlsx&amp;sheet=U0&amp;row=1257&amp;col=7&amp;number=0.235&amp;sourceID=14","0.235")</f>
        <v>0.235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HYPERLINK("http://141.218.60.56/~jnz1568/getInfo.php?workbook=14_13.xlsx&amp;sheet=U0&amp;row=1258&amp;col=6&amp;number=4.4&amp;sourceID=14","4.4")</f>
        <v>4.4</v>
      </c>
      <c r="G1258" s="4" t="str">
        <f>HYPERLINK("http://141.218.60.56/~jnz1568/getInfo.php?workbook=14_13.xlsx&amp;sheet=U0&amp;row=1258&amp;col=7&amp;number=0.225&amp;sourceID=14","0.225")</f>
        <v>0.225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HYPERLINK("http://141.218.60.56/~jnz1568/getInfo.php?workbook=14_13.xlsx&amp;sheet=U0&amp;row=1259&amp;col=6&amp;number=4.5&amp;sourceID=14","4.5")</f>
        <v>4.5</v>
      </c>
      <c r="G1259" s="4" t="str">
        <f>HYPERLINK("http://141.218.60.56/~jnz1568/getInfo.php?workbook=14_13.xlsx&amp;sheet=U0&amp;row=1259&amp;col=7&amp;number=0.214&amp;sourceID=14","0.214")</f>
        <v>0.214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HYPERLINK("http://141.218.60.56/~jnz1568/getInfo.php?workbook=14_13.xlsx&amp;sheet=U0&amp;row=1260&amp;col=6&amp;number=4.6&amp;sourceID=14","4.6")</f>
        <v>4.6</v>
      </c>
      <c r="G1260" s="4" t="str">
        <f>HYPERLINK("http://141.218.60.56/~jnz1568/getInfo.php?workbook=14_13.xlsx&amp;sheet=U0&amp;row=1260&amp;col=7&amp;number=0.204&amp;sourceID=14","0.204")</f>
        <v>0.204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HYPERLINK("http://141.218.60.56/~jnz1568/getInfo.php?workbook=14_13.xlsx&amp;sheet=U0&amp;row=1261&amp;col=6&amp;number=4.7&amp;sourceID=14","4.7")</f>
        <v>4.7</v>
      </c>
      <c r="G1261" s="4" t="str">
        <f>HYPERLINK("http://141.218.60.56/~jnz1568/getInfo.php?workbook=14_13.xlsx&amp;sheet=U0&amp;row=1261&amp;col=7&amp;number=0.193&amp;sourceID=14","0.193")</f>
        <v>0.193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HYPERLINK("http://141.218.60.56/~jnz1568/getInfo.php?workbook=14_13.xlsx&amp;sheet=U0&amp;row=1262&amp;col=6&amp;number=4.8&amp;sourceID=14","4.8")</f>
        <v>4.8</v>
      </c>
      <c r="G1262" s="4" t="str">
        <f>HYPERLINK("http://141.218.60.56/~jnz1568/getInfo.php?workbook=14_13.xlsx&amp;sheet=U0&amp;row=1262&amp;col=7&amp;number=0.183&amp;sourceID=14","0.183")</f>
        <v>0.183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HYPERLINK("http://141.218.60.56/~jnz1568/getInfo.php?workbook=14_13.xlsx&amp;sheet=U0&amp;row=1263&amp;col=6&amp;number=4.9&amp;sourceID=14","4.9")</f>
        <v>4.9</v>
      </c>
      <c r="G1263" s="4" t="str">
        <f>HYPERLINK("http://141.218.60.56/~jnz1568/getInfo.php?workbook=14_13.xlsx&amp;sheet=U0&amp;row=1263&amp;col=7&amp;number=0.173&amp;sourceID=14","0.173")</f>
        <v>0.173</v>
      </c>
    </row>
    <row r="1264" spans="1:7">
      <c r="A1264" s="3">
        <v>14</v>
      </c>
      <c r="B1264" s="3">
        <v>13</v>
      </c>
      <c r="C1264" s="3">
        <v>3</v>
      </c>
      <c r="D1264" s="3">
        <v>12</v>
      </c>
      <c r="E1264" s="3">
        <v>1</v>
      </c>
      <c r="F1264" s="4" t="str">
        <f>HYPERLINK("http://141.218.60.56/~jnz1568/getInfo.php?workbook=14_13.xlsx&amp;sheet=U0&amp;row=1264&amp;col=6&amp;number=3&amp;sourceID=14","3")</f>
        <v>3</v>
      </c>
      <c r="G1264" s="4" t="str">
        <f>HYPERLINK("http://141.218.60.56/~jnz1568/getInfo.php?workbook=14_13.xlsx&amp;sheet=U0&amp;row=1264&amp;col=7&amp;number=0.0878&amp;sourceID=14","0.0878")</f>
        <v>0.0878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HYPERLINK("http://141.218.60.56/~jnz1568/getInfo.php?workbook=14_13.xlsx&amp;sheet=U0&amp;row=1265&amp;col=6&amp;number=3.1&amp;sourceID=14","3.1")</f>
        <v>3.1</v>
      </c>
      <c r="G1265" s="4" t="str">
        <f>HYPERLINK("http://141.218.60.56/~jnz1568/getInfo.php?workbook=14_13.xlsx&amp;sheet=U0&amp;row=1265&amp;col=7&amp;number=0.0867&amp;sourceID=14","0.0867")</f>
        <v>0.0867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HYPERLINK("http://141.218.60.56/~jnz1568/getInfo.php?workbook=14_13.xlsx&amp;sheet=U0&amp;row=1266&amp;col=6&amp;number=3.2&amp;sourceID=14","3.2")</f>
        <v>3.2</v>
      </c>
      <c r="G1266" s="4" t="str">
        <f>HYPERLINK("http://141.218.60.56/~jnz1568/getInfo.php?workbook=14_13.xlsx&amp;sheet=U0&amp;row=1266&amp;col=7&amp;number=0.0853&amp;sourceID=14","0.0853")</f>
        <v>0.0853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HYPERLINK("http://141.218.60.56/~jnz1568/getInfo.php?workbook=14_13.xlsx&amp;sheet=U0&amp;row=1267&amp;col=6&amp;number=3.3&amp;sourceID=14","3.3")</f>
        <v>3.3</v>
      </c>
      <c r="G1267" s="4" t="str">
        <f>HYPERLINK("http://141.218.60.56/~jnz1568/getInfo.php?workbook=14_13.xlsx&amp;sheet=U0&amp;row=1267&amp;col=7&amp;number=0.0836&amp;sourceID=14","0.0836")</f>
        <v>0.0836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HYPERLINK("http://141.218.60.56/~jnz1568/getInfo.php?workbook=14_13.xlsx&amp;sheet=U0&amp;row=1268&amp;col=6&amp;number=3.4&amp;sourceID=14","3.4")</f>
        <v>3.4</v>
      </c>
      <c r="G1268" s="4" t="str">
        <f>HYPERLINK("http://141.218.60.56/~jnz1568/getInfo.php?workbook=14_13.xlsx&amp;sheet=U0&amp;row=1268&amp;col=7&amp;number=0.0816&amp;sourceID=14","0.0816")</f>
        <v>0.0816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HYPERLINK("http://141.218.60.56/~jnz1568/getInfo.php?workbook=14_13.xlsx&amp;sheet=U0&amp;row=1269&amp;col=6&amp;number=3.5&amp;sourceID=14","3.5")</f>
        <v>3.5</v>
      </c>
      <c r="G1269" s="4" t="str">
        <f>HYPERLINK("http://141.218.60.56/~jnz1568/getInfo.php?workbook=14_13.xlsx&amp;sheet=U0&amp;row=1269&amp;col=7&amp;number=0.0792&amp;sourceID=14","0.0792")</f>
        <v>0.0792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HYPERLINK("http://141.218.60.56/~jnz1568/getInfo.php?workbook=14_13.xlsx&amp;sheet=U0&amp;row=1270&amp;col=6&amp;number=3.6&amp;sourceID=14","3.6")</f>
        <v>3.6</v>
      </c>
      <c r="G1270" s="4" t="str">
        <f>HYPERLINK("http://141.218.60.56/~jnz1568/getInfo.php?workbook=14_13.xlsx&amp;sheet=U0&amp;row=1270&amp;col=7&amp;number=0.0765&amp;sourceID=14","0.0765")</f>
        <v>0.0765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HYPERLINK("http://141.218.60.56/~jnz1568/getInfo.php?workbook=14_13.xlsx&amp;sheet=U0&amp;row=1271&amp;col=6&amp;number=3.7&amp;sourceID=14","3.7")</f>
        <v>3.7</v>
      </c>
      <c r="G1271" s="4" t="str">
        <f>HYPERLINK("http://141.218.60.56/~jnz1568/getInfo.php?workbook=14_13.xlsx&amp;sheet=U0&amp;row=1271&amp;col=7&amp;number=0.0734&amp;sourceID=14","0.0734")</f>
        <v>0.0734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HYPERLINK("http://141.218.60.56/~jnz1568/getInfo.php?workbook=14_13.xlsx&amp;sheet=U0&amp;row=1272&amp;col=6&amp;number=3.8&amp;sourceID=14","3.8")</f>
        <v>3.8</v>
      </c>
      <c r="G1272" s="4" t="str">
        <f>HYPERLINK("http://141.218.60.56/~jnz1568/getInfo.php?workbook=14_13.xlsx&amp;sheet=U0&amp;row=1272&amp;col=7&amp;number=0.0701&amp;sourceID=14","0.0701")</f>
        <v>0.0701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HYPERLINK("http://141.218.60.56/~jnz1568/getInfo.php?workbook=14_13.xlsx&amp;sheet=U0&amp;row=1273&amp;col=6&amp;number=3.9&amp;sourceID=14","3.9")</f>
        <v>3.9</v>
      </c>
      <c r="G1273" s="4" t="str">
        <f>HYPERLINK("http://141.218.60.56/~jnz1568/getInfo.php?workbook=14_13.xlsx&amp;sheet=U0&amp;row=1273&amp;col=7&amp;number=0.0667&amp;sourceID=14","0.0667")</f>
        <v>0.0667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HYPERLINK("http://141.218.60.56/~jnz1568/getInfo.php?workbook=14_13.xlsx&amp;sheet=U0&amp;row=1274&amp;col=6&amp;number=4&amp;sourceID=14","4")</f>
        <v>4</v>
      </c>
      <c r="G1274" s="4" t="str">
        <f>HYPERLINK("http://141.218.60.56/~jnz1568/getInfo.php?workbook=14_13.xlsx&amp;sheet=U0&amp;row=1274&amp;col=7&amp;number=0.0632&amp;sourceID=14","0.0632")</f>
        <v>0.0632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HYPERLINK("http://141.218.60.56/~jnz1568/getInfo.php?workbook=14_13.xlsx&amp;sheet=U0&amp;row=1275&amp;col=6&amp;number=4.1&amp;sourceID=14","4.1")</f>
        <v>4.1</v>
      </c>
      <c r="G1275" s="4" t="str">
        <f>HYPERLINK("http://141.218.60.56/~jnz1568/getInfo.php?workbook=14_13.xlsx&amp;sheet=U0&amp;row=1275&amp;col=7&amp;number=0.0596&amp;sourceID=14","0.0596")</f>
        <v>0.0596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HYPERLINK("http://141.218.60.56/~jnz1568/getInfo.php?workbook=14_13.xlsx&amp;sheet=U0&amp;row=1276&amp;col=6&amp;number=4.2&amp;sourceID=14","4.2")</f>
        <v>4.2</v>
      </c>
      <c r="G1276" s="4" t="str">
        <f>HYPERLINK("http://141.218.60.56/~jnz1568/getInfo.php?workbook=14_13.xlsx&amp;sheet=U0&amp;row=1276&amp;col=7&amp;number=0.056&amp;sourceID=14","0.056")</f>
        <v>0.056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HYPERLINK("http://141.218.60.56/~jnz1568/getInfo.php?workbook=14_13.xlsx&amp;sheet=U0&amp;row=1277&amp;col=6&amp;number=4.3&amp;sourceID=14","4.3")</f>
        <v>4.3</v>
      </c>
      <c r="G1277" s="4" t="str">
        <f>HYPERLINK("http://141.218.60.56/~jnz1568/getInfo.php?workbook=14_13.xlsx&amp;sheet=U0&amp;row=1277&amp;col=7&amp;number=0.0525&amp;sourceID=14","0.0525")</f>
        <v>0.0525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HYPERLINK("http://141.218.60.56/~jnz1568/getInfo.php?workbook=14_13.xlsx&amp;sheet=U0&amp;row=1278&amp;col=6&amp;number=4.4&amp;sourceID=14","4.4")</f>
        <v>4.4</v>
      </c>
      <c r="G1278" s="4" t="str">
        <f>HYPERLINK("http://141.218.60.56/~jnz1568/getInfo.php?workbook=14_13.xlsx&amp;sheet=U0&amp;row=1278&amp;col=7&amp;number=0.0492&amp;sourceID=14","0.0492")</f>
        <v>0.0492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HYPERLINK("http://141.218.60.56/~jnz1568/getInfo.php?workbook=14_13.xlsx&amp;sheet=U0&amp;row=1279&amp;col=6&amp;number=4.5&amp;sourceID=14","4.5")</f>
        <v>4.5</v>
      </c>
      <c r="G1279" s="4" t="str">
        <f>HYPERLINK("http://141.218.60.56/~jnz1568/getInfo.php?workbook=14_13.xlsx&amp;sheet=U0&amp;row=1279&amp;col=7&amp;number=0.0461&amp;sourceID=14","0.0461")</f>
        <v>0.0461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HYPERLINK("http://141.218.60.56/~jnz1568/getInfo.php?workbook=14_13.xlsx&amp;sheet=U0&amp;row=1280&amp;col=6&amp;number=4.6&amp;sourceID=14","4.6")</f>
        <v>4.6</v>
      </c>
      <c r="G1280" s="4" t="str">
        <f>HYPERLINK("http://141.218.60.56/~jnz1568/getInfo.php?workbook=14_13.xlsx&amp;sheet=U0&amp;row=1280&amp;col=7&amp;number=0.0432&amp;sourceID=14","0.0432")</f>
        <v>0.0432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HYPERLINK("http://141.218.60.56/~jnz1568/getInfo.php?workbook=14_13.xlsx&amp;sheet=U0&amp;row=1281&amp;col=6&amp;number=4.7&amp;sourceID=14","4.7")</f>
        <v>4.7</v>
      </c>
      <c r="G1281" s="4" t="str">
        <f>HYPERLINK("http://141.218.60.56/~jnz1568/getInfo.php?workbook=14_13.xlsx&amp;sheet=U0&amp;row=1281&amp;col=7&amp;number=0.0405&amp;sourceID=14","0.0405")</f>
        <v>0.0405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HYPERLINK("http://141.218.60.56/~jnz1568/getInfo.php?workbook=14_13.xlsx&amp;sheet=U0&amp;row=1282&amp;col=6&amp;number=4.8&amp;sourceID=14","4.8")</f>
        <v>4.8</v>
      </c>
      <c r="G1282" s="4" t="str">
        <f>HYPERLINK("http://141.218.60.56/~jnz1568/getInfo.php?workbook=14_13.xlsx&amp;sheet=U0&amp;row=1282&amp;col=7&amp;number=0.038&amp;sourceID=14","0.038")</f>
        <v>0.038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HYPERLINK("http://141.218.60.56/~jnz1568/getInfo.php?workbook=14_13.xlsx&amp;sheet=U0&amp;row=1283&amp;col=6&amp;number=4.9&amp;sourceID=14","4.9")</f>
        <v>4.9</v>
      </c>
      <c r="G1283" s="4" t="str">
        <f>HYPERLINK("http://141.218.60.56/~jnz1568/getInfo.php?workbook=14_13.xlsx&amp;sheet=U0&amp;row=1283&amp;col=7&amp;number=0.0355&amp;sourceID=14","0.0355")</f>
        <v>0.0355</v>
      </c>
    </row>
    <row r="1284" spans="1:7">
      <c r="A1284" s="3">
        <v>14</v>
      </c>
      <c r="B1284" s="3">
        <v>13</v>
      </c>
      <c r="C1284" s="3">
        <v>3</v>
      </c>
      <c r="D1284" s="3">
        <v>13</v>
      </c>
      <c r="E1284" s="3">
        <v>1</v>
      </c>
      <c r="F1284" s="4" t="str">
        <f>HYPERLINK("http://141.218.60.56/~jnz1568/getInfo.php?workbook=14_13.xlsx&amp;sheet=U0&amp;row=1284&amp;col=6&amp;number=3&amp;sourceID=14","3")</f>
        <v>3</v>
      </c>
      <c r="G1284" s="4" t="str">
        <f>HYPERLINK("http://141.218.60.56/~jnz1568/getInfo.php?workbook=14_13.xlsx&amp;sheet=U0&amp;row=1284&amp;col=7&amp;number=0.1&amp;sourceID=14","0.1")</f>
        <v>0.1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HYPERLINK("http://141.218.60.56/~jnz1568/getInfo.php?workbook=14_13.xlsx&amp;sheet=U0&amp;row=1285&amp;col=6&amp;number=3.1&amp;sourceID=14","3.1")</f>
        <v>3.1</v>
      </c>
      <c r="G1285" s="4" t="str">
        <f>HYPERLINK("http://141.218.60.56/~jnz1568/getInfo.php?workbook=14_13.xlsx&amp;sheet=U0&amp;row=1285&amp;col=7&amp;number=0.0984&amp;sourceID=14","0.0984")</f>
        <v>0.0984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HYPERLINK("http://141.218.60.56/~jnz1568/getInfo.php?workbook=14_13.xlsx&amp;sheet=U0&amp;row=1286&amp;col=6&amp;number=3.2&amp;sourceID=14","3.2")</f>
        <v>3.2</v>
      </c>
      <c r="G1286" s="4" t="str">
        <f>HYPERLINK("http://141.218.60.56/~jnz1568/getInfo.php?workbook=14_13.xlsx&amp;sheet=U0&amp;row=1286&amp;col=7&amp;number=0.0961&amp;sourceID=14","0.0961")</f>
        <v>0.0961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HYPERLINK("http://141.218.60.56/~jnz1568/getInfo.php?workbook=14_13.xlsx&amp;sheet=U0&amp;row=1287&amp;col=6&amp;number=3.3&amp;sourceID=14","3.3")</f>
        <v>3.3</v>
      </c>
      <c r="G1287" s="4" t="str">
        <f>HYPERLINK("http://141.218.60.56/~jnz1568/getInfo.php?workbook=14_13.xlsx&amp;sheet=U0&amp;row=1287&amp;col=7&amp;number=0.0934&amp;sourceID=14","0.0934")</f>
        <v>0.0934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HYPERLINK("http://141.218.60.56/~jnz1568/getInfo.php?workbook=14_13.xlsx&amp;sheet=U0&amp;row=1288&amp;col=6&amp;number=3.4&amp;sourceID=14","3.4")</f>
        <v>3.4</v>
      </c>
      <c r="G1288" s="4" t="str">
        <f>HYPERLINK("http://141.218.60.56/~jnz1568/getInfo.php?workbook=14_13.xlsx&amp;sheet=U0&amp;row=1288&amp;col=7&amp;number=0.0902&amp;sourceID=14","0.0902")</f>
        <v>0.0902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HYPERLINK("http://141.218.60.56/~jnz1568/getInfo.php?workbook=14_13.xlsx&amp;sheet=U0&amp;row=1289&amp;col=6&amp;number=3.5&amp;sourceID=14","3.5")</f>
        <v>3.5</v>
      </c>
      <c r="G1289" s="4" t="str">
        <f>HYPERLINK("http://141.218.60.56/~jnz1568/getInfo.php?workbook=14_13.xlsx&amp;sheet=U0&amp;row=1289&amp;col=7&amp;number=0.0866&amp;sourceID=14","0.0866")</f>
        <v>0.0866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HYPERLINK("http://141.218.60.56/~jnz1568/getInfo.php?workbook=14_13.xlsx&amp;sheet=U0&amp;row=1290&amp;col=6&amp;number=3.6&amp;sourceID=14","3.6")</f>
        <v>3.6</v>
      </c>
      <c r="G1290" s="4" t="str">
        <f>HYPERLINK("http://141.218.60.56/~jnz1568/getInfo.php?workbook=14_13.xlsx&amp;sheet=U0&amp;row=1290&amp;col=7&amp;number=0.0826&amp;sourceID=14","0.0826")</f>
        <v>0.0826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HYPERLINK("http://141.218.60.56/~jnz1568/getInfo.php?workbook=14_13.xlsx&amp;sheet=U0&amp;row=1291&amp;col=6&amp;number=3.7&amp;sourceID=14","3.7")</f>
        <v>3.7</v>
      </c>
      <c r="G1291" s="4" t="str">
        <f>HYPERLINK("http://141.218.60.56/~jnz1568/getInfo.php?workbook=14_13.xlsx&amp;sheet=U0&amp;row=1291&amp;col=7&amp;number=0.0786&amp;sourceID=14","0.0786")</f>
        <v>0.0786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HYPERLINK("http://141.218.60.56/~jnz1568/getInfo.php?workbook=14_13.xlsx&amp;sheet=U0&amp;row=1292&amp;col=6&amp;number=3.8&amp;sourceID=14","3.8")</f>
        <v>3.8</v>
      </c>
      <c r="G1292" s="4" t="str">
        <f>HYPERLINK("http://141.218.60.56/~jnz1568/getInfo.php?workbook=14_13.xlsx&amp;sheet=U0&amp;row=1292&amp;col=7&amp;number=0.0746&amp;sourceID=14","0.0746")</f>
        <v>0.0746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HYPERLINK("http://141.218.60.56/~jnz1568/getInfo.php?workbook=14_13.xlsx&amp;sheet=U0&amp;row=1293&amp;col=6&amp;number=3.9&amp;sourceID=14","3.9")</f>
        <v>3.9</v>
      </c>
      <c r="G1293" s="4" t="str">
        <f>HYPERLINK("http://141.218.60.56/~jnz1568/getInfo.php?workbook=14_13.xlsx&amp;sheet=U0&amp;row=1293&amp;col=7&amp;number=0.0706&amp;sourceID=14","0.0706")</f>
        <v>0.0706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HYPERLINK("http://141.218.60.56/~jnz1568/getInfo.php?workbook=14_13.xlsx&amp;sheet=U0&amp;row=1294&amp;col=6&amp;number=4&amp;sourceID=14","4")</f>
        <v>4</v>
      </c>
      <c r="G1294" s="4" t="str">
        <f>HYPERLINK("http://141.218.60.56/~jnz1568/getInfo.php?workbook=14_13.xlsx&amp;sheet=U0&amp;row=1294&amp;col=7&amp;number=0.0667&amp;sourceID=14","0.0667")</f>
        <v>0.0667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HYPERLINK("http://141.218.60.56/~jnz1568/getInfo.php?workbook=14_13.xlsx&amp;sheet=U0&amp;row=1295&amp;col=6&amp;number=4.1&amp;sourceID=14","4.1")</f>
        <v>4.1</v>
      </c>
      <c r="G1295" s="4" t="str">
        <f>HYPERLINK("http://141.218.60.56/~jnz1568/getInfo.php?workbook=14_13.xlsx&amp;sheet=U0&amp;row=1295&amp;col=7&amp;number=0.0628&amp;sourceID=14","0.0628")</f>
        <v>0.0628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HYPERLINK("http://141.218.60.56/~jnz1568/getInfo.php?workbook=14_13.xlsx&amp;sheet=U0&amp;row=1296&amp;col=6&amp;number=4.2&amp;sourceID=14","4.2")</f>
        <v>4.2</v>
      </c>
      <c r="G1296" s="4" t="str">
        <f>HYPERLINK("http://141.218.60.56/~jnz1568/getInfo.php?workbook=14_13.xlsx&amp;sheet=U0&amp;row=1296&amp;col=7&amp;number=0.0588&amp;sourceID=14","0.0588")</f>
        <v>0.0588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HYPERLINK("http://141.218.60.56/~jnz1568/getInfo.php?workbook=14_13.xlsx&amp;sheet=U0&amp;row=1297&amp;col=6&amp;number=4.3&amp;sourceID=14","4.3")</f>
        <v>4.3</v>
      </c>
      <c r="G1297" s="4" t="str">
        <f>HYPERLINK("http://141.218.60.56/~jnz1568/getInfo.php?workbook=14_13.xlsx&amp;sheet=U0&amp;row=1297&amp;col=7&amp;number=0.0548&amp;sourceID=14","0.0548")</f>
        <v>0.0548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HYPERLINK("http://141.218.60.56/~jnz1568/getInfo.php?workbook=14_13.xlsx&amp;sheet=U0&amp;row=1298&amp;col=6&amp;number=4.4&amp;sourceID=14","4.4")</f>
        <v>4.4</v>
      </c>
      <c r="G1298" s="4" t="str">
        <f>HYPERLINK("http://141.218.60.56/~jnz1568/getInfo.php?workbook=14_13.xlsx&amp;sheet=U0&amp;row=1298&amp;col=7&amp;number=0.0509&amp;sourceID=14","0.0509")</f>
        <v>0.0509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HYPERLINK("http://141.218.60.56/~jnz1568/getInfo.php?workbook=14_13.xlsx&amp;sheet=U0&amp;row=1299&amp;col=6&amp;number=4.5&amp;sourceID=14","4.5")</f>
        <v>4.5</v>
      </c>
      <c r="G1299" s="4" t="str">
        <f>HYPERLINK("http://141.218.60.56/~jnz1568/getInfo.php?workbook=14_13.xlsx&amp;sheet=U0&amp;row=1299&amp;col=7&amp;number=0.0474&amp;sourceID=14","0.0474")</f>
        <v>0.0474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HYPERLINK("http://141.218.60.56/~jnz1568/getInfo.php?workbook=14_13.xlsx&amp;sheet=U0&amp;row=1300&amp;col=6&amp;number=4.6&amp;sourceID=14","4.6")</f>
        <v>4.6</v>
      </c>
      <c r="G1300" s="4" t="str">
        <f>HYPERLINK("http://141.218.60.56/~jnz1568/getInfo.php?workbook=14_13.xlsx&amp;sheet=U0&amp;row=1300&amp;col=7&amp;number=0.0441&amp;sourceID=14","0.0441")</f>
        <v>0.0441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HYPERLINK("http://141.218.60.56/~jnz1568/getInfo.php?workbook=14_13.xlsx&amp;sheet=U0&amp;row=1301&amp;col=6&amp;number=4.7&amp;sourceID=14","4.7")</f>
        <v>4.7</v>
      </c>
      <c r="G1301" s="4" t="str">
        <f>HYPERLINK("http://141.218.60.56/~jnz1568/getInfo.php?workbook=14_13.xlsx&amp;sheet=U0&amp;row=1301&amp;col=7&amp;number=0.0413&amp;sourceID=14","0.0413")</f>
        <v>0.0413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HYPERLINK("http://141.218.60.56/~jnz1568/getInfo.php?workbook=14_13.xlsx&amp;sheet=U0&amp;row=1302&amp;col=6&amp;number=4.8&amp;sourceID=14","4.8")</f>
        <v>4.8</v>
      </c>
      <c r="G1302" s="4" t="str">
        <f>HYPERLINK("http://141.218.60.56/~jnz1568/getInfo.php?workbook=14_13.xlsx&amp;sheet=U0&amp;row=1302&amp;col=7&amp;number=0.0388&amp;sourceID=14","0.0388")</f>
        <v>0.0388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HYPERLINK("http://141.218.60.56/~jnz1568/getInfo.php?workbook=14_13.xlsx&amp;sheet=U0&amp;row=1303&amp;col=6&amp;number=4.9&amp;sourceID=14","4.9")</f>
        <v>4.9</v>
      </c>
      <c r="G1303" s="4" t="str">
        <f>HYPERLINK("http://141.218.60.56/~jnz1568/getInfo.php?workbook=14_13.xlsx&amp;sheet=U0&amp;row=1303&amp;col=7&amp;number=0.0364&amp;sourceID=14","0.0364")</f>
        <v>0.0364</v>
      </c>
    </row>
    <row r="1304" spans="1:7">
      <c r="A1304" s="3">
        <v>14</v>
      </c>
      <c r="B1304" s="3">
        <v>13</v>
      </c>
      <c r="C1304" s="3">
        <v>3</v>
      </c>
      <c r="D1304" s="3">
        <v>14</v>
      </c>
      <c r="E1304" s="3">
        <v>1</v>
      </c>
      <c r="F1304" s="4" t="str">
        <f>HYPERLINK("http://141.218.60.56/~jnz1568/getInfo.php?workbook=14_13.xlsx&amp;sheet=U0&amp;row=1304&amp;col=6&amp;number=3&amp;sourceID=14","3")</f>
        <v>3</v>
      </c>
      <c r="G1304" s="4" t="str">
        <f>HYPERLINK("http://141.218.60.56/~jnz1568/getInfo.php?workbook=14_13.xlsx&amp;sheet=U0&amp;row=1304&amp;col=7&amp;number=0.472&amp;sourceID=14","0.472")</f>
        <v>0.472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HYPERLINK("http://141.218.60.56/~jnz1568/getInfo.php?workbook=14_13.xlsx&amp;sheet=U0&amp;row=1305&amp;col=6&amp;number=3.1&amp;sourceID=14","3.1")</f>
        <v>3.1</v>
      </c>
      <c r="G1305" s="4" t="str">
        <f>HYPERLINK("http://141.218.60.56/~jnz1568/getInfo.php?workbook=14_13.xlsx&amp;sheet=U0&amp;row=1305&amp;col=7&amp;number=0.468&amp;sourceID=14","0.468")</f>
        <v>0.468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HYPERLINK("http://141.218.60.56/~jnz1568/getInfo.php?workbook=14_13.xlsx&amp;sheet=U0&amp;row=1306&amp;col=6&amp;number=3.2&amp;sourceID=14","3.2")</f>
        <v>3.2</v>
      </c>
      <c r="G1306" s="4" t="str">
        <f>HYPERLINK("http://141.218.60.56/~jnz1568/getInfo.php?workbook=14_13.xlsx&amp;sheet=U0&amp;row=1306&amp;col=7&amp;number=0.463&amp;sourceID=14","0.463")</f>
        <v>0.463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HYPERLINK("http://141.218.60.56/~jnz1568/getInfo.php?workbook=14_13.xlsx&amp;sheet=U0&amp;row=1307&amp;col=6&amp;number=3.3&amp;sourceID=14","3.3")</f>
        <v>3.3</v>
      </c>
      <c r="G1307" s="4" t="str">
        <f>HYPERLINK("http://141.218.60.56/~jnz1568/getInfo.php?workbook=14_13.xlsx&amp;sheet=U0&amp;row=1307&amp;col=7&amp;number=0.457&amp;sourceID=14","0.457")</f>
        <v>0.457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HYPERLINK("http://141.218.60.56/~jnz1568/getInfo.php?workbook=14_13.xlsx&amp;sheet=U0&amp;row=1308&amp;col=6&amp;number=3.4&amp;sourceID=14","3.4")</f>
        <v>3.4</v>
      </c>
      <c r="G1308" s="4" t="str">
        <f>HYPERLINK("http://141.218.60.56/~jnz1568/getInfo.php?workbook=14_13.xlsx&amp;sheet=U0&amp;row=1308&amp;col=7&amp;number=0.451&amp;sourceID=14","0.451")</f>
        <v>0.451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HYPERLINK("http://141.218.60.56/~jnz1568/getInfo.php?workbook=14_13.xlsx&amp;sheet=U0&amp;row=1309&amp;col=6&amp;number=3.5&amp;sourceID=14","3.5")</f>
        <v>3.5</v>
      </c>
      <c r="G1309" s="4" t="str">
        <f>HYPERLINK("http://141.218.60.56/~jnz1568/getInfo.php?workbook=14_13.xlsx&amp;sheet=U0&amp;row=1309&amp;col=7&amp;number=0.444&amp;sourceID=14","0.444")</f>
        <v>0.444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HYPERLINK("http://141.218.60.56/~jnz1568/getInfo.php?workbook=14_13.xlsx&amp;sheet=U0&amp;row=1310&amp;col=6&amp;number=3.6&amp;sourceID=14","3.6")</f>
        <v>3.6</v>
      </c>
      <c r="G1310" s="4" t="str">
        <f>HYPERLINK("http://141.218.60.56/~jnz1568/getInfo.php?workbook=14_13.xlsx&amp;sheet=U0&amp;row=1310&amp;col=7&amp;number=0.438&amp;sourceID=14","0.438")</f>
        <v>0.438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HYPERLINK("http://141.218.60.56/~jnz1568/getInfo.php?workbook=14_13.xlsx&amp;sheet=U0&amp;row=1311&amp;col=6&amp;number=3.7&amp;sourceID=14","3.7")</f>
        <v>3.7</v>
      </c>
      <c r="G1311" s="4" t="str">
        <f>HYPERLINK("http://141.218.60.56/~jnz1568/getInfo.php?workbook=14_13.xlsx&amp;sheet=U0&amp;row=1311&amp;col=7&amp;number=0.433&amp;sourceID=14","0.433")</f>
        <v>0.433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HYPERLINK("http://141.218.60.56/~jnz1568/getInfo.php?workbook=14_13.xlsx&amp;sheet=U0&amp;row=1312&amp;col=6&amp;number=3.8&amp;sourceID=14","3.8")</f>
        <v>3.8</v>
      </c>
      <c r="G1312" s="4" t="str">
        <f>HYPERLINK("http://141.218.60.56/~jnz1568/getInfo.php?workbook=14_13.xlsx&amp;sheet=U0&amp;row=1312&amp;col=7&amp;number=0.429&amp;sourceID=14","0.429")</f>
        <v>0.429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HYPERLINK("http://141.218.60.56/~jnz1568/getInfo.php?workbook=14_13.xlsx&amp;sheet=U0&amp;row=1313&amp;col=6&amp;number=3.9&amp;sourceID=14","3.9")</f>
        <v>3.9</v>
      </c>
      <c r="G1313" s="4" t="str">
        <f>HYPERLINK("http://141.218.60.56/~jnz1568/getInfo.php?workbook=14_13.xlsx&amp;sheet=U0&amp;row=1313&amp;col=7&amp;number=0.425&amp;sourceID=14","0.425")</f>
        <v>0.425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HYPERLINK("http://141.218.60.56/~jnz1568/getInfo.php?workbook=14_13.xlsx&amp;sheet=U0&amp;row=1314&amp;col=6&amp;number=4&amp;sourceID=14","4")</f>
        <v>4</v>
      </c>
      <c r="G1314" s="4" t="str">
        <f>HYPERLINK("http://141.218.60.56/~jnz1568/getInfo.php?workbook=14_13.xlsx&amp;sheet=U0&amp;row=1314&amp;col=7&amp;number=0.42&amp;sourceID=14","0.42")</f>
        <v>0.42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HYPERLINK("http://141.218.60.56/~jnz1568/getInfo.php?workbook=14_13.xlsx&amp;sheet=U0&amp;row=1315&amp;col=6&amp;number=4.1&amp;sourceID=14","4.1")</f>
        <v>4.1</v>
      </c>
      <c r="G1315" s="4" t="str">
        <f>HYPERLINK("http://141.218.60.56/~jnz1568/getInfo.php?workbook=14_13.xlsx&amp;sheet=U0&amp;row=1315&amp;col=7&amp;number=0.414&amp;sourceID=14","0.414")</f>
        <v>0.414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HYPERLINK("http://141.218.60.56/~jnz1568/getInfo.php?workbook=14_13.xlsx&amp;sheet=U0&amp;row=1316&amp;col=6&amp;number=4.2&amp;sourceID=14","4.2")</f>
        <v>4.2</v>
      </c>
      <c r="G1316" s="4" t="str">
        <f>HYPERLINK("http://141.218.60.56/~jnz1568/getInfo.php?workbook=14_13.xlsx&amp;sheet=U0&amp;row=1316&amp;col=7&amp;number=0.406&amp;sourceID=14","0.406")</f>
        <v>0.406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HYPERLINK("http://141.218.60.56/~jnz1568/getInfo.php?workbook=14_13.xlsx&amp;sheet=U0&amp;row=1317&amp;col=6&amp;number=4.3&amp;sourceID=14","4.3")</f>
        <v>4.3</v>
      </c>
      <c r="G1317" s="4" t="str">
        <f>HYPERLINK("http://141.218.60.56/~jnz1568/getInfo.php?workbook=14_13.xlsx&amp;sheet=U0&amp;row=1317&amp;col=7&amp;number=0.396&amp;sourceID=14","0.396")</f>
        <v>0.396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HYPERLINK("http://141.218.60.56/~jnz1568/getInfo.php?workbook=14_13.xlsx&amp;sheet=U0&amp;row=1318&amp;col=6&amp;number=4.4&amp;sourceID=14","4.4")</f>
        <v>4.4</v>
      </c>
      <c r="G1318" s="4" t="str">
        <f>HYPERLINK("http://141.218.60.56/~jnz1568/getInfo.php?workbook=14_13.xlsx&amp;sheet=U0&amp;row=1318&amp;col=7&amp;number=0.384&amp;sourceID=14","0.384")</f>
        <v>0.384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HYPERLINK("http://141.218.60.56/~jnz1568/getInfo.php?workbook=14_13.xlsx&amp;sheet=U0&amp;row=1319&amp;col=6&amp;number=4.5&amp;sourceID=14","4.5")</f>
        <v>4.5</v>
      </c>
      <c r="G1319" s="4" t="str">
        <f>HYPERLINK("http://141.218.60.56/~jnz1568/getInfo.php?workbook=14_13.xlsx&amp;sheet=U0&amp;row=1319&amp;col=7&amp;number=0.369&amp;sourceID=14","0.369")</f>
        <v>0.369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HYPERLINK("http://141.218.60.56/~jnz1568/getInfo.php?workbook=14_13.xlsx&amp;sheet=U0&amp;row=1320&amp;col=6&amp;number=4.6&amp;sourceID=14","4.6")</f>
        <v>4.6</v>
      </c>
      <c r="G1320" s="4" t="str">
        <f>HYPERLINK("http://141.218.60.56/~jnz1568/getInfo.php?workbook=14_13.xlsx&amp;sheet=U0&amp;row=1320&amp;col=7&amp;number=0.351&amp;sourceID=14","0.351")</f>
        <v>0.351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HYPERLINK("http://141.218.60.56/~jnz1568/getInfo.php?workbook=14_13.xlsx&amp;sheet=U0&amp;row=1321&amp;col=6&amp;number=4.7&amp;sourceID=14","4.7")</f>
        <v>4.7</v>
      </c>
      <c r="G1321" s="4" t="str">
        <f>HYPERLINK("http://141.218.60.56/~jnz1568/getInfo.php?workbook=14_13.xlsx&amp;sheet=U0&amp;row=1321&amp;col=7&amp;number=0.331&amp;sourceID=14","0.331")</f>
        <v>0.331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HYPERLINK("http://141.218.60.56/~jnz1568/getInfo.php?workbook=14_13.xlsx&amp;sheet=U0&amp;row=1322&amp;col=6&amp;number=4.8&amp;sourceID=14","4.8")</f>
        <v>4.8</v>
      </c>
      <c r="G1322" s="4" t="str">
        <f>HYPERLINK("http://141.218.60.56/~jnz1568/getInfo.php?workbook=14_13.xlsx&amp;sheet=U0&amp;row=1322&amp;col=7&amp;number=0.308&amp;sourceID=14","0.308")</f>
        <v>0.308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HYPERLINK("http://141.218.60.56/~jnz1568/getInfo.php?workbook=14_13.xlsx&amp;sheet=U0&amp;row=1323&amp;col=6&amp;number=4.9&amp;sourceID=14","4.9")</f>
        <v>4.9</v>
      </c>
      <c r="G1323" s="4" t="str">
        <f>HYPERLINK("http://141.218.60.56/~jnz1568/getInfo.php?workbook=14_13.xlsx&amp;sheet=U0&amp;row=1323&amp;col=7&amp;number=0.284&amp;sourceID=14","0.284")</f>
        <v>0.284</v>
      </c>
    </row>
    <row r="1324" spans="1:7">
      <c r="A1324" s="3">
        <v>14</v>
      </c>
      <c r="B1324" s="3">
        <v>13</v>
      </c>
      <c r="C1324" s="3">
        <v>3</v>
      </c>
      <c r="D1324" s="3">
        <v>15</v>
      </c>
      <c r="E1324" s="3">
        <v>1</v>
      </c>
      <c r="F1324" s="4" t="str">
        <f>HYPERLINK("http://141.218.60.56/~jnz1568/getInfo.php?workbook=14_13.xlsx&amp;sheet=U0&amp;row=1324&amp;col=6&amp;number=3&amp;sourceID=14","3")</f>
        <v>3</v>
      </c>
      <c r="G1324" s="4" t="str">
        <f>HYPERLINK("http://141.218.60.56/~jnz1568/getInfo.php?workbook=14_13.xlsx&amp;sheet=U0&amp;row=1324&amp;col=7&amp;number=0.681&amp;sourceID=14","0.681")</f>
        <v>0.681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HYPERLINK("http://141.218.60.56/~jnz1568/getInfo.php?workbook=14_13.xlsx&amp;sheet=U0&amp;row=1325&amp;col=6&amp;number=3.1&amp;sourceID=14","3.1")</f>
        <v>3.1</v>
      </c>
      <c r="G1325" s="4" t="str">
        <f>HYPERLINK("http://141.218.60.56/~jnz1568/getInfo.php?workbook=14_13.xlsx&amp;sheet=U0&amp;row=1325&amp;col=7&amp;number=0.681&amp;sourceID=14","0.681")</f>
        <v>0.681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HYPERLINK("http://141.218.60.56/~jnz1568/getInfo.php?workbook=14_13.xlsx&amp;sheet=U0&amp;row=1326&amp;col=6&amp;number=3.2&amp;sourceID=14","3.2")</f>
        <v>3.2</v>
      </c>
      <c r="G1326" s="4" t="str">
        <f>HYPERLINK("http://141.218.60.56/~jnz1568/getInfo.php?workbook=14_13.xlsx&amp;sheet=U0&amp;row=1326&amp;col=7&amp;number=0.681&amp;sourceID=14","0.681")</f>
        <v>0.681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HYPERLINK("http://141.218.60.56/~jnz1568/getInfo.php?workbook=14_13.xlsx&amp;sheet=U0&amp;row=1327&amp;col=6&amp;number=3.3&amp;sourceID=14","3.3")</f>
        <v>3.3</v>
      </c>
      <c r="G1327" s="4" t="str">
        <f>HYPERLINK("http://141.218.60.56/~jnz1568/getInfo.php?workbook=14_13.xlsx&amp;sheet=U0&amp;row=1327&amp;col=7&amp;number=0.681&amp;sourceID=14","0.681")</f>
        <v>0.681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HYPERLINK("http://141.218.60.56/~jnz1568/getInfo.php?workbook=14_13.xlsx&amp;sheet=U0&amp;row=1328&amp;col=6&amp;number=3.4&amp;sourceID=14","3.4")</f>
        <v>3.4</v>
      </c>
      <c r="G1328" s="4" t="str">
        <f>HYPERLINK("http://141.218.60.56/~jnz1568/getInfo.php?workbook=14_13.xlsx&amp;sheet=U0&amp;row=1328&amp;col=7&amp;number=0.681&amp;sourceID=14","0.681")</f>
        <v>0.681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HYPERLINK("http://141.218.60.56/~jnz1568/getInfo.php?workbook=14_13.xlsx&amp;sheet=U0&amp;row=1329&amp;col=6&amp;number=3.5&amp;sourceID=14","3.5")</f>
        <v>3.5</v>
      </c>
      <c r="G1329" s="4" t="str">
        <f>HYPERLINK("http://141.218.60.56/~jnz1568/getInfo.php?workbook=14_13.xlsx&amp;sheet=U0&amp;row=1329&amp;col=7&amp;number=0.681&amp;sourceID=14","0.681")</f>
        <v>0.681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HYPERLINK("http://141.218.60.56/~jnz1568/getInfo.php?workbook=14_13.xlsx&amp;sheet=U0&amp;row=1330&amp;col=6&amp;number=3.6&amp;sourceID=14","3.6")</f>
        <v>3.6</v>
      </c>
      <c r="G1330" s="4" t="str">
        <f>HYPERLINK("http://141.218.60.56/~jnz1568/getInfo.php?workbook=14_13.xlsx&amp;sheet=U0&amp;row=1330&amp;col=7&amp;number=0.68&amp;sourceID=14","0.68")</f>
        <v>0.68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HYPERLINK("http://141.218.60.56/~jnz1568/getInfo.php?workbook=14_13.xlsx&amp;sheet=U0&amp;row=1331&amp;col=6&amp;number=3.7&amp;sourceID=14","3.7")</f>
        <v>3.7</v>
      </c>
      <c r="G1331" s="4" t="str">
        <f>HYPERLINK("http://141.218.60.56/~jnz1568/getInfo.php?workbook=14_13.xlsx&amp;sheet=U0&amp;row=1331&amp;col=7&amp;number=0.678&amp;sourceID=14","0.678")</f>
        <v>0.678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HYPERLINK("http://141.218.60.56/~jnz1568/getInfo.php?workbook=14_13.xlsx&amp;sheet=U0&amp;row=1332&amp;col=6&amp;number=3.8&amp;sourceID=14","3.8")</f>
        <v>3.8</v>
      </c>
      <c r="G1332" s="4" t="str">
        <f>HYPERLINK("http://141.218.60.56/~jnz1568/getInfo.php?workbook=14_13.xlsx&amp;sheet=U0&amp;row=1332&amp;col=7&amp;number=0.675&amp;sourceID=14","0.675")</f>
        <v>0.675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HYPERLINK("http://141.218.60.56/~jnz1568/getInfo.php?workbook=14_13.xlsx&amp;sheet=U0&amp;row=1333&amp;col=6&amp;number=3.9&amp;sourceID=14","3.9")</f>
        <v>3.9</v>
      </c>
      <c r="G1333" s="4" t="str">
        <f>HYPERLINK("http://141.218.60.56/~jnz1568/getInfo.php?workbook=14_13.xlsx&amp;sheet=U0&amp;row=1333&amp;col=7&amp;number=0.671&amp;sourceID=14","0.671")</f>
        <v>0.671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HYPERLINK("http://141.218.60.56/~jnz1568/getInfo.php?workbook=14_13.xlsx&amp;sheet=U0&amp;row=1334&amp;col=6&amp;number=4&amp;sourceID=14","4")</f>
        <v>4</v>
      </c>
      <c r="G1334" s="4" t="str">
        <f>HYPERLINK("http://141.218.60.56/~jnz1568/getInfo.php?workbook=14_13.xlsx&amp;sheet=U0&amp;row=1334&amp;col=7&amp;number=0.665&amp;sourceID=14","0.665")</f>
        <v>0.665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HYPERLINK("http://141.218.60.56/~jnz1568/getInfo.php?workbook=14_13.xlsx&amp;sheet=U0&amp;row=1335&amp;col=6&amp;number=4.1&amp;sourceID=14","4.1")</f>
        <v>4.1</v>
      </c>
      <c r="G1335" s="4" t="str">
        <f>HYPERLINK("http://141.218.60.56/~jnz1568/getInfo.php?workbook=14_13.xlsx&amp;sheet=U0&amp;row=1335&amp;col=7&amp;number=0.656&amp;sourceID=14","0.656")</f>
        <v>0.656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HYPERLINK("http://141.218.60.56/~jnz1568/getInfo.php?workbook=14_13.xlsx&amp;sheet=U0&amp;row=1336&amp;col=6&amp;number=4.2&amp;sourceID=14","4.2")</f>
        <v>4.2</v>
      </c>
      <c r="G1336" s="4" t="str">
        <f>HYPERLINK("http://141.218.60.56/~jnz1568/getInfo.php?workbook=14_13.xlsx&amp;sheet=U0&amp;row=1336&amp;col=7&amp;number=0.644&amp;sourceID=14","0.644")</f>
        <v>0.644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HYPERLINK("http://141.218.60.56/~jnz1568/getInfo.php?workbook=14_13.xlsx&amp;sheet=U0&amp;row=1337&amp;col=6&amp;number=4.3&amp;sourceID=14","4.3")</f>
        <v>4.3</v>
      </c>
      <c r="G1337" s="4" t="str">
        <f>HYPERLINK("http://141.218.60.56/~jnz1568/getInfo.php?workbook=14_13.xlsx&amp;sheet=U0&amp;row=1337&amp;col=7&amp;number=0.627&amp;sourceID=14","0.627")</f>
        <v>0.627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HYPERLINK("http://141.218.60.56/~jnz1568/getInfo.php?workbook=14_13.xlsx&amp;sheet=U0&amp;row=1338&amp;col=6&amp;number=4.4&amp;sourceID=14","4.4")</f>
        <v>4.4</v>
      </c>
      <c r="G1338" s="4" t="str">
        <f>HYPERLINK("http://141.218.60.56/~jnz1568/getInfo.php?workbook=14_13.xlsx&amp;sheet=U0&amp;row=1338&amp;col=7&amp;number=0.605&amp;sourceID=14","0.605")</f>
        <v>0.605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HYPERLINK("http://141.218.60.56/~jnz1568/getInfo.php?workbook=14_13.xlsx&amp;sheet=U0&amp;row=1339&amp;col=6&amp;number=4.5&amp;sourceID=14","4.5")</f>
        <v>4.5</v>
      </c>
      <c r="G1339" s="4" t="str">
        <f>HYPERLINK("http://141.218.60.56/~jnz1568/getInfo.php?workbook=14_13.xlsx&amp;sheet=U0&amp;row=1339&amp;col=7&amp;number=0.577&amp;sourceID=14","0.577")</f>
        <v>0.577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HYPERLINK("http://141.218.60.56/~jnz1568/getInfo.php?workbook=14_13.xlsx&amp;sheet=U0&amp;row=1340&amp;col=6&amp;number=4.6&amp;sourceID=14","4.6")</f>
        <v>4.6</v>
      </c>
      <c r="G1340" s="4" t="str">
        <f>HYPERLINK("http://141.218.60.56/~jnz1568/getInfo.php?workbook=14_13.xlsx&amp;sheet=U0&amp;row=1340&amp;col=7&amp;number=0.544&amp;sourceID=14","0.544")</f>
        <v>0.544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HYPERLINK("http://141.218.60.56/~jnz1568/getInfo.php?workbook=14_13.xlsx&amp;sheet=U0&amp;row=1341&amp;col=6&amp;number=4.7&amp;sourceID=14","4.7")</f>
        <v>4.7</v>
      </c>
      <c r="G1341" s="4" t="str">
        <f>HYPERLINK("http://141.218.60.56/~jnz1568/getInfo.php?workbook=14_13.xlsx&amp;sheet=U0&amp;row=1341&amp;col=7&amp;number=0.507&amp;sourceID=14","0.507")</f>
        <v>0.507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HYPERLINK("http://141.218.60.56/~jnz1568/getInfo.php?workbook=14_13.xlsx&amp;sheet=U0&amp;row=1342&amp;col=6&amp;number=4.8&amp;sourceID=14","4.8")</f>
        <v>4.8</v>
      </c>
      <c r="G1342" s="4" t="str">
        <f>HYPERLINK("http://141.218.60.56/~jnz1568/getInfo.php?workbook=14_13.xlsx&amp;sheet=U0&amp;row=1342&amp;col=7&amp;number=0.467&amp;sourceID=14","0.467")</f>
        <v>0.467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HYPERLINK("http://141.218.60.56/~jnz1568/getInfo.php?workbook=14_13.xlsx&amp;sheet=U0&amp;row=1343&amp;col=6&amp;number=4.9&amp;sourceID=14","4.9")</f>
        <v>4.9</v>
      </c>
      <c r="G1343" s="4" t="str">
        <f>HYPERLINK("http://141.218.60.56/~jnz1568/getInfo.php?workbook=14_13.xlsx&amp;sheet=U0&amp;row=1343&amp;col=7&amp;number=0.425&amp;sourceID=14","0.425")</f>
        <v>0.425</v>
      </c>
    </row>
    <row r="1344" spans="1:7">
      <c r="A1344" s="3">
        <v>14</v>
      </c>
      <c r="B1344" s="3">
        <v>13</v>
      </c>
      <c r="C1344" s="3">
        <v>3</v>
      </c>
      <c r="D1344" s="3">
        <v>16</v>
      </c>
      <c r="E1344" s="3">
        <v>1</v>
      </c>
      <c r="F1344" s="4" t="str">
        <f>HYPERLINK("http://141.218.60.56/~jnz1568/getInfo.php?workbook=14_13.xlsx&amp;sheet=U0&amp;row=1344&amp;col=6&amp;number=3&amp;sourceID=14","3")</f>
        <v>3</v>
      </c>
      <c r="G1344" s="4" t="str">
        <f>HYPERLINK("http://141.218.60.56/~jnz1568/getInfo.php?workbook=14_13.xlsx&amp;sheet=U0&amp;row=1344&amp;col=7&amp;number=0.00583&amp;sourceID=14","0.00583")</f>
        <v>0.00583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HYPERLINK("http://141.218.60.56/~jnz1568/getInfo.php?workbook=14_13.xlsx&amp;sheet=U0&amp;row=1345&amp;col=6&amp;number=3.1&amp;sourceID=14","3.1")</f>
        <v>3.1</v>
      </c>
      <c r="G1345" s="4" t="str">
        <f>HYPERLINK("http://141.218.60.56/~jnz1568/getInfo.php?workbook=14_13.xlsx&amp;sheet=U0&amp;row=1345&amp;col=7&amp;number=0.00589&amp;sourceID=14","0.00589")</f>
        <v>0.00589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HYPERLINK("http://141.218.60.56/~jnz1568/getInfo.php?workbook=14_13.xlsx&amp;sheet=U0&amp;row=1346&amp;col=6&amp;number=3.2&amp;sourceID=14","3.2")</f>
        <v>3.2</v>
      </c>
      <c r="G1346" s="4" t="str">
        <f>HYPERLINK("http://141.218.60.56/~jnz1568/getInfo.php?workbook=14_13.xlsx&amp;sheet=U0&amp;row=1346&amp;col=7&amp;number=0.00595&amp;sourceID=14","0.00595")</f>
        <v>0.00595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HYPERLINK("http://141.218.60.56/~jnz1568/getInfo.php?workbook=14_13.xlsx&amp;sheet=U0&amp;row=1347&amp;col=6&amp;number=3.3&amp;sourceID=14","3.3")</f>
        <v>3.3</v>
      </c>
      <c r="G1347" s="4" t="str">
        <f>HYPERLINK("http://141.218.60.56/~jnz1568/getInfo.php?workbook=14_13.xlsx&amp;sheet=U0&amp;row=1347&amp;col=7&amp;number=0.00601&amp;sourceID=14","0.00601")</f>
        <v>0.00601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HYPERLINK("http://141.218.60.56/~jnz1568/getInfo.php?workbook=14_13.xlsx&amp;sheet=U0&amp;row=1348&amp;col=6&amp;number=3.4&amp;sourceID=14","3.4")</f>
        <v>3.4</v>
      </c>
      <c r="G1348" s="4" t="str">
        <f>HYPERLINK("http://141.218.60.56/~jnz1568/getInfo.php?workbook=14_13.xlsx&amp;sheet=U0&amp;row=1348&amp;col=7&amp;number=0.00606&amp;sourceID=14","0.00606")</f>
        <v>0.00606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HYPERLINK("http://141.218.60.56/~jnz1568/getInfo.php?workbook=14_13.xlsx&amp;sheet=U0&amp;row=1349&amp;col=6&amp;number=3.5&amp;sourceID=14","3.5")</f>
        <v>3.5</v>
      </c>
      <c r="G1349" s="4" t="str">
        <f>HYPERLINK("http://141.218.60.56/~jnz1568/getInfo.php?workbook=14_13.xlsx&amp;sheet=U0&amp;row=1349&amp;col=7&amp;number=0.00608&amp;sourceID=14","0.00608")</f>
        <v>0.00608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HYPERLINK("http://141.218.60.56/~jnz1568/getInfo.php?workbook=14_13.xlsx&amp;sheet=U0&amp;row=1350&amp;col=6&amp;number=3.6&amp;sourceID=14","3.6")</f>
        <v>3.6</v>
      </c>
      <c r="G1350" s="4" t="str">
        <f>HYPERLINK("http://141.218.60.56/~jnz1568/getInfo.php?workbook=14_13.xlsx&amp;sheet=U0&amp;row=1350&amp;col=7&amp;number=0.00603&amp;sourceID=14","0.00603")</f>
        <v>0.00603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HYPERLINK("http://141.218.60.56/~jnz1568/getInfo.php?workbook=14_13.xlsx&amp;sheet=U0&amp;row=1351&amp;col=6&amp;number=3.7&amp;sourceID=14","3.7")</f>
        <v>3.7</v>
      </c>
      <c r="G1351" s="4" t="str">
        <f>HYPERLINK("http://141.218.60.56/~jnz1568/getInfo.php?workbook=14_13.xlsx&amp;sheet=U0&amp;row=1351&amp;col=7&amp;number=0.00588&amp;sourceID=14","0.00588")</f>
        <v>0.00588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HYPERLINK("http://141.218.60.56/~jnz1568/getInfo.php?workbook=14_13.xlsx&amp;sheet=U0&amp;row=1352&amp;col=6&amp;number=3.8&amp;sourceID=14","3.8")</f>
        <v>3.8</v>
      </c>
      <c r="G1352" s="4" t="str">
        <f>HYPERLINK("http://141.218.60.56/~jnz1568/getInfo.php?workbook=14_13.xlsx&amp;sheet=U0&amp;row=1352&amp;col=7&amp;number=0.00562&amp;sourceID=14","0.00562")</f>
        <v>0.00562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HYPERLINK("http://141.218.60.56/~jnz1568/getInfo.php?workbook=14_13.xlsx&amp;sheet=U0&amp;row=1353&amp;col=6&amp;number=3.9&amp;sourceID=14","3.9")</f>
        <v>3.9</v>
      </c>
      <c r="G1353" s="4" t="str">
        <f>HYPERLINK("http://141.218.60.56/~jnz1568/getInfo.php?workbook=14_13.xlsx&amp;sheet=U0&amp;row=1353&amp;col=7&amp;number=0.00531&amp;sourceID=14","0.00531")</f>
        <v>0.00531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HYPERLINK("http://141.218.60.56/~jnz1568/getInfo.php?workbook=14_13.xlsx&amp;sheet=U0&amp;row=1354&amp;col=6&amp;number=4&amp;sourceID=14","4")</f>
        <v>4</v>
      </c>
      <c r="G1354" s="4" t="str">
        <f>HYPERLINK("http://141.218.60.56/~jnz1568/getInfo.php?workbook=14_13.xlsx&amp;sheet=U0&amp;row=1354&amp;col=7&amp;number=0.005&amp;sourceID=14","0.005")</f>
        <v>0.005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HYPERLINK("http://141.218.60.56/~jnz1568/getInfo.php?workbook=14_13.xlsx&amp;sheet=U0&amp;row=1355&amp;col=6&amp;number=4.1&amp;sourceID=14","4.1")</f>
        <v>4.1</v>
      </c>
      <c r="G1355" s="4" t="str">
        <f>HYPERLINK("http://141.218.60.56/~jnz1568/getInfo.php?workbook=14_13.xlsx&amp;sheet=U0&amp;row=1355&amp;col=7&amp;number=0.00472&amp;sourceID=14","0.00472")</f>
        <v>0.00472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HYPERLINK("http://141.218.60.56/~jnz1568/getInfo.php?workbook=14_13.xlsx&amp;sheet=U0&amp;row=1356&amp;col=6&amp;number=4.2&amp;sourceID=14","4.2")</f>
        <v>4.2</v>
      </c>
      <c r="G1356" s="4" t="str">
        <f>HYPERLINK("http://141.218.60.56/~jnz1568/getInfo.php?workbook=14_13.xlsx&amp;sheet=U0&amp;row=1356&amp;col=7&amp;number=0.00447&amp;sourceID=14","0.00447")</f>
        <v>0.00447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HYPERLINK("http://141.218.60.56/~jnz1568/getInfo.php?workbook=14_13.xlsx&amp;sheet=U0&amp;row=1357&amp;col=6&amp;number=4.3&amp;sourceID=14","4.3")</f>
        <v>4.3</v>
      </c>
      <c r="G1357" s="4" t="str">
        <f>HYPERLINK("http://141.218.60.56/~jnz1568/getInfo.php?workbook=14_13.xlsx&amp;sheet=U0&amp;row=1357&amp;col=7&amp;number=0.00425&amp;sourceID=14","0.00425")</f>
        <v>0.00425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HYPERLINK("http://141.218.60.56/~jnz1568/getInfo.php?workbook=14_13.xlsx&amp;sheet=U0&amp;row=1358&amp;col=6&amp;number=4.4&amp;sourceID=14","4.4")</f>
        <v>4.4</v>
      </c>
      <c r="G1358" s="4" t="str">
        <f>HYPERLINK("http://141.218.60.56/~jnz1568/getInfo.php?workbook=14_13.xlsx&amp;sheet=U0&amp;row=1358&amp;col=7&amp;number=0.00408&amp;sourceID=14","0.00408")</f>
        <v>0.00408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HYPERLINK("http://141.218.60.56/~jnz1568/getInfo.php?workbook=14_13.xlsx&amp;sheet=U0&amp;row=1359&amp;col=6&amp;number=4.5&amp;sourceID=14","4.5")</f>
        <v>4.5</v>
      </c>
      <c r="G1359" s="4" t="str">
        <f>HYPERLINK("http://141.218.60.56/~jnz1568/getInfo.php?workbook=14_13.xlsx&amp;sheet=U0&amp;row=1359&amp;col=7&amp;number=0.00395&amp;sourceID=14","0.00395")</f>
        <v>0.00395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HYPERLINK("http://141.218.60.56/~jnz1568/getInfo.php?workbook=14_13.xlsx&amp;sheet=U0&amp;row=1360&amp;col=6&amp;number=4.6&amp;sourceID=14","4.6")</f>
        <v>4.6</v>
      </c>
      <c r="G1360" s="4" t="str">
        <f>HYPERLINK("http://141.218.60.56/~jnz1568/getInfo.php?workbook=14_13.xlsx&amp;sheet=U0&amp;row=1360&amp;col=7&amp;number=0.00384&amp;sourceID=14","0.00384")</f>
        <v>0.00384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HYPERLINK("http://141.218.60.56/~jnz1568/getInfo.php?workbook=14_13.xlsx&amp;sheet=U0&amp;row=1361&amp;col=6&amp;number=4.7&amp;sourceID=14","4.7")</f>
        <v>4.7</v>
      </c>
      <c r="G1361" s="4" t="str">
        <f>HYPERLINK("http://141.218.60.56/~jnz1568/getInfo.php?workbook=14_13.xlsx&amp;sheet=U0&amp;row=1361&amp;col=7&amp;number=0.00373&amp;sourceID=14","0.00373")</f>
        <v>0.00373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HYPERLINK("http://141.218.60.56/~jnz1568/getInfo.php?workbook=14_13.xlsx&amp;sheet=U0&amp;row=1362&amp;col=6&amp;number=4.8&amp;sourceID=14","4.8")</f>
        <v>4.8</v>
      </c>
      <c r="G1362" s="4" t="str">
        <f>HYPERLINK("http://141.218.60.56/~jnz1568/getInfo.php?workbook=14_13.xlsx&amp;sheet=U0&amp;row=1362&amp;col=7&amp;number=0.0036&amp;sourceID=14","0.0036")</f>
        <v>0.0036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HYPERLINK("http://141.218.60.56/~jnz1568/getInfo.php?workbook=14_13.xlsx&amp;sheet=U0&amp;row=1363&amp;col=6&amp;number=4.9&amp;sourceID=14","4.9")</f>
        <v>4.9</v>
      </c>
      <c r="G1363" s="4" t="str">
        <f>HYPERLINK("http://141.218.60.56/~jnz1568/getInfo.php?workbook=14_13.xlsx&amp;sheet=U0&amp;row=1363&amp;col=7&amp;number=0.00344&amp;sourceID=14","0.00344")</f>
        <v>0.00344</v>
      </c>
    </row>
    <row r="1364" spans="1:7">
      <c r="A1364" s="3">
        <v>14</v>
      </c>
      <c r="B1364" s="3">
        <v>13</v>
      </c>
      <c r="C1364" s="3">
        <v>3</v>
      </c>
      <c r="D1364" s="3">
        <v>17</v>
      </c>
      <c r="E1364" s="3">
        <v>1</v>
      </c>
      <c r="F1364" s="4" t="str">
        <f>HYPERLINK("http://141.218.60.56/~jnz1568/getInfo.php?workbook=14_13.xlsx&amp;sheet=U0&amp;row=1364&amp;col=6&amp;number=3&amp;sourceID=14","3")</f>
        <v>3</v>
      </c>
      <c r="G1364" s="4" t="str">
        <f>HYPERLINK("http://141.218.60.56/~jnz1568/getInfo.php?workbook=14_13.xlsx&amp;sheet=U0&amp;row=1364&amp;col=7&amp;number=0.0511&amp;sourceID=14","0.0511")</f>
        <v>0.0511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HYPERLINK("http://141.218.60.56/~jnz1568/getInfo.php?workbook=14_13.xlsx&amp;sheet=U0&amp;row=1365&amp;col=6&amp;number=3.1&amp;sourceID=14","3.1")</f>
        <v>3.1</v>
      </c>
      <c r="G1365" s="4" t="str">
        <f>HYPERLINK("http://141.218.60.56/~jnz1568/getInfo.php?workbook=14_13.xlsx&amp;sheet=U0&amp;row=1365&amp;col=7&amp;number=0.0512&amp;sourceID=14","0.0512")</f>
        <v>0.0512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HYPERLINK("http://141.218.60.56/~jnz1568/getInfo.php?workbook=14_13.xlsx&amp;sheet=U0&amp;row=1366&amp;col=6&amp;number=3.2&amp;sourceID=14","3.2")</f>
        <v>3.2</v>
      </c>
      <c r="G1366" s="4" t="str">
        <f>HYPERLINK("http://141.218.60.56/~jnz1568/getInfo.php?workbook=14_13.xlsx&amp;sheet=U0&amp;row=1366&amp;col=7&amp;number=0.0512&amp;sourceID=14","0.0512")</f>
        <v>0.0512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HYPERLINK("http://141.218.60.56/~jnz1568/getInfo.php?workbook=14_13.xlsx&amp;sheet=U0&amp;row=1367&amp;col=6&amp;number=3.3&amp;sourceID=14","3.3")</f>
        <v>3.3</v>
      </c>
      <c r="G1367" s="4" t="str">
        <f>HYPERLINK("http://141.218.60.56/~jnz1568/getInfo.php?workbook=14_13.xlsx&amp;sheet=U0&amp;row=1367&amp;col=7&amp;number=0.0512&amp;sourceID=14","0.0512")</f>
        <v>0.0512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HYPERLINK("http://141.218.60.56/~jnz1568/getInfo.php?workbook=14_13.xlsx&amp;sheet=U0&amp;row=1368&amp;col=6&amp;number=3.4&amp;sourceID=14","3.4")</f>
        <v>3.4</v>
      </c>
      <c r="G1368" s="4" t="str">
        <f>HYPERLINK("http://141.218.60.56/~jnz1568/getInfo.php?workbook=14_13.xlsx&amp;sheet=U0&amp;row=1368&amp;col=7&amp;number=0.0511&amp;sourceID=14","0.0511")</f>
        <v>0.0511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HYPERLINK("http://141.218.60.56/~jnz1568/getInfo.php?workbook=14_13.xlsx&amp;sheet=U0&amp;row=1369&amp;col=6&amp;number=3.5&amp;sourceID=14","3.5")</f>
        <v>3.5</v>
      </c>
      <c r="G1369" s="4" t="str">
        <f>HYPERLINK("http://141.218.60.56/~jnz1568/getInfo.php?workbook=14_13.xlsx&amp;sheet=U0&amp;row=1369&amp;col=7&amp;number=0.0509&amp;sourceID=14","0.0509")</f>
        <v>0.0509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HYPERLINK("http://141.218.60.56/~jnz1568/getInfo.php?workbook=14_13.xlsx&amp;sheet=U0&amp;row=1370&amp;col=6&amp;number=3.6&amp;sourceID=14","3.6")</f>
        <v>3.6</v>
      </c>
      <c r="G1370" s="4" t="str">
        <f>HYPERLINK("http://141.218.60.56/~jnz1568/getInfo.php?workbook=14_13.xlsx&amp;sheet=U0&amp;row=1370&amp;col=7&amp;number=0.0505&amp;sourceID=14","0.0505")</f>
        <v>0.0505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HYPERLINK("http://141.218.60.56/~jnz1568/getInfo.php?workbook=14_13.xlsx&amp;sheet=U0&amp;row=1371&amp;col=6&amp;number=3.7&amp;sourceID=14","3.7")</f>
        <v>3.7</v>
      </c>
      <c r="G1371" s="4" t="str">
        <f>HYPERLINK("http://141.218.60.56/~jnz1568/getInfo.php?workbook=14_13.xlsx&amp;sheet=U0&amp;row=1371&amp;col=7&amp;number=0.0497&amp;sourceID=14","0.0497")</f>
        <v>0.0497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HYPERLINK("http://141.218.60.56/~jnz1568/getInfo.php?workbook=14_13.xlsx&amp;sheet=U0&amp;row=1372&amp;col=6&amp;number=3.8&amp;sourceID=14","3.8")</f>
        <v>3.8</v>
      </c>
      <c r="G1372" s="4" t="str">
        <f>HYPERLINK("http://141.218.60.56/~jnz1568/getInfo.php?workbook=14_13.xlsx&amp;sheet=U0&amp;row=1372&amp;col=7&amp;number=0.0485&amp;sourceID=14","0.0485")</f>
        <v>0.0485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HYPERLINK("http://141.218.60.56/~jnz1568/getInfo.php?workbook=14_13.xlsx&amp;sheet=U0&amp;row=1373&amp;col=6&amp;number=3.9&amp;sourceID=14","3.9")</f>
        <v>3.9</v>
      </c>
      <c r="G1373" s="4" t="str">
        <f>HYPERLINK("http://141.218.60.56/~jnz1568/getInfo.php?workbook=14_13.xlsx&amp;sheet=U0&amp;row=1373&amp;col=7&amp;number=0.0468&amp;sourceID=14","0.0468")</f>
        <v>0.0468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HYPERLINK("http://141.218.60.56/~jnz1568/getInfo.php?workbook=14_13.xlsx&amp;sheet=U0&amp;row=1374&amp;col=6&amp;number=4&amp;sourceID=14","4")</f>
        <v>4</v>
      </c>
      <c r="G1374" s="4" t="str">
        <f>HYPERLINK("http://141.218.60.56/~jnz1568/getInfo.php?workbook=14_13.xlsx&amp;sheet=U0&amp;row=1374&amp;col=7&amp;number=0.0448&amp;sourceID=14","0.0448")</f>
        <v>0.0448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HYPERLINK("http://141.218.60.56/~jnz1568/getInfo.php?workbook=14_13.xlsx&amp;sheet=U0&amp;row=1375&amp;col=6&amp;number=4.1&amp;sourceID=14","4.1")</f>
        <v>4.1</v>
      </c>
      <c r="G1375" s="4" t="str">
        <f>HYPERLINK("http://141.218.60.56/~jnz1568/getInfo.php?workbook=14_13.xlsx&amp;sheet=U0&amp;row=1375&amp;col=7&amp;number=0.0427&amp;sourceID=14","0.0427")</f>
        <v>0.0427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HYPERLINK("http://141.218.60.56/~jnz1568/getInfo.php?workbook=14_13.xlsx&amp;sheet=U0&amp;row=1376&amp;col=6&amp;number=4.2&amp;sourceID=14","4.2")</f>
        <v>4.2</v>
      </c>
      <c r="G1376" s="4" t="str">
        <f>HYPERLINK("http://141.218.60.56/~jnz1568/getInfo.php?workbook=14_13.xlsx&amp;sheet=U0&amp;row=1376&amp;col=7&amp;number=0.0406&amp;sourceID=14","0.0406")</f>
        <v>0.0406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HYPERLINK("http://141.218.60.56/~jnz1568/getInfo.php?workbook=14_13.xlsx&amp;sheet=U0&amp;row=1377&amp;col=6&amp;number=4.3&amp;sourceID=14","4.3")</f>
        <v>4.3</v>
      </c>
      <c r="G1377" s="4" t="str">
        <f>HYPERLINK("http://141.218.60.56/~jnz1568/getInfo.php?workbook=14_13.xlsx&amp;sheet=U0&amp;row=1377&amp;col=7&amp;number=0.0386&amp;sourceID=14","0.0386")</f>
        <v>0.0386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HYPERLINK("http://141.218.60.56/~jnz1568/getInfo.php?workbook=14_13.xlsx&amp;sheet=U0&amp;row=1378&amp;col=6&amp;number=4.4&amp;sourceID=14","4.4")</f>
        <v>4.4</v>
      </c>
      <c r="G1378" s="4" t="str">
        <f>HYPERLINK("http://141.218.60.56/~jnz1568/getInfo.php?workbook=14_13.xlsx&amp;sheet=U0&amp;row=1378&amp;col=7&amp;number=0.0366&amp;sourceID=14","0.0366")</f>
        <v>0.0366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HYPERLINK("http://141.218.60.56/~jnz1568/getInfo.php?workbook=14_13.xlsx&amp;sheet=U0&amp;row=1379&amp;col=6&amp;number=4.5&amp;sourceID=14","4.5")</f>
        <v>4.5</v>
      </c>
      <c r="G1379" s="4" t="str">
        <f>HYPERLINK("http://141.218.60.56/~jnz1568/getInfo.php?workbook=14_13.xlsx&amp;sheet=U0&amp;row=1379&amp;col=7&amp;number=0.0348&amp;sourceID=14","0.0348")</f>
        <v>0.0348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HYPERLINK("http://141.218.60.56/~jnz1568/getInfo.php?workbook=14_13.xlsx&amp;sheet=U0&amp;row=1380&amp;col=6&amp;number=4.6&amp;sourceID=14","4.6")</f>
        <v>4.6</v>
      </c>
      <c r="G1380" s="4" t="str">
        <f>HYPERLINK("http://141.218.60.56/~jnz1568/getInfo.php?workbook=14_13.xlsx&amp;sheet=U0&amp;row=1380&amp;col=7&amp;number=0.0331&amp;sourceID=14","0.0331")</f>
        <v>0.0331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HYPERLINK("http://141.218.60.56/~jnz1568/getInfo.php?workbook=14_13.xlsx&amp;sheet=U0&amp;row=1381&amp;col=6&amp;number=4.7&amp;sourceID=14","4.7")</f>
        <v>4.7</v>
      </c>
      <c r="G1381" s="4" t="str">
        <f>HYPERLINK("http://141.218.60.56/~jnz1568/getInfo.php?workbook=14_13.xlsx&amp;sheet=U0&amp;row=1381&amp;col=7&amp;number=0.0316&amp;sourceID=14","0.0316")</f>
        <v>0.0316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HYPERLINK("http://141.218.60.56/~jnz1568/getInfo.php?workbook=14_13.xlsx&amp;sheet=U0&amp;row=1382&amp;col=6&amp;number=4.8&amp;sourceID=14","4.8")</f>
        <v>4.8</v>
      </c>
      <c r="G1382" s="4" t="str">
        <f>HYPERLINK("http://141.218.60.56/~jnz1568/getInfo.php?workbook=14_13.xlsx&amp;sheet=U0&amp;row=1382&amp;col=7&amp;number=0.0301&amp;sourceID=14","0.0301")</f>
        <v>0.0301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HYPERLINK("http://141.218.60.56/~jnz1568/getInfo.php?workbook=14_13.xlsx&amp;sheet=U0&amp;row=1383&amp;col=6&amp;number=4.9&amp;sourceID=14","4.9")</f>
        <v>4.9</v>
      </c>
      <c r="G1383" s="4" t="str">
        <f>HYPERLINK("http://141.218.60.56/~jnz1568/getInfo.php?workbook=14_13.xlsx&amp;sheet=U0&amp;row=1383&amp;col=7&amp;number=0.0285&amp;sourceID=14","0.0285")</f>
        <v>0.0285</v>
      </c>
    </row>
    <row r="1384" spans="1:7">
      <c r="A1384" s="3">
        <v>14</v>
      </c>
      <c r="B1384" s="3">
        <v>13</v>
      </c>
      <c r="C1384" s="3">
        <v>3</v>
      </c>
      <c r="D1384" s="3">
        <v>18</v>
      </c>
      <c r="E1384" s="3">
        <v>1</v>
      </c>
      <c r="F1384" s="4" t="str">
        <f>HYPERLINK("http://141.218.60.56/~jnz1568/getInfo.php?workbook=14_13.xlsx&amp;sheet=U0&amp;row=1384&amp;col=6&amp;number=3&amp;sourceID=14","3")</f>
        <v>3</v>
      </c>
      <c r="G1384" s="4" t="str">
        <f>HYPERLINK("http://141.218.60.56/~jnz1568/getInfo.php?workbook=14_13.xlsx&amp;sheet=U0&amp;row=1384&amp;col=7&amp;number=0.035&amp;sourceID=14","0.035")</f>
        <v>0.035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HYPERLINK("http://141.218.60.56/~jnz1568/getInfo.php?workbook=14_13.xlsx&amp;sheet=U0&amp;row=1385&amp;col=6&amp;number=3.1&amp;sourceID=14","3.1")</f>
        <v>3.1</v>
      </c>
      <c r="G1385" s="4" t="str">
        <f>HYPERLINK("http://141.218.60.56/~jnz1568/getInfo.php?workbook=14_13.xlsx&amp;sheet=U0&amp;row=1385&amp;col=7&amp;number=0.0349&amp;sourceID=14","0.0349")</f>
        <v>0.0349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HYPERLINK("http://141.218.60.56/~jnz1568/getInfo.php?workbook=14_13.xlsx&amp;sheet=U0&amp;row=1386&amp;col=6&amp;number=3.2&amp;sourceID=14","3.2")</f>
        <v>3.2</v>
      </c>
      <c r="G1386" s="4" t="str">
        <f>HYPERLINK("http://141.218.60.56/~jnz1568/getInfo.php?workbook=14_13.xlsx&amp;sheet=U0&amp;row=1386&amp;col=7&amp;number=0.0348&amp;sourceID=14","0.0348")</f>
        <v>0.0348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HYPERLINK("http://141.218.60.56/~jnz1568/getInfo.php?workbook=14_13.xlsx&amp;sheet=U0&amp;row=1387&amp;col=6&amp;number=3.3&amp;sourceID=14","3.3")</f>
        <v>3.3</v>
      </c>
      <c r="G1387" s="4" t="str">
        <f>HYPERLINK("http://141.218.60.56/~jnz1568/getInfo.php?workbook=14_13.xlsx&amp;sheet=U0&amp;row=1387&amp;col=7&amp;number=0.0347&amp;sourceID=14","0.0347")</f>
        <v>0.0347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HYPERLINK("http://141.218.60.56/~jnz1568/getInfo.php?workbook=14_13.xlsx&amp;sheet=U0&amp;row=1388&amp;col=6&amp;number=3.4&amp;sourceID=14","3.4")</f>
        <v>3.4</v>
      </c>
      <c r="G1388" s="4" t="str">
        <f>HYPERLINK("http://141.218.60.56/~jnz1568/getInfo.php?workbook=14_13.xlsx&amp;sheet=U0&amp;row=1388&amp;col=7&amp;number=0.0345&amp;sourceID=14","0.0345")</f>
        <v>0.0345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HYPERLINK("http://141.218.60.56/~jnz1568/getInfo.php?workbook=14_13.xlsx&amp;sheet=U0&amp;row=1389&amp;col=6&amp;number=3.5&amp;sourceID=14","3.5")</f>
        <v>3.5</v>
      </c>
      <c r="G1389" s="4" t="str">
        <f>HYPERLINK("http://141.218.60.56/~jnz1568/getInfo.php?workbook=14_13.xlsx&amp;sheet=U0&amp;row=1389&amp;col=7&amp;number=0.0342&amp;sourceID=14","0.0342")</f>
        <v>0.0342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HYPERLINK("http://141.218.60.56/~jnz1568/getInfo.php?workbook=14_13.xlsx&amp;sheet=U0&amp;row=1390&amp;col=6&amp;number=3.6&amp;sourceID=14","3.6")</f>
        <v>3.6</v>
      </c>
      <c r="G1390" s="4" t="str">
        <f>HYPERLINK("http://141.218.60.56/~jnz1568/getInfo.php?workbook=14_13.xlsx&amp;sheet=U0&amp;row=1390&amp;col=7&amp;number=0.0337&amp;sourceID=14","0.0337")</f>
        <v>0.0337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HYPERLINK("http://141.218.60.56/~jnz1568/getInfo.php?workbook=14_13.xlsx&amp;sheet=U0&amp;row=1391&amp;col=6&amp;number=3.7&amp;sourceID=14","3.7")</f>
        <v>3.7</v>
      </c>
      <c r="G1391" s="4" t="str">
        <f>HYPERLINK("http://141.218.60.56/~jnz1568/getInfo.php?workbook=14_13.xlsx&amp;sheet=U0&amp;row=1391&amp;col=7&amp;number=0.0329&amp;sourceID=14","0.0329")</f>
        <v>0.0329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HYPERLINK("http://141.218.60.56/~jnz1568/getInfo.php?workbook=14_13.xlsx&amp;sheet=U0&amp;row=1392&amp;col=6&amp;number=3.8&amp;sourceID=14","3.8")</f>
        <v>3.8</v>
      </c>
      <c r="G1392" s="4" t="str">
        <f>HYPERLINK("http://141.218.60.56/~jnz1568/getInfo.php?workbook=14_13.xlsx&amp;sheet=U0&amp;row=1392&amp;col=7&amp;number=0.0319&amp;sourceID=14","0.0319")</f>
        <v>0.0319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HYPERLINK("http://141.218.60.56/~jnz1568/getInfo.php?workbook=14_13.xlsx&amp;sheet=U0&amp;row=1393&amp;col=6&amp;number=3.9&amp;sourceID=14","3.9")</f>
        <v>3.9</v>
      </c>
      <c r="G1393" s="4" t="str">
        <f>HYPERLINK("http://141.218.60.56/~jnz1568/getInfo.php?workbook=14_13.xlsx&amp;sheet=U0&amp;row=1393&amp;col=7&amp;number=0.0308&amp;sourceID=14","0.0308")</f>
        <v>0.0308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HYPERLINK("http://141.218.60.56/~jnz1568/getInfo.php?workbook=14_13.xlsx&amp;sheet=U0&amp;row=1394&amp;col=6&amp;number=4&amp;sourceID=14","4")</f>
        <v>4</v>
      </c>
      <c r="G1394" s="4" t="str">
        <f>HYPERLINK("http://141.218.60.56/~jnz1568/getInfo.php?workbook=14_13.xlsx&amp;sheet=U0&amp;row=1394&amp;col=7&amp;number=0.0297&amp;sourceID=14","0.0297")</f>
        <v>0.0297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HYPERLINK("http://141.218.60.56/~jnz1568/getInfo.php?workbook=14_13.xlsx&amp;sheet=U0&amp;row=1395&amp;col=6&amp;number=4.1&amp;sourceID=14","4.1")</f>
        <v>4.1</v>
      </c>
      <c r="G1395" s="4" t="str">
        <f>HYPERLINK("http://141.218.60.56/~jnz1568/getInfo.php?workbook=14_13.xlsx&amp;sheet=U0&amp;row=1395&amp;col=7&amp;number=0.0286&amp;sourceID=14","0.0286")</f>
        <v>0.0286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HYPERLINK("http://141.218.60.56/~jnz1568/getInfo.php?workbook=14_13.xlsx&amp;sheet=U0&amp;row=1396&amp;col=6&amp;number=4.2&amp;sourceID=14","4.2")</f>
        <v>4.2</v>
      </c>
      <c r="G1396" s="4" t="str">
        <f>HYPERLINK("http://141.218.60.56/~jnz1568/getInfo.php?workbook=14_13.xlsx&amp;sheet=U0&amp;row=1396&amp;col=7&amp;number=0.0276&amp;sourceID=14","0.0276")</f>
        <v>0.0276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HYPERLINK("http://141.218.60.56/~jnz1568/getInfo.php?workbook=14_13.xlsx&amp;sheet=U0&amp;row=1397&amp;col=6&amp;number=4.3&amp;sourceID=14","4.3")</f>
        <v>4.3</v>
      </c>
      <c r="G1397" s="4" t="str">
        <f>HYPERLINK("http://141.218.60.56/~jnz1568/getInfo.php?workbook=14_13.xlsx&amp;sheet=U0&amp;row=1397&amp;col=7&amp;number=0.0267&amp;sourceID=14","0.0267")</f>
        <v>0.0267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HYPERLINK("http://141.218.60.56/~jnz1568/getInfo.php?workbook=14_13.xlsx&amp;sheet=U0&amp;row=1398&amp;col=6&amp;number=4.4&amp;sourceID=14","4.4")</f>
        <v>4.4</v>
      </c>
      <c r="G1398" s="4" t="str">
        <f>HYPERLINK("http://141.218.60.56/~jnz1568/getInfo.php?workbook=14_13.xlsx&amp;sheet=U0&amp;row=1398&amp;col=7&amp;number=0.0261&amp;sourceID=14","0.0261")</f>
        <v>0.0261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HYPERLINK("http://141.218.60.56/~jnz1568/getInfo.php?workbook=14_13.xlsx&amp;sheet=U0&amp;row=1399&amp;col=6&amp;number=4.5&amp;sourceID=14","4.5")</f>
        <v>4.5</v>
      </c>
      <c r="G1399" s="4" t="str">
        <f>HYPERLINK("http://141.218.60.56/~jnz1568/getInfo.php?workbook=14_13.xlsx&amp;sheet=U0&amp;row=1399&amp;col=7&amp;number=0.0258&amp;sourceID=14","0.0258")</f>
        <v>0.0258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HYPERLINK("http://141.218.60.56/~jnz1568/getInfo.php?workbook=14_13.xlsx&amp;sheet=U0&amp;row=1400&amp;col=6&amp;number=4.6&amp;sourceID=14","4.6")</f>
        <v>4.6</v>
      </c>
      <c r="G1400" s="4" t="str">
        <f>HYPERLINK("http://141.218.60.56/~jnz1568/getInfo.php?workbook=14_13.xlsx&amp;sheet=U0&amp;row=1400&amp;col=7&amp;number=0.0256&amp;sourceID=14","0.0256")</f>
        <v>0.0256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HYPERLINK("http://141.218.60.56/~jnz1568/getInfo.php?workbook=14_13.xlsx&amp;sheet=U0&amp;row=1401&amp;col=6&amp;number=4.7&amp;sourceID=14","4.7")</f>
        <v>4.7</v>
      </c>
      <c r="G1401" s="4" t="str">
        <f>HYPERLINK("http://141.218.60.56/~jnz1568/getInfo.php?workbook=14_13.xlsx&amp;sheet=U0&amp;row=1401&amp;col=7&amp;number=0.0254&amp;sourceID=14","0.0254")</f>
        <v>0.0254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HYPERLINK("http://141.218.60.56/~jnz1568/getInfo.php?workbook=14_13.xlsx&amp;sheet=U0&amp;row=1402&amp;col=6&amp;number=4.8&amp;sourceID=14","4.8")</f>
        <v>4.8</v>
      </c>
      <c r="G1402" s="4" t="str">
        <f>HYPERLINK("http://141.218.60.56/~jnz1568/getInfo.php?workbook=14_13.xlsx&amp;sheet=U0&amp;row=1402&amp;col=7&amp;number=0.0252&amp;sourceID=14","0.0252")</f>
        <v>0.0252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HYPERLINK("http://141.218.60.56/~jnz1568/getInfo.php?workbook=14_13.xlsx&amp;sheet=U0&amp;row=1403&amp;col=6&amp;number=4.9&amp;sourceID=14","4.9")</f>
        <v>4.9</v>
      </c>
      <c r="G1403" s="4" t="str">
        <f>HYPERLINK("http://141.218.60.56/~jnz1568/getInfo.php?workbook=14_13.xlsx&amp;sheet=U0&amp;row=1403&amp;col=7&amp;number=0.0248&amp;sourceID=14","0.0248")</f>
        <v>0.0248</v>
      </c>
    </row>
    <row r="1404" spans="1:7">
      <c r="A1404" s="3">
        <v>14</v>
      </c>
      <c r="B1404" s="3">
        <v>13</v>
      </c>
      <c r="C1404" s="3">
        <v>3</v>
      </c>
      <c r="D1404" s="3">
        <v>19</v>
      </c>
      <c r="E1404" s="3">
        <v>1</v>
      </c>
      <c r="F1404" s="4" t="str">
        <f>HYPERLINK("http://141.218.60.56/~jnz1568/getInfo.php?workbook=14_13.xlsx&amp;sheet=U0&amp;row=1404&amp;col=6&amp;number=3&amp;sourceID=14","3")</f>
        <v>3</v>
      </c>
      <c r="G1404" s="4" t="str">
        <f>HYPERLINK("http://141.218.60.56/~jnz1568/getInfo.php?workbook=14_13.xlsx&amp;sheet=U0&amp;row=1404&amp;col=7&amp;number=0.0111&amp;sourceID=14","0.0111")</f>
        <v>0.0111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HYPERLINK("http://141.218.60.56/~jnz1568/getInfo.php?workbook=14_13.xlsx&amp;sheet=U0&amp;row=1405&amp;col=6&amp;number=3.1&amp;sourceID=14","3.1")</f>
        <v>3.1</v>
      </c>
      <c r="G1405" s="4" t="str">
        <f>HYPERLINK("http://141.218.60.56/~jnz1568/getInfo.php?workbook=14_13.xlsx&amp;sheet=U0&amp;row=1405&amp;col=7&amp;number=0.0111&amp;sourceID=14","0.0111")</f>
        <v>0.0111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HYPERLINK("http://141.218.60.56/~jnz1568/getInfo.php?workbook=14_13.xlsx&amp;sheet=U0&amp;row=1406&amp;col=6&amp;number=3.2&amp;sourceID=14","3.2")</f>
        <v>3.2</v>
      </c>
      <c r="G1406" s="4" t="str">
        <f>HYPERLINK("http://141.218.60.56/~jnz1568/getInfo.php?workbook=14_13.xlsx&amp;sheet=U0&amp;row=1406&amp;col=7&amp;number=0.0111&amp;sourceID=14","0.0111")</f>
        <v>0.0111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HYPERLINK("http://141.218.60.56/~jnz1568/getInfo.php?workbook=14_13.xlsx&amp;sheet=U0&amp;row=1407&amp;col=6&amp;number=3.3&amp;sourceID=14","3.3")</f>
        <v>3.3</v>
      </c>
      <c r="G1407" s="4" t="str">
        <f>HYPERLINK("http://141.218.60.56/~jnz1568/getInfo.php?workbook=14_13.xlsx&amp;sheet=U0&amp;row=1407&amp;col=7&amp;number=0.011&amp;sourceID=14","0.011")</f>
        <v>0.011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HYPERLINK("http://141.218.60.56/~jnz1568/getInfo.php?workbook=14_13.xlsx&amp;sheet=U0&amp;row=1408&amp;col=6&amp;number=3.4&amp;sourceID=14","3.4")</f>
        <v>3.4</v>
      </c>
      <c r="G1408" s="4" t="str">
        <f>HYPERLINK("http://141.218.60.56/~jnz1568/getInfo.php?workbook=14_13.xlsx&amp;sheet=U0&amp;row=1408&amp;col=7&amp;number=0.011&amp;sourceID=14","0.011")</f>
        <v>0.011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HYPERLINK("http://141.218.60.56/~jnz1568/getInfo.php?workbook=14_13.xlsx&amp;sheet=U0&amp;row=1409&amp;col=6&amp;number=3.5&amp;sourceID=14","3.5")</f>
        <v>3.5</v>
      </c>
      <c r="G1409" s="4" t="str">
        <f>HYPERLINK("http://141.218.60.56/~jnz1568/getInfo.php?workbook=14_13.xlsx&amp;sheet=U0&amp;row=1409&amp;col=7&amp;number=0.0109&amp;sourceID=14","0.0109")</f>
        <v>0.0109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HYPERLINK("http://141.218.60.56/~jnz1568/getInfo.php?workbook=14_13.xlsx&amp;sheet=U0&amp;row=1410&amp;col=6&amp;number=3.6&amp;sourceID=14","3.6")</f>
        <v>3.6</v>
      </c>
      <c r="G1410" s="4" t="str">
        <f>HYPERLINK("http://141.218.60.56/~jnz1568/getInfo.php?workbook=14_13.xlsx&amp;sheet=U0&amp;row=1410&amp;col=7&amp;number=0.0109&amp;sourceID=14","0.0109")</f>
        <v>0.0109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HYPERLINK("http://141.218.60.56/~jnz1568/getInfo.php?workbook=14_13.xlsx&amp;sheet=U0&amp;row=1411&amp;col=6&amp;number=3.7&amp;sourceID=14","3.7")</f>
        <v>3.7</v>
      </c>
      <c r="G1411" s="4" t="str">
        <f>HYPERLINK("http://141.218.60.56/~jnz1568/getInfo.php?workbook=14_13.xlsx&amp;sheet=U0&amp;row=1411&amp;col=7&amp;number=0.0108&amp;sourceID=14","0.0108")</f>
        <v>0.0108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HYPERLINK("http://141.218.60.56/~jnz1568/getInfo.php?workbook=14_13.xlsx&amp;sheet=U0&amp;row=1412&amp;col=6&amp;number=3.8&amp;sourceID=14","3.8")</f>
        <v>3.8</v>
      </c>
      <c r="G1412" s="4" t="str">
        <f>HYPERLINK("http://141.218.60.56/~jnz1568/getInfo.php?workbook=14_13.xlsx&amp;sheet=U0&amp;row=1412&amp;col=7&amp;number=0.0107&amp;sourceID=14","0.0107")</f>
        <v>0.0107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HYPERLINK("http://141.218.60.56/~jnz1568/getInfo.php?workbook=14_13.xlsx&amp;sheet=U0&amp;row=1413&amp;col=6&amp;number=3.9&amp;sourceID=14","3.9")</f>
        <v>3.9</v>
      </c>
      <c r="G1413" s="4" t="str">
        <f>HYPERLINK("http://141.218.60.56/~jnz1568/getInfo.php?workbook=14_13.xlsx&amp;sheet=U0&amp;row=1413&amp;col=7&amp;number=0.0106&amp;sourceID=14","0.0106")</f>
        <v>0.0106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HYPERLINK("http://141.218.60.56/~jnz1568/getInfo.php?workbook=14_13.xlsx&amp;sheet=U0&amp;row=1414&amp;col=6&amp;number=4&amp;sourceID=14","4")</f>
        <v>4</v>
      </c>
      <c r="G1414" s="4" t="str">
        <f>HYPERLINK("http://141.218.60.56/~jnz1568/getInfo.php?workbook=14_13.xlsx&amp;sheet=U0&amp;row=1414&amp;col=7&amp;number=0.0105&amp;sourceID=14","0.0105")</f>
        <v>0.0105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HYPERLINK("http://141.218.60.56/~jnz1568/getInfo.php?workbook=14_13.xlsx&amp;sheet=U0&amp;row=1415&amp;col=6&amp;number=4.1&amp;sourceID=14","4.1")</f>
        <v>4.1</v>
      </c>
      <c r="G1415" s="4" t="str">
        <f>HYPERLINK("http://141.218.60.56/~jnz1568/getInfo.php?workbook=14_13.xlsx&amp;sheet=U0&amp;row=1415&amp;col=7&amp;number=0.0104&amp;sourceID=14","0.0104")</f>
        <v>0.0104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HYPERLINK("http://141.218.60.56/~jnz1568/getInfo.php?workbook=14_13.xlsx&amp;sheet=U0&amp;row=1416&amp;col=6&amp;number=4.2&amp;sourceID=14","4.2")</f>
        <v>4.2</v>
      </c>
      <c r="G1416" s="4" t="str">
        <f>HYPERLINK("http://141.218.60.56/~jnz1568/getInfo.php?workbook=14_13.xlsx&amp;sheet=U0&amp;row=1416&amp;col=7&amp;number=0.0104&amp;sourceID=14","0.0104")</f>
        <v>0.0104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HYPERLINK("http://141.218.60.56/~jnz1568/getInfo.php?workbook=14_13.xlsx&amp;sheet=U0&amp;row=1417&amp;col=6&amp;number=4.3&amp;sourceID=14","4.3")</f>
        <v>4.3</v>
      </c>
      <c r="G1417" s="4" t="str">
        <f>HYPERLINK("http://141.218.60.56/~jnz1568/getInfo.php?workbook=14_13.xlsx&amp;sheet=U0&amp;row=1417&amp;col=7&amp;number=0.0104&amp;sourceID=14","0.0104")</f>
        <v>0.0104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HYPERLINK("http://141.218.60.56/~jnz1568/getInfo.php?workbook=14_13.xlsx&amp;sheet=U0&amp;row=1418&amp;col=6&amp;number=4.4&amp;sourceID=14","4.4")</f>
        <v>4.4</v>
      </c>
      <c r="G1418" s="4" t="str">
        <f>HYPERLINK("http://141.218.60.56/~jnz1568/getInfo.php?workbook=14_13.xlsx&amp;sheet=U0&amp;row=1418&amp;col=7&amp;number=0.0104&amp;sourceID=14","0.0104")</f>
        <v>0.0104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HYPERLINK("http://141.218.60.56/~jnz1568/getInfo.php?workbook=14_13.xlsx&amp;sheet=U0&amp;row=1419&amp;col=6&amp;number=4.5&amp;sourceID=14","4.5")</f>
        <v>4.5</v>
      </c>
      <c r="G1419" s="4" t="str">
        <f>HYPERLINK("http://141.218.60.56/~jnz1568/getInfo.php?workbook=14_13.xlsx&amp;sheet=U0&amp;row=1419&amp;col=7&amp;number=0.0104&amp;sourceID=14","0.0104")</f>
        <v>0.0104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HYPERLINK("http://141.218.60.56/~jnz1568/getInfo.php?workbook=14_13.xlsx&amp;sheet=U0&amp;row=1420&amp;col=6&amp;number=4.6&amp;sourceID=14","4.6")</f>
        <v>4.6</v>
      </c>
      <c r="G1420" s="4" t="str">
        <f>HYPERLINK("http://141.218.60.56/~jnz1568/getInfo.php?workbook=14_13.xlsx&amp;sheet=U0&amp;row=1420&amp;col=7&amp;number=0.0104&amp;sourceID=14","0.0104")</f>
        <v>0.0104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HYPERLINK("http://141.218.60.56/~jnz1568/getInfo.php?workbook=14_13.xlsx&amp;sheet=U0&amp;row=1421&amp;col=6&amp;number=4.7&amp;sourceID=14","4.7")</f>
        <v>4.7</v>
      </c>
      <c r="G1421" s="4" t="str">
        <f>HYPERLINK("http://141.218.60.56/~jnz1568/getInfo.php?workbook=14_13.xlsx&amp;sheet=U0&amp;row=1421&amp;col=7&amp;number=0.0103&amp;sourceID=14","0.0103")</f>
        <v>0.0103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HYPERLINK("http://141.218.60.56/~jnz1568/getInfo.php?workbook=14_13.xlsx&amp;sheet=U0&amp;row=1422&amp;col=6&amp;number=4.8&amp;sourceID=14","4.8")</f>
        <v>4.8</v>
      </c>
      <c r="G1422" s="4" t="str">
        <f>HYPERLINK("http://141.218.60.56/~jnz1568/getInfo.php?workbook=14_13.xlsx&amp;sheet=U0&amp;row=1422&amp;col=7&amp;number=0.0102&amp;sourceID=14","0.0102")</f>
        <v>0.0102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HYPERLINK("http://141.218.60.56/~jnz1568/getInfo.php?workbook=14_13.xlsx&amp;sheet=U0&amp;row=1423&amp;col=6&amp;number=4.9&amp;sourceID=14","4.9")</f>
        <v>4.9</v>
      </c>
      <c r="G1423" s="4" t="str">
        <f>HYPERLINK("http://141.218.60.56/~jnz1568/getInfo.php?workbook=14_13.xlsx&amp;sheet=U0&amp;row=1423&amp;col=7&amp;number=0.00996&amp;sourceID=14","0.00996")</f>
        <v>0.00996</v>
      </c>
    </row>
    <row r="1424" spans="1:7">
      <c r="A1424" s="3">
        <v>14</v>
      </c>
      <c r="B1424" s="3">
        <v>13</v>
      </c>
      <c r="C1424" s="3">
        <v>3</v>
      </c>
      <c r="D1424" s="3">
        <v>20</v>
      </c>
      <c r="E1424" s="3">
        <v>1</v>
      </c>
      <c r="F1424" s="4" t="str">
        <f>HYPERLINK("http://141.218.60.56/~jnz1568/getInfo.php?workbook=14_13.xlsx&amp;sheet=U0&amp;row=1424&amp;col=6&amp;number=3&amp;sourceID=14","3")</f>
        <v>3</v>
      </c>
      <c r="G1424" s="4" t="str">
        <f>HYPERLINK("http://141.218.60.56/~jnz1568/getInfo.php?workbook=14_13.xlsx&amp;sheet=U0&amp;row=1424&amp;col=7&amp;number=0.0104&amp;sourceID=14","0.0104")</f>
        <v>0.0104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HYPERLINK("http://141.218.60.56/~jnz1568/getInfo.php?workbook=14_13.xlsx&amp;sheet=U0&amp;row=1425&amp;col=6&amp;number=3.1&amp;sourceID=14","3.1")</f>
        <v>3.1</v>
      </c>
      <c r="G1425" s="4" t="str">
        <f>HYPERLINK("http://141.218.60.56/~jnz1568/getInfo.php?workbook=14_13.xlsx&amp;sheet=U0&amp;row=1425&amp;col=7&amp;number=0.0106&amp;sourceID=14","0.0106")</f>
        <v>0.0106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HYPERLINK("http://141.218.60.56/~jnz1568/getInfo.php?workbook=14_13.xlsx&amp;sheet=U0&amp;row=1426&amp;col=6&amp;number=3.2&amp;sourceID=14","3.2")</f>
        <v>3.2</v>
      </c>
      <c r="G1426" s="4" t="str">
        <f>HYPERLINK("http://141.218.60.56/~jnz1568/getInfo.php?workbook=14_13.xlsx&amp;sheet=U0&amp;row=1426&amp;col=7&amp;number=0.0108&amp;sourceID=14","0.0108")</f>
        <v>0.0108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HYPERLINK("http://141.218.60.56/~jnz1568/getInfo.php?workbook=14_13.xlsx&amp;sheet=U0&amp;row=1427&amp;col=6&amp;number=3.3&amp;sourceID=14","3.3")</f>
        <v>3.3</v>
      </c>
      <c r="G1427" s="4" t="str">
        <f>HYPERLINK("http://141.218.60.56/~jnz1568/getInfo.php?workbook=14_13.xlsx&amp;sheet=U0&amp;row=1427&amp;col=7&amp;number=0.011&amp;sourceID=14","0.011")</f>
        <v>0.011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HYPERLINK("http://141.218.60.56/~jnz1568/getInfo.php?workbook=14_13.xlsx&amp;sheet=U0&amp;row=1428&amp;col=6&amp;number=3.4&amp;sourceID=14","3.4")</f>
        <v>3.4</v>
      </c>
      <c r="G1428" s="4" t="str">
        <f>HYPERLINK("http://141.218.60.56/~jnz1568/getInfo.php?workbook=14_13.xlsx&amp;sheet=U0&amp;row=1428&amp;col=7&amp;number=0.0112&amp;sourceID=14","0.0112")</f>
        <v>0.0112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HYPERLINK("http://141.218.60.56/~jnz1568/getInfo.php?workbook=14_13.xlsx&amp;sheet=U0&amp;row=1429&amp;col=6&amp;number=3.5&amp;sourceID=14","3.5")</f>
        <v>3.5</v>
      </c>
      <c r="G1429" s="4" t="str">
        <f>HYPERLINK("http://141.218.60.56/~jnz1568/getInfo.php?workbook=14_13.xlsx&amp;sheet=U0&amp;row=1429&amp;col=7&amp;number=0.0114&amp;sourceID=14","0.0114")</f>
        <v>0.0114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HYPERLINK("http://141.218.60.56/~jnz1568/getInfo.php?workbook=14_13.xlsx&amp;sheet=U0&amp;row=1430&amp;col=6&amp;number=3.6&amp;sourceID=14","3.6")</f>
        <v>3.6</v>
      </c>
      <c r="G1430" s="4" t="str">
        <f>HYPERLINK("http://141.218.60.56/~jnz1568/getInfo.php?workbook=14_13.xlsx&amp;sheet=U0&amp;row=1430&amp;col=7&amp;number=0.0115&amp;sourceID=14","0.0115")</f>
        <v>0.0115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HYPERLINK("http://141.218.60.56/~jnz1568/getInfo.php?workbook=14_13.xlsx&amp;sheet=U0&amp;row=1431&amp;col=6&amp;number=3.7&amp;sourceID=14","3.7")</f>
        <v>3.7</v>
      </c>
      <c r="G1431" s="4" t="str">
        <f>HYPERLINK("http://141.218.60.56/~jnz1568/getInfo.php?workbook=14_13.xlsx&amp;sheet=U0&amp;row=1431&amp;col=7&amp;number=0.0115&amp;sourceID=14","0.0115")</f>
        <v>0.0115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HYPERLINK("http://141.218.60.56/~jnz1568/getInfo.php?workbook=14_13.xlsx&amp;sheet=U0&amp;row=1432&amp;col=6&amp;number=3.8&amp;sourceID=14","3.8")</f>
        <v>3.8</v>
      </c>
      <c r="G1432" s="4" t="str">
        <f>HYPERLINK("http://141.218.60.56/~jnz1568/getInfo.php?workbook=14_13.xlsx&amp;sheet=U0&amp;row=1432&amp;col=7&amp;number=0.0113&amp;sourceID=14","0.0113")</f>
        <v>0.0113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HYPERLINK("http://141.218.60.56/~jnz1568/getInfo.php?workbook=14_13.xlsx&amp;sheet=U0&amp;row=1433&amp;col=6&amp;number=3.9&amp;sourceID=14","3.9")</f>
        <v>3.9</v>
      </c>
      <c r="G1433" s="4" t="str">
        <f>HYPERLINK("http://141.218.60.56/~jnz1568/getInfo.php?workbook=14_13.xlsx&amp;sheet=U0&amp;row=1433&amp;col=7&amp;number=0.011&amp;sourceID=14","0.011")</f>
        <v>0.011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HYPERLINK("http://141.218.60.56/~jnz1568/getInfo.php?workbook=14_13.xlsx&amp;sheet=U0&amp;row=1434&amp;col=6&amp;number=4&amp;sourceID=14","4")</f>
        <v>4</v>
      </c>
      <c r="G1434" s="4" t="str">
        <f>HYPERLINK("http://141.218.60.56/~jnz1568/getInfo.php?workbook=14_13.xlsx&amp;sheet=U0&amp;row=1434&amp;col=7&amp;number=0.0108&amp;sourceID=14","0.0108")</f>
        <v>0.0108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HYPERLINK("http://141.218.60.56/~jnz1568/getInfo.php?workbook=14_13.xlsx&amp;sheet=U0&amp;row=1435&amp;col=6&amp;number=4.1&amp;sourceID=14","4.1")</f>
        <v>4.1</v>
      </c>
      <c r="G1435" s="4" t="str">
        <f>HYPERLINK("http://141.218.60.56/~jnz1568/getInfo.php?workbook=14_13.xlsx&amp;sheet=U0&amp;row=1435&amp;col=7&amp;number=0.0105&amp;sourceID=14","0.0105")</f>
        <v>0.0105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HYPERLINK("http://141.218.60.56/~jnz1568/getInfo.php?workbook=14_13.xlsx&amp;sheet=U0&amp;row=1436&amp;col=6&amp;number=4.2&amp;sourceID=14","4.2")</f>
        <v>4.2</v>
      </c>
      <c r="G1436" s="4" t="str">
        <f>HYPERLINK("http://141.218.60.56/~jnz1568/getInfo.php?workbook=14_13.xlsx&amp;sheet=U0&amp;row=1436&amp;col=7&amp;number=0.0103&amp;sourceID=14","0.0103")</f>
        <v>0.0103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HYPERLINK("http://141.218.60.56/~jnz1568/getInfo.php?workbook=14_13.xlsx&amp;sheet=U0&amp;row=1437&amp;col=6&amp;number=4.3&amp;sourceID=14","4.3")</f>
        <v>4.3</v>
      </c>
      <c r="G1437" s="4" t="str">
        <f>HYPERLINK("http://141.218.60.56/~jnz1568/getInfo.php?workbook=14_13.xlsx&amp;sheet=U0&amp;row=1437&amp;col=7&amp;number=0.0101&amp;sourceID=14","0.0101")</f>
        <v>0.0101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HYPERLINK("http://141.218.60.56/~jnz1568/getInfo.php?workbook=14_13.xlsx&amp;sheet=U0&amp;row=1438&amp;col=6&amp;number=4.4&amp;sourceID=14","4.4")</f>
        <v>4.4</v>
      </c>
      <c r="G1438" s="4" t="str">
        <f>HYPERLINK("http://141.218.60.56/~jnz1568/getInfo.php?workbook=14_13.xlsx&amp;sheet=U0&amp;row=1438&amp;col=7&amp;number=0.00996&amp;sourceID=14","0.00996")</f>
        <v>0.00996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HYPERLINK("http://141.218.60.56/~jnz1568/getInfo.php?workbook=14_13.xlsx&amp;sheet=U0&amp;row=1439&amp;col=6&amp;number=4.5&amp;sourceID=14","4.5")</f>
        <v>4.5</v>
      </c>
      <c r="G1439" s="4" t="str">
        <f>HYPERLINK("http://141.218.60.56/~jnz1568/getInfo.php?workbook=14_13.xlsx&amp;sheet=U0&amp;row=1439&amp;col=7&amp;number=0.00987&amp;sourceID=14","0.00987")</f>
        <v>0.00987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HYPERLINK("http://141.218.60.56/~jnz1568/getInfo.php?workbook=14_13.xlsx&amp;sheet=U0&amp;row=1440&amp;col=6&amp;number=4.6&amp;sourceID=14","4.6")</f>
        <v>4.6</v>
      </c>
      <c r="G1440" s="4" t="str">
        <f>HYPERLINK("http://141.218.60.56/~jnz1568/getInfo.php?workbook=14_13.xlsx&amp;sheet=U0&amp;row=1440&amp;col=7&amp;number=0.00979&amp;sourceID=14","0.00979")</f>
        <v>0.00979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HYPERLINK("http://141.218.60.56/~jnz1568/getInfo.php?workbook=14_13.xlsx&amp;sheet=U0&amp;row=1441&amp;col=6&amp;number=4.7&amp;sourceID=14","4.7")</f>
        <v>4.7</v>
      </c>
      <c r="G1441" s="4" t="str">
        <f>HYPERLINK("http://141.218.60.56/~jnz1568/getInfo.php?workbook=14_13.xlsx&amp;sheet=U0&amp;row=1441&amp;col=7&amp;number=0.00969&amp;sourceID=14","0.00969")</f>
        <v>0.00969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HYPERLINK("http://141.218.60.56/~jnz1568/getInfo.php?workbook=14_13.xlsx&amp;sheet=U0&amp;row=1442&amp;col=6&amp;number=4.8&amp;sourceID=14","4.8")</f>
        <v>4.8</v>
      </c>
      <c r="G1442" s="4" t="str">
        <f>HYPERLINK("http://141.218.60.56/~jnz1568/getInfo.php?workbook=14_13.xlsx&amp;sheet=U0&amp;row=1442&amp;col=7&amp;number=0.00952&amp;sourceID=14","0.00952")</f>
        <v>0.00952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HYPERLINK("http://141.218.60.56/~jnz1568/getInfo.php?workbook=14_13.xlsx&amp;sheet=U0&amp;row=1443&amp;col=6&amp;number=4.9&amp;sourceID=14","4.9")</f>
        <v>4.9</v>
      </c>
      <c r="G1443" s="4" t="str">
        <f>HYPERLINK("http://141.218.60.56/~jnz1568/getInfo.php?workbook=14_13.xlsx&amp;sheet=U0&amp;row=1443&amp;col=7&amp;number=0.00926&amp;sourceID=14","0.00926")</f>
        <v>0.00926</v>
      </c>
    </row>
    <row r="1444" spans="1:7">
      <c r="A1444" s="3">
        <v>14</v>
      </c>
      <c r="B1444" s="3">
        <v>13</v>
      </c>
      <c r="C1444" s="3">
        <v>3</v>
      </c>
      <c r="D1444" s="3">
        <v>21</v>
      </c>
      <c r="E1444" s="3">
        <v>1</v>
      </c>
      <c r="F1444" s="4" t="str">
        <f>HYPERLINK("http://141.218.60.56/~jnz1568/getInfo.php?workbook=14_13.xlsx&amp;sheet=U0&amp;row=1444&amp;col=6&amp;number=3&amp;sourceID=14","3")</f>
        <v>3</v>
      </c>
      <c r="G1444" s="4" t="str">
        <f>HYPERLINK("http://141.218.60.56/~jnz1568/getInfo.php?workbook=14_13.xlsx&amp;sheet=U0&amp;row=1444&amp;col=7&amp;number=0.0103&amp;sourceID=14","0.0103")</f>
        <v>0.0103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HYPERLINK("http://141.218.60.56/~jnz1568/getInfo.php?workbook=14_13.xlsx&amp;sheet=U0&amp;row=1445&amp;col=6&amp;number=3.1&amp;sourceID=14","3.1")</f>
        <v>3.1</v>
      </c>
      <c r="G1445" s="4" t="str">
        <f>HYPERLINK("http://141.218.60.56/~jnz1568/getInfo.php?workbook=14_13.xlsx&amp;sheet=U0&amp;row=1445&amp;col=7&amp;number=0.0105&amp;sourceID=14","0.0105")</f>
        <v>0.0105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HYPERLINK("http://141.218.60.56/~jnz1568/getInfo.php?workbook=14_13.xlsx&amp;sheet=U0&amp;row=1446&amp;col=6&amp;number=3.2&amp;sourceID=14","3.2")</f>
        <v>3.2</v>
      </c>
      <c r="G1446" s="4" t="str">
        <f>HYPERLINK("http://141.218.60.56/~jnz1568/getInfo.php?workbook=14_13.xlsx&amp;sheet=U0&amp;row=1446&amp;col=7&amp;number=0.0107&amp;sourceID=14","0.0107")</f>
        <v>0.0107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HYPERLINK("http://141.218.60.56/~jnz1568/getInfo.php?workbook=14_13.xlsx&amp;sheet=U0&amp;row=1447&amp;col=6&amp;number=3.3&amp;sourceID=14","3.3")</f>
        <v>3.3</v>
      </c>
      <c r="G1447" s="4" t="str">
        <f>HYPERLINK("http://141.218.60.56/~jnz1568/getInfo.php?workbook=14_13.xlsx&amp;sheet=U0&amp;row=1447&amp;col=7&amp;number=0.011&amp;sourceID=14","0.011")</f>
        <v>0.011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HYPERLINK("http://141.218.60.56/~jnz1568/getInfo.php?workbook=14_13.xlsx&amp;sheet=U0&amp;row=1448&amp;col=6&amp;number=3.4&amp;sourceID=14","3.4")</f>
        <v>3.4</v>
      </c>
      <c r="G1448" s="4" t="str">
        <f>HYPERLINK("http://141.218.60.56/~jnz1568/getInfo.php?workbook=14_13.xlsx&amp;sheet=U0&amp;row=1448&amp;col=7&amp;number=0.0113&amp;sourceID=14","0.0113")</f>
        <v>0.0113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HYPERLINK("http://141.218.60.56/~jnz1568/getInfo.php?workbook=14_13.xlsx&amp;sheet=U0&amp;row=1449&amp;col=6&amp;number=3.5&amp;sourceID=14","3.5")</f>
        <v>3.5</v>
      </c>
      <c r="G1449" s="4" t="str">
        <f>HYPERLINK("http://141.218.60.56/~jnz1568/getInfo.php?workbook=14_13.xlsx&amp;sheet=U0&amp;row=1449&amp;col=7&amp;number=0.0116&amp;sourceID=14","0.0116")</f>
        <v>0.0116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HYPERLINK("http://141.218.60.56/~jnz1568/getInfo.php?workbook=14_13.xlsx&amp;sheet=U0&amp;row=1450&amp;col=6&amp;number=3.6&amp;sourceID=14","3.6")</f>
        <v>3.6</v>
      </c>
      <c r="G1450" s="4" t="str">
        <f>HYPERLINK("http://141.218.60.56/~jnz1568/getInfo.php?workbook=14_13.xlsx&amp;sheet=U0&amp;row=1450&amp;col=7&amp;number=0.0118&amp;sourceID=14","0.0118")</f>
        <v>0.0118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HYPERLINK("http://141.218.60.56/~jnz1568/getInfo.php?workbook=14_13.xlsx&amp;sheet=U0&amp;row=1451&amp;col=6&amp;number=3.7&amp;sourceID=14","3.7")</f>
        <v>3.7</v>
      </c>
      <c r="G1451" s="4" t="str">
        <f>HYPERLINK("http://141.218.60.56/~jnz1568/getInfo.php?workbook=14_13.xlsx&amp;sheet=U0&amp;row=1451&amp;col=7&amp;number=0.0118&amp;sourceID=14","0.0118")</f>
        <v>0.0118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HYPERLINK("http://141.218.60.56/~jnz1568/getInfo.php?workbook=14_13.xlsx&amp;sheet=U0&amp;row=1452&amp;col=6&amp;number=3.8&amp;sourceID=14","3.8")</f>
        <v>3.8</v>
      </c>
      <c r="G1452" s="4" t="str">
        <f>HYPERLINK("http://141.218.60.56/~jnz1568/getInfo.php?workbook=14_13.xlsx&amp;sheet=U0&amp;row=1452&amp;col=7&amp;number=0.0116&amp;sourceID=14","0.0116")</f>
        <v>0.0116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HYPERLINK("http://141.218.60.56/~jnz1568/getInfo.php?workbook=14_13.xlsx&amp;sheet=U0&amp;row=1453&amp;col=6&amp;number=3.9&amp;sourceID=14","3.9")</f>
        <v>3.9</v>
      </c>
      <c r="G1453" s="4" t="str">
        <f>HYPERLINK("http://141.218.60.56/~jnz1568/getInfo.php?workbook=14_13.xlsx&amp;sheet=U0&amp;row=1453&amp;col=7&amp;number=0.0113&amp;sourceID=14","0.0113")</f>
        <v>0.0113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HYPERLINK("http://141.218.60.56/~jnz1568/getInfo.php?workbook=14_13.xlsx&amp;sheet=U0&amp;row=1454&amp;col=6&amp;number=4&amp;sourceID=14","4")</f>
        <v>4</v>
      </c>
      <c r="G1454" s="4" t="str">
        <f>HYPERLINK("http://141.218.60.56/~jnz1568/getInfo.php?workbook=14_13.xlsx&amp;sheet=U0&amp;row=1454&amp;col=7&amp;number=0.0108&amp;sourceID=14","0.0108")</f>
        <v>0.0108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HYPERLINK("http://141.218.60.56/~jnz1568/getInfo.php?workbook=14_13.xlsx&amp;sheet=U0&amp;row=1455&amp;col=6&amp;number=4.1&amp;sourceID=14","4.1")</f>
        <v>4.1</v>
      </c>
      <c r="G1455" s="4" t="str">
        <f>HYPERLINK("http://141.218.60.56/~jnz1568/getInfo.php?workbook=14_13.xlsx&amp;sheet=U0&amp;row=1455&amp;col=7&amp;number=0.0103&amp;sourceID=14","0.0103")</f>
        <v>0.0103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HYPERLINK("http://141.218.60.56/~jnz1568/getInfo.php?workbook=14_13.xlsx&amp;sheet=U0&amp;row=1456&amp;col=6&amp;number=4.2&amp;sourceID=14","4.2")</f>
        <v>4.2</v>
      </c>
      <c r="G1456" s="4" t="str">
        <f>HYPERLINK("http://141.218.60.56/~jnz1568/getInfo.php?workbook=14_13.xlsx&amp;sheet=U0&amp;row=1456&amp;col=7&amp;number=0.00977&amp;sourceID=14","0.00977")</f>
        <v>0.00977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HYPERLINK("http://141.218.60.56/~jnz1568/getInfo.php?workbook=14_13.xlsx&amp;sheet=U0&amp;row=1457&amp;col=6&amp;number=4.3&amp;sourceID=14","4.3")</f>
        <v>4.3</v>
      </c>
      <c r="G1457" s="4" t="str">
        <f>HYPERLINK("http://141.218.60.56/~jnz1568/getInfo.php?workbook=14_13.xlsx&amp;sheet=U0&amp;row=1457&amp;col=7&amp;number=0.00926&amp;sourceID=14","0.00926")</f>
        <v>0.00926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HYPERLINK("http://141.218.60.56/~jnz1568/getInfo.php?workbook=14_13.xlsx&amp;sheet=U0&amp;row=1458&amp;col=6&amp;number=4.4&amp;sourceID=14","4.4")</f>
        <v>4.4</v>
      </c>
      <c r="G1458" s="4" t="str">
        <f>HYPERLINK("http://141.218.60.56/~jnz1568/getInfo.php?workbook=14_13.xlsx&amp;sheet=U0&amp;row=1458&amp;col=7&amp;number=0.00879&amp;sourceID=14","0.00879")</f>
        <v>0.00879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HYPERLINK("http://141.218.60.56/~jnz1568/getInfo.php?workbook=14_13.xlsx&amp;sheet=U0&amp;row=1459&amp;col=6&amp;number=4.5&amp;sourceID=14","4.5")</f>
        <v>4.5</v>
      </c>
      <c r="G1459" s="4" t="str">
        <f>HYPERLINK("http://141.218.60.56/~jnz1568/getInfo.php?workbook=14_13.xlsx&amp;sheet=U0&amp;row=1459&amp;col=7&amp;number=0.00839&amp;sourceID=14","0.00839")</f>
        <v>0.00839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HYPERLINK("http://141.218.60.56/~jnz1568/getInfo.php?workbook=14_13.xlsx&amp;sheet=U0&amp;row=1460&amp;col=6&amp;number=4.6&amp;sourceID=14","4.6")</f>
        <v>4.6</v>
      </c>
      <c r="G1460" s="4" t="str">
        <f>HYPERLINK("http://141.218.60.56/~jnz1568/getInfo.php?workbook=14_13.xlsx&amp;sheet=U0&amp;row=1460&amp;col=7&amp;number=0.00805&amp;sourceID=14","0.00805")</f>
        <v>0.00805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HYPERLINK("http://141.218.60.56/~jnz1568/getInfo.php?workbook=14_13.xlsx&amp;sheet=U0&amp;row=1461&amp;col=6&amp;number=4.7&amp;sourceID=14","4.7")</f>
        <v>4.7</v>
      </c>
      <c r="G1461" s="4" t="str">
        <f>HYPERLINK("http://141.218.60.56/~jnz1568/getInfo.php?workbook=14_13.xlsx&amp;sheet=U0&amp;row=1461&amp;col=7&amp;number=0.00776&amp;sourceID=14","0.00776")</f>
        <v>0.00776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HYPERLINK("http://141.218.60.56/~jnz1568/getInfo.php?workbook=14_13.xlsx&amp;sheet=U0&amp;row=1462&amp;col=6&amp;number=4.8&amp;sourceID=14","4.8")</f>
        <v>4.8</v>
      </c>
      <c r="G1462" s="4" t="str">
        <f>HYPERLINK("http://141.218.60.56/~jnz1568/getInfo.php?workbook=14_13.xlsx&amp;sheet=U0&amp;row=1462&amp;col=7&amp;number=0.00747&amp;sourceID=14","0.00747")</f>
        <v>0.00747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HYPERLINK("http://141.218.60.56/~jnz1568/getInfo.php?workbook=14_13.xlsx&amp;sheet=U0&amp;row=1463&amp;col=6&amp;number=4.9&amp;sourceID=14","4.9")</f>
        <v>4.9</v>
      </c>
      <c r="G1463" s="4" t="str">
        <f>HYPERLINK("http://141.218.60.56/~jnz1568/getInfo.php?workbook=14_13.xlsx&amp;sheet=U0&amp;row=1463&amp;col=7&amp;number=0.00718&amp;sourceID=14","0.00718")</f>
        <v>0.00718</v>
      </c>
    </row>
    <row r="1464" spans="1:7">
      <c r="A1464" s="3">
        <v>14</v>
      </c>
      <c r="B1464" s="3">
        <v>13</v>
      </c>
      <c r="C1464" s="3">
        <v>3</v>
      </c>
      <c r="D1464" s="3">
        <v>22</v>
      </c>
      <c r="E1464" s="3">
        <v>1</v>
      </c>
      <c r="F1464" s="4" t="str">
        <f>HYPERLINK("http://141.218.60.56/~jnz1568/getInfo.php?workbook=14_13.xlsx&amp;sheet=U0&amp;row=1464&amp;col=6&amp;number=3&amp;sourceID=14","3")</f>
        <v>3</v>
      </c>
      <c r="G1464" s="4" t="str">
        <f>HYPERLINK("http://141.218.60.56/~jnz1568/getInfo.php?workbook=14_13.xlsx&amp;sheet=U0&amp;row=1464&amp;col=7&amp;number=0.00559&amp;sourceID=14","0.00559")</f>
        <v>0.00559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HYPERLINK("http://141.218.60.56/~jnz1568/getInfo.php?workbook=14_13.xlsx&amp;sheet=U0&amp;row=1465&amp;col=6&amp;number=3.1&amp;sourceID=14","3.1")</f>
        <v>3.1</v>
      </c>
      <c r="G1465" s="4" t="str">
        <f>HYPERLINK("http://141.218.60.56/~jnz1568/getInfo.php?workbook=14_13.xlsx&amp;sheet=U0&amp;row=1465&amp;col=7&amp;number=0.00572&amp;sourceID=14","0.00572")</f>
        <v>0.00572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HYPERLINK("http://141.218.60.56/~jnz1568/getInfo.php?workbook=14_13.xlsx&amp;sheet=U0&amp;row=1466&amp;col=6&amp;number=3.2&amp;sourceID=14","3.2")</f>
        <v>3.2</v>
      </c>
      <c r="G1466" s="4" t="str">
        <f>HYPERLINK("http://141.218.60.56/~jnz1568/getInfo.php?workbook=14_13.xlsx&amp;sheet=U0&amp;row=1466&amp;col=7&amp;number=0.00587&amp;sourceID=14","0.00587")</f>
        <v>0.00587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HYPERLINK("http://141.218.60.56/~jnz1568/getInfo.php?workbook=14_13.xlsx&amp;sheet=U0&amp;row=1467&amp;col=6&amp;number=3.3&amp;sourceID=14","3.3")</f>
        <v>3.3</v>
      </c>
      <c r="G1467" s="4" t="str">
        <f>HYPERLINK("http://141.218.60.56/~jnz1568/getInfo.php?workbook=14_13.xlsx&amp;sheet=U0&amp;row=1467&amp;col=7&amp;number=0.00605&amp;sourceID=14","0.00605")</f>
        <v>0.00605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HYPERLINK("http://141.218.60.56/~jnz1568/getInfo.php?workbook=14_13.xlsx&amp;sheet=U0&amp;row=1468&amp;col=6&amp;number=3.4&amp;sourceID=14","3.4")</f>
        <v>3.4</v>
      </c>
      <c r="G1468" s="4" t="str">
        <f>HYPERLINK("http://141.218.60.56/~jnz1568/getInfo.php?workbook=14_13.xlsx&amp;sheet=U0&amp;row=1468&amp;col=7&amp;number=0.00623&amp;sourceID=14","0.00623")</f>
        <v>0.00623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HYPERLINK("http://141.218.60.56/~jnz1568/getInfo.php?workbook=14_13.xlsx&amp;sheet=U0&amp;row=1469&amp;col=6&amp;number=3.5&amp;sourceID=14","3.5")</f>
        <v>3.5</v>
      </c>
      <c r="G1469" s="4" t="str">
        <f>HYPERLINK("http://141.218.60.56/~jnz1568/getInfo.php?workbook=14_13.xlsx&amp;sheet=U0&amp;row=1469&amp;col=7&amp;number=0.00642&amp;sourceID=14","0.00642")</f>
        <v>0.00642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HYPERLINK("http://141.218.60.56/~jnz1568/getInfo.php?workbook=14_13.xlsx&amp;sheet=U0&amp;row=1470&amp;col=6&amp;number=3.6&amp;sourceID=14","3.6")</f>
        <v>3.6</v>
      </c>
      <c r="G1470" s="4" t="str">
        <f>HYPERLINK("http://141.218.60.56/~jnz1568/getInfo.php?workbook=14_13.xlsx&amp;sheet=U0&amp;row=1470&amp;col=7&amp;number=0.00656&amp;sourceID=14","0.00656")</f>
        <v>0.00656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HYPERLINK("http://141.218.60.56/~jnz1568/getInfo.php?workbook=14_13.xlsx&amp;sheet=U0&amp;row=1471&amp;col=6&amp;number=3.7&amp;sourceID=14","3.7")</f>
        <v>3.7</v>
      </c>
      <c r="G1471" s="4" t="str">
        <f>HYPERLINK("http://141.218.60.56/~jnz1568/getInfo.php?workbook=14_13.xlsx&amp;sheet=U0&amp;row=1471&amp;col=7&amp;number=0.00662&amp;sourceID=14","0.00662")</f>
        <v>0.00662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HYPERLINK("http://141.218.60.56/~jnz1568/getInfo.php?workbook=14_13.xlsx&amp;sheet=U0&amp;row=1472&amp;col=6&amp;number=3.8&amp;sourceID=14","3.8")</f>
        <v>3.8</v>
      </c>
      <c r="G1472" s="4" t="str">
        <f>HYPERLINK("http://141.218.60.56/~jnz1568/getInfo.php?workbook=14_13.xlsx&amp;sheet=U0&amp;row=1472&amp;col=7&amp;number=0.00658&amp;sourceID=14","0.00658")</f>
        <v>0.00658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HYPERLINK("http://141.218.60.56/~jnz1568/getInfo.php?workbook=14_13.xlsx&amp;sheet=U0&amp;row=1473&amp;col=6&amp;number=3.9&amp;sourceID=14","3.9")</f>
        <v>3.9</v>
      </c>
      <c r="G1473" s="4" t="str">
        <f>HYPERLINK("http://141.218.60.56/~jnz1568/getInfo.php?workbook=14_13.xlsx&amp;sheet=U0&amp;row=1473&amp;col=7&amp;number=0.00645&amp;sourceID=14","0.00645")</f>
        <v>0.00645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HYPERLINK("http://141.218.60.56/~jnz1568/getInfo.php?workbook=14_13.xlsx&amp;sheet=U0&amp;row=1474&amp;col=6&amp;number=4&amp;sourceID=14","4")</f>
        <v>4</v>
      </c>
      <c r="G1474" s="4" t="str">
        <f>HYPERLINK("http://141.218.60.56/~jnz1568/getInfo.php?workbook=14_13.xlsx&amp;sheet=U0&amp;row=1474&amp;col=7&amp;number=0.00627&amp;sourceID=14","0.00627")</f>
        <v>0.00627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HYPERLINK("http://141.218.60.56/~jnz1568/getInfo.php?workbook=14_13.xlsx&amp;sheet=U0&amp;row=1475&amp;col=6&amp;number=4.1&amp;sourceID=14","4.1")</f>
        <v>4.1</v>
      </c>
      <c r="G1475" s="4" t="str">
        <f>HYPERLINK("http://141.218.60.56/~jnz1568/getInfo.php?workbook=14_13.xlsx&amp;sheet=U0&amp;row=1475&amp;col=7&amp;number=0.00609&amp;sourceID=14","0.00609")</f>
        <v>0.00609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HYPERLINK("http://141.218.60.56/~jnz1568/getInfo.php?workbook=14_13.xlsx&amp;sheet=U0&amp;row=1476&amp;col=6&amp;number=4.2&amp;sourceID=14","4.2")</f>
        <v>4.2</v>
      </c>
      <c r="G1476" s="4" t="str">
        <f>HYPERLINK("http://141.218.60.56/~jnz1568/getInfo.php?workbook=14_13.xlsx&amp;sheet=U0&amp;row=1476&amp;col=7&amp;number=0.00591&amp;sourceID=14","0.00591")</f>
        <v>0.00591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HYPERLINK("http://141.218.60.56/~jnz1568/getInfo.php?workbook=14_13.xlsx&amp;sheet=U0&amp;row=1477&amp;col=6&amp;number=4.3&amp;sourceID=14","4.3")</f>
        <v>4.3</v>
      </c>
      <c r="G1477" s="4" t="str">
        <f>HYPERLINK("http://141.218.60.56/~jnz1568/getInfo.php?workbook=14_13.xlsx&amp;sheet=U0&amp;row=1477&amp;col=7&amp;number=0.00575&amp;sourceID=14","0.00575")</f>
        <v>0.00575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HYPERLINK("http://141.218.60.56/~jnz1568/getInfo.php?workbook=14_13.xlsx&amp;sheet=U0&amp;row=1478&amp;col=6&amp;number=4.4&amp;sourceID=14","4.4")</f>
        <v>4.4</v>
      </c>
      <c r="G1478" s="4" t="str">
        <f>HYPERLINK("http://141.218.60.56/~jnz1568/getInfo.php?workbook=14_13.xlsx&amp;sheet=U0&amp;row=1478&amp;col=7&amp;number=0.00561&amp;sourceID=14","0.00561")</f>
        <v>0.00561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HYPERLINK("http://141.218.60.56/~jnz1568/getInfo.php?workbook=14_13.xlsx&amp;sheet=U0&amp;row=1479&amp;col=6&amp;number=4.5&amp;sourceID=14","4.5")</f>
        <v>4.5</v>
      </c>
      <c r="G1479" s="4" t="str">
        <f>HYPERLINK("http://141.218.60.56/~jnz1568/getInfo.php?workbook=14_13.xlsx&amp;sheet=U0&amp;row=1479&amp;col=7&amp;number=0.00552&amp;sourceID=14","0.00552")</f>
        <v>0.00552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HYPERLINK("http://141.218.60.56/~jnz1568/getInfo.php?workbook=14_13.xlsx&amp;sheet=U0&amp;row=1480&amp;col=6&amp;number=4.6&amp;sourceID=14","4.6")</f>
        <v>4.6</v>
      </c>
      <c r="G1480" s="4" t="str">
        <f>HYPERLINK("http://141.218.60.56/~jnz1568/getInfo.php?workbook=14_13.xlsx&amp;sheet=U0&amp;row=1480&amp;col=7&amp;number=0.00546&amp;sourceID=14","0.00546")</f>
        <v>0.00546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HYPERLINK("http://141.218.60.56/~jnz1568/getInfo.php?workbook=14_13.xlsx&amp;sheet=U0&amp;row=1481&amp;col=6&amp;number=4.7&amp;sourceID=14","4.7")</f>
        <v>4.7</v>
      </c>
      <c r="G1481" s="4" t="str">
        <f>HYPERLINK("http://141.218.60.56/~jnz1568/getInfo.php?workbook=14_13.xlsx&amp;sheet=U0&amp;row=1481&amp;col=7&amp;number=0.0054&amp;sourceID=14","0.0054")</f>
        <v>0.0054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HYPERLINK("http://141.218.60.56/~jnz1568/getInfo.php?workbook=14_13.xlsx&amp;sheet=U0&amp;row=1482&amp;col=6&amp;number=4.8&amp;sourceID=14","4.8")</f>
        <v>4.8</v>
      </c>
      <c r="G1482" s="4" t="str">
        <f>HYPERLINK("http://141.218.60.56/~jnz1568/getInfo.php?workbook=14_13.xlsx&amp;sheet=U0&amp;row=1482&amp;col=7&amp;number=0.00532&amp;sourceID=14","0.00532")</f>
        <v>0.00532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HYPERLINK("http://141.218.60.56/~jnz1568/getInfo.php?workbook=14_13.xlsx&amp;sheet=U0&amp;row=1483&amp;col=6&amp;number=4.9&amp;sourceID=14","4.9")</f>
        <v>4.9</v>
      </c>
      <c r="G1483" s="4" t="str">
        <f>HYPERLINK("http://141.218.60.56/~jnz1568/getInfo.php?workbook=14_13.xlsx&amp;sheet=U0&amp;row=1483&amp;col=7&amp;number=0.00518&amp;sourceID=14","0.00518")</f>
        <v>0.00518</v>
      </c>
    </row>
    <row r="1484" spans="1:7">
      <c r="A1484" s="3">
        <v>14</v>
      </c>
      <c r="B1484" s="3">
        <v>13</v>
      </c>
      <c r="C1484" s="3">
        <v>3</v>
      </c>
      <c r="D1484" s="3">
        <v>23</v>
      </c>
      <c r="E1484" s="3">
        <v>1</v>
      </c>
      <c r="F1484" s="4" t="str">
        <f>HYPERLINK("http://141.218.60.56/~jnz1568/getInfo.php?workbook=14_13.xlsx&amp;sheet=U0&amp;row=1484&amp;col=6&amp;number=3&amp;sourceID=14","3")</f>
        <v>3</v>
      </c>
      <c r="G1484" s="4" t="str">
        <f>HYPERLINK("http://141.218.60.56/~jnz1568/getInfo.php?workbook=14_13.xlsx&amp;sheet=U0&amp;row=1484&amp;col=7&amp;number=1.77&amp;sourceID=14","1.77")</f>
        <v>1.77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HYPERLINK("http://141.218.60.56/~jnz1568/getInfo.php?workbook=14_13.xlsx&amp;sheet=U0&amp;row=1485&amp;col=6&amp;number=3.1&amp;sourceID=14","3.1")</f>
        <v>3.1</v>
      </c>
      <c r="G1485" s="4" t="str">
        <f>HYPERLINK("http://141.218.60.56/~jnz1568/getInfo.php?workbook=14_13.xlsx&amp;sheet=U0&amp;row=1485&amp;col=7&amp;number=1.76&amp;sourceID=14","1.76")</f>
        <v>1.76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HYPERLINK("http://141.218.60.56/~jnz1568/getInfo.php?workbook=14_13.xlsx&amp;sheet=U0&amp;row=1486&amp;col=6&amp;number=3.2&amp;sourceID=14","3.2")</f>
        <v>3.2</v>
      </c>
      <c r="G1486" s="4" t="str">
        <f>HYPERLINK("http://141.218.60.56/~jnz1568/getInfo.php?workbook=14_13.xlsx&amp;sheet=U0&amp;row=1486&amp;col=7&amp;number=1.76&amp;sourceID=14","1.76")</f>
        <v>1.76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HYPERLINK("http://141.218.60.56/~jnz1568/getInfo.php?workbook=14_13.xlsx&amp;sheet=U0&amp;row=1487&amp;col=6&amp;number=3.3&amp;sourceID=14","3.3")</f>
        <v>3.3</v>
      </c>
      <c r="G1487" s="4" t="str">
        <f>HYPERLINK("http://141.218.60.56/~jnz1568/getInfo.php?workbook=14_13.xlsx&amp;sheet=U0&amp;row=1487&amp;col=7&amp;number=1.76&amp;sourceID=14","1.76")</f>
        <v>1.76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HYPERLINK("http://141.218.60.56/~jnz1568/getInfo.php?workbook=14_13.xlsx&amp;sheet=U0&amp;row=1488&amp;col=6&amp;number=3.4&amp;sourceID=14","3.4")</f>
        <v>3.4</v>
      </c>
      <c r="G1488" s="4" t="str">
        <f>HYPERLINK("http://141.218.60.56/~jnz1568/getInfo.php?workbook=14_13.xlsx&amp;sheet=U0&amp;row=1488&amp;col=7&amp;number=1.75&amp;sourceID=14","1.75")</f>
        <v>1.75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HYPERLINK("http://141.218.60.56/~jnz1568/getInfo.php?workbook=14_13.xlsx&amp;sheet=U0&amp;row=1489&amp;col=6&amp;number=3.5&amp;sourceID=14","3.5")</f>
        <v>3.5</v>
      </c>
      <c r="G1489" s="4" t="str">
        <f>HYPERLINK("http://141.218.60.56/~jnz1568/getInfo.php?workbook=14_13.xlsx&amp;sheet=U0&amp;row=1489&amp;col=7&amp;number=1.74&amp;sourceID=14","1.74")</f>
        <v>1.74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HYPERLINK("http://141.218.60.56/~jnz1568/getInfo.php?workbook=14_13.xlsx&amp;sheet=U0&amp;row=1490&amp;col=6&amp;number=3.6&amp;sourceID=14","3.6")</f>
        <v>3.6</v>
      </c>
      <c r="G1490" s="4" t="str">
        <f>HYPERLINK("http://141.218.60.56/~jnz1568/getInfo.php?workbook=14_13.xlsx&amp;sheet=U0&amp;row=1490&amp;col=7&amp;number=1.73&amp;sourceID=14","1.73")</f>
        <v>1.73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HYPERLINK("http://141.218.60.56/~jnz1568/getInfo.php?workbook=14_13.xlsx&amp;sheet=U0&amp;row=1491&amp;col=6&amp;number=3.7&amp;sourceID=14","3.7")</f>
        <v>3.7</v>
      </c>
      <c r="G1491" s="4" t="str">
        <f>HYPERLINK("http://141.218.60.56/~jnz1568/getInfo.php?workbook=14_13.xlsx&amp;sheet=U0&amp;row=1491&amp;col=7&amp;number=1.71&amp;sourceID=14","1.71")</f>
        <v>1.71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HYPERLINK("http://141.218.60.56/~jnz1568/getInfo.php?workbook=14_13.xlsx&amp;sheet=U0&amp;row=1492&amp;col=6&amp;number=3.8&amp;sourceID=14","3.8")</f>
        <v>3.8</v>
      </c>
      <c r="G1492" s="4" t="str">
        <f>HYPERLINK("http://141.218.60.56/~jnz1568/getInfo.php?workbook=14_13.xlsx&amp;sheet=U0&amp;row=1492&amp;col=7&amp;number=1.69&amp;sourceID=14","1.69")</f>
        <v>1.69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HYPERLINK("http://141.218.60.56/~jnz1568/getInfo.php?workbook=14_13.xlsx&amp;sheet=U0&amp;row=1493&amp;col=6&amp;number=3.9&amp;sourceID=14","3.9")</f>
        <v>3.9</v>
      </c>
      <c r="G1493" s="4" t="str">
        <f>HYPERLINK("http://141.218.60.56/~jnz1568/getInfo.php?workbook=14_13.xlsx&amp;sheet=U0&amp;row=1493&amp;col=7&amp;number=1.67&amp;sourceID=14","1.67")</f>
        <v>1.67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HYPERLINK("http://141.218.60.56/~jnz1568/getInfo.php?workbook=14_13.xlsx&amp;sheet=U0&amp;row=1494&amp;col=6&amp;number=4&amp;sourceID=14","4")</f>
        <v>4</v>
      </c>
      <c r="G1494" s="4" t="str">
        <f>HYPERLINK("http://141.218.60.56/~jnz1568/getInfo.php?workbook=14_13.xlsx&amp;sheet=U0&amp;row=1494&amp;col=7&amp;number=1.64&amp;sourceID=14","1.64")</f>
        <v>1.64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HYPERLINK("http://141.218.60.56/~jnz1568/getInfo.php?workbook=14_13.xlsx&amp;sheet=U0&amp;row=1495&amp;col=6&amp;number=4.1&amp;sourceID=14","4.1")</f>
        <v>4.1</v>
      </c>
      <c r="G1495" s="4" t="str">
        <f>HYPERLINK("http://141.218.60.56/~jnz1568/getInfo.php?workbook=14_13.xlsx&amp;sheet=U0&amp;row=1495&amp;col=7&amp;number=1.61&amp;sourceID=14","1.61")</f>
        <v>1.61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HYPERLINK("http://141.218.60.56/~jnz1568/getInfo.php?workbook=14_13.xlsx&amp;sheet=U0&amp;row=1496&amp;col=6&amp;number=4.2&amp;sourceID=14","4.2")</f>
        <v>4.2</v>
      </c>
      <c r="G1496" s="4" t="str">
        <f>HYPERLINK("http://141.218.60.56/~jnz1568/getInfo.php?workbook=14_13.xlsx&amp;sheet=U0&amp;row=1496&amp;col=7&amp;number=1.57&amp;sourceID=14","1.57")</f>
        <v>1.57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HYPERLINK("http://141.218.60.56/~jnz1568/getInfo.php?workbook=14_13.xlsx&amp;sheet=U0&amp;row=1497&amp;col=6&amp;number=4.3&amp;sourceID=14","4.3")</f>
        <v>4.3</v>
      </c>
      <c r="G1497" s="4" t="str">
        <f>HYPERLINK("http://141.218.60.56/~jnz1568/getInfo.php?workbook=14_13.xlsx&amp;sheet=U0&amp;row=1497&amp;col=7&amp;number=1.53&amp;sourceID=14","1.53")</f>
        <v>1.53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HYPERLINK("http://141.218.60.56/~jnz1568/getInfo.php?workbook=14_13.xlsx&amp;sheet=U0&amp;row=1498&amp;col=6&amp;number=4.4&amp;sourceID=14","4.4")</f>
        <v>4.4</v>
      </c>
      <c r="G1498" s="4" t="str">
        <f>HYPERLINK("http://141.218.60.56/~jnz1568/getInfo.php?workbook=14_13.xlsx&amp;sheet=U0&amp;row=1498&amp;col=7&amp;number=1.47&amp;sourceID=14","1.47")</f>
        <v>1.47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HYPERLINK("http://141.218.60.56/~jnz1568/getInfo.php?workbook=14_13.xlsx&amp;sheet=U0&amp;row=1499&amp;col=6&amp;number=4.5&amp;sourceID=14","4.5")</f>
        <v>4.5</v>
      </c>
      <c r="G1499" s="4" t="str">
        <f>HYPERLINK("http://141.218.60.56/~jnz1568/getInfo.php?workbook=14_13.xlsx&amp;sheet=U0&amp;row=1499&amp;col=7&amp;number=1.42&amp;sourceID=14","1.42")</f>
        <v>1.42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HYPERLINK("http://141.218.60.56/~jnz1568/getInfo.php?workbook=14_13.xlsx&amp;sheet=U0&amp;row=1500&amp;col=6&amp;number=4.6&amp;sourceID=14","4.6")</f>
        <v>4.6</v>
      </c>
      <c r="G1500" s="4" t="str">
        <f>HYPERLINK("http://141.218.60.56/~jnz1568/getInfo.php?workbook=14_13.xlsx&amp;sheet=U0&amp;row=1500&amp;col=7&amp;number=1.35&amp;sourceID=14","1.35")</f>
        <v>1.35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HYPERLINK("http://141.218.60.56/~jnz1568/getInfo.php?workbook=14_13.xlsx&amp;sheet=U0&amp;row=1501&amp;col=6&amp;number=4.7&amp;sourceID=14","4.7")</f>
        <v>4.7</v>
      </c>
      <c r="G1501" s="4" t="str">
        <f>HYPERLINK("http://141.218.60.56/~jnz1568/getInfo.php?workbook=14_13.xlsx&amp;sheet=U0&amp;row=1501&amp;col=7&amp;number=1.28&amp;sourceID=14","1.28")</f>
        <v>1.28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HYPERLINK("http://141.218.60.56/~jnz1568/getInfo.php?workbook=14_13.xlsx&amp;sheet=U0&amp;row=1502&amp;col=6&amp;number=4.8&amp;sourceID=14","4.8")</f>
        <v>4.8</v>
      </c>
      <c r="G1502" s="4" t="str">
        <f>HYPERLINK("http://141.218.60.56/~jnz1568/getInfo.php?workbook=14_13.xlsx&amp;sheet=U0&amp;row=1502&amp;col=7&amp;number=1.2&amp;sourceID=14","1.2")</f>
        <v>1.2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HYPERLINK("http://141.218.60.56/~jnz1568/getInfo.php?workbook=14_13.xlsx&amp;sheet=U0&amp;row=1503&amp;col=6&amp;number=4.9&amp;sourceID=14","4.9")</f>
        <v>4.9</v>
      </c>
      <c r="G1503" s="4" t="str">
        <f>HYPERLINK("http://141.218.60.56/~jnz1568/getInfo.php?workbook=14_13.xlsx&amp;sheet=U0&amp;row=1503&amp;col=7&amp;number=1.12&amp;sourceID=14","1.12")</f>
        <v>1.12</v>
      </c>
    </row>
    <row r="1504" spans="1:7">
      <c r="A1504" s="3">
        <v>14</v>
      </c>
      <c r="B1504" s="3">
        <v>13</v>
      </c>
      <c r="C1504" s="3">
        <v>3</v>
      </c>
      <c r="D1504" s="3">
        <v>24</v>
      </c>
      <c r="E1504" s="3">
        <v>1</v>
      </c>
      <c r="F1504" s="4" t="str">
        <f>HYPERLINK("http://141.218.60.56/~jnz1568/getInfo.php?workbook=14_13.xlsx&amp;sheet=U0&amp;row=1504&amp;col=6&amp;number=3&amp;sourceID=14","3")</f>
        <v>3</v>
      </c>
      <c r="G1504" s="4" t="str">
        <f>HYPERLINK("http://141.218.60.56/~jnz1568/getInfo.php?workbook=14_13.xlsx&amp;sheet=U0&amp;row=1504&amp;col=7&amp;number=0.506&amp;sourceID=14","0.506")</f>
        <v>0.506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HYPERLINK("http://141.218.60.56/~jnz1568/getInfo.php?workbook=14_13.xlsx&amp;sheet=U0&amp;row=1505&amp;col=6&amp;number=3.1&amp;sourceID=14","3.1")</f>
        <v>3.1</v>
      </c>
      <c r="G1505" s="4" t="str">
        <f>HYPERLINK("http://141.218.60.56/~jnz1568/getInfo.php?workbook=14_13.xlsx&amp;sheet=U0&amp;row=1505&amp;col=7&amp;number=0.505&amp;sourceID=14","0.505")</f>
        <v>0.505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HYPERLINK("http://141.218.60.56/~jnz1568/getInfo.php?workbook=14_13.xlsx&amp;sheet=U0&amp;row=1506&amp;col=6&amp;number=3.2&amp;sourceID=14","3.2")</f>
        <v>3.2</v>
      </c>
      <c r="G1506" s="4" t="str">
        <f>HYPERLINK("http://141.218.60.56/~jnz1568/getInfo.php?workbook=14_13.xlsx&amp;sheet=U0&amp;row=1506&amp;col=7&amp;number=0.503&amp;sourceID=14","0.503")</f>
        <v>0.503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HYPERLINK("http://141.218.60.56/~jnz1568/getInfo.php?workbook=14_13.xlsx&amp;sheet=U0&amp;row=1507&amp;col=6&amp;number=3.3&amp;sourceID=14","3.3")</f>
        <v>3.3</v>
      </c>
      <c r="G1507" s="4" t="str">
        <f>HYPERLINK("http://141.218.60.56/~jnz1568/getInfo.php?workbook=14_13.xlsx&amp;sheet=U0&amp;row=1507&amp;col=7&amp;number=0.501&amp;sourceID=14","0.501")</f>
        <v>0.501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HYPERLINK("http://141.218.60.56/~jnz1568/getInfo.php?workbook=14_13.xlsx&amp;sheet=U0&amp;row=1508&amp;col=6&amp;number=3.4&amp;sourceID=14","3.4")</f>
        <v>3.4</v>
      </c>
      <c r="G1508" s="4" t="str">
        <f>HYPERLINK("http://141.218.60.56/~jnz1568/getInfo.php?workbook=14_13.xlsx&amp;sheet=U0&amp;row=1508&amp;col=7&amp;number=0.499&amp;sourceID=14","0.499")</f>
        <v>0.499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HYPERLINK("http://141.218.60.56/~jnz1568/getInfo.php?workbook=14_13.xlsx&amp;sheet=U0&amp;row=1509&amp;col=6&amp;number=3.5&amp;sourceID=14","3.5")</f>
        <v>3.5</v>
      </c>
      <c r="G1509" s="4" t="str">
        <f>HYPERLINK("http://141.218.60.56/~jnz1568/getInfo.php?workbook=14_13.xlsx&amp;sheet=U0&amp;row=1509&amp;col=7&amp;number=0.496&amp;sourceID=14","0.496")</f>
        <v>0.496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HYPERLINK("http://141.218.60.56/~jnz1568/getInfo.php?workbook=14_13.xlsx&amp;sheet=U0&amp;row=1510&amp;col=6&amp;number=3.6&amp;sourceID=14","3.6")</f>
        <v>3.6</v>
      </c>
      <c r="G1510" s="4" t="str">
        <f>HYPERLINK("http://141.218.60.56/~jnz1568/getInfo.php?workbook=14_13.xlsx&amp;sheet=U0&amp;row=1510&amp;col=7&amp;number=0.493&amp;sourceID=14","0.493")</f>
        <v>0.493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HYPERLINK("http://141.218.60.56/~jnz1568/getInfo.php?workbook=14_13.xlsx&amp;sheet=U0&amp;row=1511&amp;col=6&amp;number=3.7&amp;sourceID=14","3.7")</f>
        <v>3.7</v>
      </c>
      <c r="G1511" s="4" t="str">
        <f>HYPERLINK("http://141.218.60.56/~jnz1568/getInfo.php?workbook=14_13.xlsx&amp;sheet=U0&amp;row=1511&amp;col=7&amp;number=0.488&amp;sourceID=14","0.488")</f>
        <v>0.488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HYPERLINK("http://141.218.60.56/~jnz1568/getInfo.php?workbook=14_13.xlsx&amp;sheet=U0&amp;row=1512&amp;col=6&amp;number=3.8&amp;sourceID=14","3.8")</f>
        <v>3.8</v>
      </c>
      <c r="G1512" s="4" t="str">
        <f>HYPERLINK("http://141.218.60.56/~jnz1568/getInfo.php?workbook=14_13.xlsx&amp;sheet=U0&amp;row=1512&amp;col=7&amp;number=0.483&amp;sourceID=14","0.483")</f>
        <v>0.483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HYPERLINK("http://141.218.60.56/~jnz1568/getInfo.php?workbook=14_13.xlsx&amp;sheet=U0&amp;row=1513&amp;col=6&amp;number=3.9&amp;sourceID=14","3.9")</f>
        <v>3.9</v>
      </c>
      <c r="G1513" s="4" t="str">
        <f>HYPERLINK("http://141.218.60.56/~jnz1568/getInfo.php?workbook=14_13.xlsx&amp;sheet=U0&amp;row=1513&amp;col=7&amp;number=0.477&amp;sourceID=14","0.477")</f>
        <v>0.477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HYPERLINK("http://141.218.60.56/~jnz1568/getInfo.php?workbook=14_13.xlsx&amp;sheet=U0&amp;row=1514&amp;col=6&amp;number=4&amp;sourceID=14","4")</f>
        <v>4</v>
      </c>
      <c r="G1514" s="4" t="str">
        <f>HYPERLINK("http://141.218.60.56/~jnz1568/getInfo.php?workbook=14_13.xlsx&amp;sheet=U0&amp;row=1514&amp;col=7&amp;number=0.47&amp;sourceID=14","0.47")</f>
        <v>0.47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HYPERLINK("http://141.218.60.56/~jnz1568/getInfo.php?workbook=14_13.xlsx&amp;sheet=U0&amp;row=1515&amp;col=6&amp;number=4.1&amp;sourceID=14","4.1")</f>
        <v>4.1</v>
      </c>
      <c r="G1515" s="4" t="str">
        <f>HYPERLINK("http://141.218.60.56/~jnz1568/getInfo.php?workbook=14_13.xlsx&amp;sheet=U0&amp;row=1515&amp;col=7&amp;number=0.461&amp;sourceID=14","0.461")</f>
        <v>0.461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HYPERLINK("http://141.218.60.56/~jnz1568/getInfo.php?workbook=14_13.xlsx&amp;sheet=U0&amp;row=1516&amp;col=6&amp;number=4.2&amp;sourceID=14","4.2")</f>
        <v>4.2</v>
      </c>
      <c r="G1516" s="4" t="str">
        <f>HYPERLINK("http://141.218.60.56/~jnz1568/getInfo.php?workbook=14_13.xlsx&amp;sheet=U0&amp;row=1516&amp;col=7&amp;number=0.452&amp;sourceID=14","0.452")</f>
        <v>0.452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HYPERLINK("http://141.218.60.56/~jnz1568/getInfo.php?workbook=14_13.xlsx&amp;sheet=U0&amp;row=1517&amp;col=6&amp;number=4.3&amp;sourceID=14","4.3")</f>
        <v>4.3</v>
      </c>
      <c r="G1517" s="4" t="str">
        <f>HYPERLINK("http://141.218.60.56/~jnz1568/getInfo.php?workbook=14_13.xlsx&amp;sheet=U0&amp;row=1517&amp;col=7&amp;number=0.441&amp;sourceID=14","0.441")</f>
        <v>0.441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HYPERLINK("http://141.218.60.56/~jnz1568/getInfo.php?workbook=14_13.xlsx&amp;sheet=U0&amp;row=1518&amp;col=6&amp;number=4.4&amp;sourceID=14","4.4")</f>
        <v>4.4</v>
      </c>
      <c r="G1518" s="4" t="str">
        <f>HYPERLINK("http://141.218.60.56/~jnz1568/getInfo.php?workbook=14_13.xlsx&amp;sheet=U0&amp;row=1518&amp;col=7&amp;number=0.429&amp;sourceID=14","0.429")</f>
        <v>0.429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HYPERLINK("http://141.218.60.56/~jnz1568/getInfo.php?workbook=14_13.xlsx&amp;sheet=U0&amp;row=1519&amp;col=6&amp;number=4.5&amp;sourceID=14","4.5")</f>
        <v>4.5</v>
      </c>
      <c r="G1519" s="4" t="str">
        <f>HYPERLINK("http://141.218.60.56/~jnz1568/getInfo.php?workbook=14_13.xlsx&amp;sheet=U0&amp;row=1519&amp;col=7&amp;number=0.415&amp;sourceID=14","0.415")</f>
        <v>0.415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HYPERLINK("http://141.218.60.56/~jnz1568/getInfo.php?workbook=14_13.xlsx&amp;sheet=U0&amp;row=1520&amp;col=6&amp;number=4.6&amp;sourceID=14","4.6")</f>
        <v>4.6</v>
      </c>
      <c r="G1520" s="4" t="str">
        <f>HYPERLINK("http://141.218.60.56/~jnz1568/getInfo.php?workbook=14_13.xlsx&amp;sheet=U0&amp;row=1520&amp;col=7&amp;number=0.4&amp;sourceID=14","0.4")</f>
        <v>0.4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HYPERLINK("http://141.218.60.56/~jnz1568/getInfo.php?workbook=14_13.xlsx&amp;sheet=U0&amp;row=1521&amp;col=6&amp;number=4.7&amp;sourceID=14","4.7")</f>
        <v>4.7</v>
      </c>
      <c r="G1521" s="4" t="str">
        <f>HYPERLINK("http://141.218.60.56/~jnz1568/getInfo.php?workbook=14_13.xlsx&amp;sheet=U0&amp;row=1521&amp;col=7&amp;number=0.383&amp;sourceID=14","0.383")</f>
        <v>0.383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HYPERLINK("http://141.218.60.56/~jnz1568/getInfo.php?workbook=14_13.xlsx&amp;sheet=U0&amp;row=1522&amp;col=6&amp;number=4.8&amp;sourceID=14","4.8")</f>
        <v>4.8</v>
      </c>
      <c r="G1522" s="4" t="str">
        <f>HYPERLINK("http://141.218.60.56/~jnz1568/getInfo.php?workbook=14_13.xlsx&amp;sheet=U0&amp;row=1522&amp;col=7&amp;number=0.365&amp;sourceID=14","0.365")</f>
        <v>0.365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HYPERLINK("http://141.218.60.56/~jnz1568/getInfo.php?workbook=14_13.xlsx&amp;sheet=U0&amp;row=1523&amp;col=6&amp;number=4.9&amp;sourceID=14","4.9")</f>
        <v>4.9</v>
      </c>
      <c r="G1523" s="4" t="str">
        <f>HYPERLINK("http://141.218.60.56/~jnz1568/getInfo.php?workbook=14_13.xlsx&amp;sheet=U0&amp;row=1523&amp;col=7&amp;number=0.345&amp;sourceID=14","0.345")</f>
        <v>0.345</v>
      </c>
    </row>
    <row r="1524" spans="1:7">
      <c r="A1524" s="3">
        <v>14</v>
      </c>
      <c r="B1524" s="3">
        <v>13</v>
      </c>
      <c r="C1524" s="3">
        <v>3</v>
      </c>
      <c r="D1524" s="3">
        <v>25</v>
      </c>
      <c r="E1524" s="3">
        <v>1</v>
      </c>
      <c r="F1524" s="4" t="str">
        <f>HYPERLINK("http://141.218.60.56/~jnz1568/getInfo.php?workbook=14_13.xlsx&amp;sheet=U0&amp;row=1524&amp;col=6&amp;number=3&amp;sourceID=14","3")</f>
        <v>3</v>
      </c>
      <c r="G1524" s="4" t="str">
        <f>HYPERLINK("http://141.218.60.56/~jnz1568/getInfo.php?workbook=14_13.xlsx&amp;sheet=U0&amp;row=1524&amp;col=7&amp;number=0.00221&amp;sourceID=14","0.00221")</f>
        <v>0.00221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HYPERLINK("http://141.218.60.56/~jnz1568/getInfo.php?workbook=14_13.xlsx&amp;sheet=U0&amp;row=1525&amp;col=6&amp;number=3.1&amp;sourceID=14","3.1")</f>
        <v>3.1</v>
      </c>
      <c r="G1525" s="4" t="str">
        <f>HYPERLINK("http://141.218.60.56/~jnz1568/getInfo.php?workbook=14_13.xlsx&amp;sheet=U0&amp;row=1525&amp;col=7&amp;number=0.00218&amp;sourceID=14","0.00218")</f>
        <v>0.00218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HYPERLINK("http://141.218.60.56/~jnz1568/getInfo.php?workbook=14_13.xlsx&amp;sheet=U0&amp;row=1526&amp;col=6&amp;number=3.2&amp;sourceID=14","3.2")</f>
        <v>3.2</v>
      </c>
      <c r="G1526" s="4" t="str">
        <f>HYPERLINK("http://141.218.60.56/~jnz1568/getInfo.php?workbook=14_13.xlsx&amp;sheet=U0&amp;row=1526&amp;col=7&amp;number=0.00215&amp;sourceID=14","0.00215")</f>
        <v>0.00215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HYPERLINK("http://141.218.60.56/~jnz1568/getInfo.php?workbook=14_13.xlsx&amp;sheet=U0&amp;row=1527&amp;col=6&amp;number=3.3&amp;sourceID=14","3.3")</f>
        <v>3.3</v>
      </c>
      <c r="G1527" s="4" t="str">
        <f>HYPERLINK("http://141.218.60.56/~jnz1568/getInfo.php?workbook=14_13.xlsx&amp;sheet=U0&amp;row=1527&amp;col=7&amp;number=0.00212&amp;sourceID=14","0.00212")</f>
        <v>0.00212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HYPERLINK("http://141.218.60.56/~jnz1568/getInfo.php?workbook=14_13.xlsx&amp;sheet=U0&amp;row=1528&amp;col=6&amp;number=3.4&amp;sourceID=14","3.4")</f>
        <v>3.4</v>
      </c>
      <c r="G1528" s="4" t="str">
        <f>HYPERLINK("http://141.218.60.56/~jnz1568/getInfo.php?workbook=14_13.xlsx&amp;sheet=U0&amp;row=1528&amp;col=7&amp;number=0.00208&amp;sourceID=14","0.00208")</f>
        <v>0.00208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HYPERLINK("http://141.218.60.56/~jnz1568/getInfo.php?workbook=14_13.xlsx&amp;sheet=U0&amp;row=1529&amp;col=6&amp;number=3.5&amp;sourceID=14","3.5")</f>
        <v>3.5</v>
      </c>
      <c r="G1529" s="4" t="str">
        <f>HYPERLINK("http://141.218.60.56/~jnz1568/getInfo.php?workbook=14_13.xlsx&amp;sheet=U0&amp;row=1529&amp;col=7&amp;number=0.00204&amp;sourceID=14","0.00204")</f>
        <v>0.00204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HYPERLINK("http://141.218.60.56/~jnz1568/getInfo.php?workbook=14_13.xlsx&amp;sheet=U0&amp;row=1530&amp;col=6&amp;number=3.6&amp;sourceID=14","3.6")</f>
        <v>3.6</v>
      </c>
      <c r="G1530" s="4" t="str">
        <f>HYPERLINK("http://141.218.60.56/~jnz1568/getInfo.php?workbook=14_13.xlsx&amp;sheet=U0&amp;row=1530&amp;col=7&amp;number=0.00199&amp;sourceID=14","0.00199")</f>
        <v>0.00199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HYPERLINK("http://141.218.60.56/~jnz1568/getInfo.php?workbook=14_13.xlsx&amp;sheet=U0&amp;row=1531&amp;col=6&amp;number=3.7&amp;sourceID=14","3.7")</f>
        <v>3.7</v>
      </c>
      <c r="G1531" s="4" t="str">
        <f>HYPERLINK("http://141.218.60.56/~jnz1568/getInfo.php?workbook=14_13.xlsx&amp;sheet=U0&amp;row=1531&amp;col=7&amp;number=0.00195&amp;sourceID=14","0.00195")</f>
        <v>0.00195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HYPERLINK("http://141.218.60.56/~jnz1568/getInfo.php?workbook=14_13.xlsx&amp;sheet=U0&amp;row=1532&amp;col=6&amp;number=3.8&amp;sourceID=14","3.8")</f>
        <v>3.8</v>
      </c>
      <c r="G1532" s="4" t="str">
        <f>HYPERLINK("http://141.218.60.56/~jnz1568/getInfo.php?workbook=14_13.xlsx&amp;sheet=U0&amp;row=1532&amp;col=7&amp;number=0.00192&amp;sourceID=14","0.00192")</f>
        <v>0.00192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HYPERLINK("http://141.218.60.56/~jnz1568/getInfo.php?workbook=14_13.xlsx&amp;sheet=U0&amp;row=1533&amp;col=6&amp;number=3.9&amp;sourceID=14","3.9")</f>
        <v>3.9</v>
      </c>
      <c r="G1533" s="4" t="str">
        <f>HYPERLINK("http://141.218.60.56/~jnz1568/getInfo.php?workbook=14_13.xlsx&amp;sheet=U0&amp;row=1533&amp;col=7&amp;number=0.00189&amp;sourceID=14","0.00189")</f>
        <v>0.00189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HYPERLINK("http://141.218.60.56/~jnz1568/getInfo.php?workbook=14_13.xlsx&amp;sheet=U0&amp;row=1534&amp;col=6&amp;number=4&amp;sourceID=14","4")</f>
        <v>4</v>
      </c>
      <c r="G1534" s="4" t="str">
        <f>HYPERLINK("http://141.218.60.56/~jnz1568/getInfo.php?workbook=14_13.xlsx&amp;sheet=U0&amp;row=1534&amp;col=7&amp;number=0.00186&amp;sourceID=14","0.00186")</f>
        <v>0.00186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HYPERLINK("http://141.218.60.56/~jnz1568/getInfo.php?workbook=14_13.xlsx&amp;sheet=U0&amp;row=1535&amp;col=6&amp;number=4.1&amp;sourceID=14","4.1")</f>
        <v>4.1</v>
      </c>
      <c r="G1535" s="4" t="str">
        <f>HYPERLINK("http://141.218.60.56/~jnz1568/getInfo.php?workbook=14_13.xlsx&amp;sheet=U0&amp;row=1535&amp;col=7&amp;number=0.00183&amp;sourceID=14","0.00183")</f>
        <v>0.00183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HYPERLINK("http://141.218.60.56/~jnz1568/getInfo.php?workbook=14_13.xlsx&amp;sheet=U0&amp;row=1536&amp;col=6&amp;number=4.2&amp;sourceID=14","4.2")</f>
        <v>4.2</v>
      </c>
      <c r="G1536" s="4" t="str">
        <f>HYPERLINK("http://141.218.60.56/~jnz1568/getInfo.php?workbook=14_13.xlsx&amp;sheet=U0&amp;row=1536&amp;col=7&amp;number=0.0018&amp;sourceID=14","0.0018")</f>
        <v>0.0018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HYPERLINK("http://141.218.60.56/~jnz1568/getInfo.php?workbook=14_13.xlsx&amp;sheet=U0&amp;row=1537&amp;col=6&amp;number=4.3&amp;sourceID=14","4.3")</f>
        <v>4.3</v>
      </c>
      <c r="G1537" s="4" t="str">
        <f>HYPERLINK("http://141.218.60.56/~jnz1568/getInfo.php?workbook=14_13.xlsx&amp;sheet=U0&amp;row=1537&amp;col=7&amp;number=0.00177&amp;sourceID=14","0.00177")</f>
        <v>0.00177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HYPERLINK("http://141.218.60.56/~jnz1568/getInfo.php?workbook=14_13.xlsx&amp;sheet=U0&amp;row=1538&amp;col=6&amp;number=4.4&amp;sourceID=14","4.4")</f>
        <v>4.4</v>
      </c>
      <c r="G1538" s="4" t="str">
        <f>HYPERLINK("http://141.218.60.56/~jnz1568/getInfo.php?workbook=14_13.xlsx&amp;sheet=U0&amp;row=1538&amp;col=7&amp;number=0.00173&amp;sourceID=14","0.00173")</f>
        <v>0.00173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HYPERLINK("http://141.218.60.56/~jnz1568/getInfo.php?workbook=14_13.xlsx&amp;sheet=U0&amp;row=1539&amp;col=6&amp;number=4.5&amp;sourceID=14","4.5")</f>
        <v>4.5</v>
      </c>
      <c r="G1539" s="4" t="str">
        <f>HYPERLINK("http://141.218.60.56/~jnz1568/getInfo.php?workbook=14_13.xlsx&amp;sheet=U0&amp;row=1539&amp;col=7&amp;number=0.00169&amp;sourceID=14","0.00169")</f>
        <v>0.00169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HYPERLINK("http://141.218.60.56/~jnz1568/getInfo.php?workbook=14_13.xlsx&amp;sheet=U0&amp;row=1540&amp;col=6&amp;number=4.6&amp;sourceID=14","4.6")</f>
        <v>4.6</v>
      </c>
      <c r="G1540" s="4" t="str">
        <f>HYPERLINK("http://141.218.60.56/~jnz1568/getInfo.php?workbook=14_13.xlsx&amp;sheet=U0&amp;row=1540&amp;col=7&amp;number=0.00164&amp;sourceID=14","0.00164")</f>
        <v>0.00164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HYPERLINK("http://141.218.60.56/~jnz1568/getInfo.php?workbook=14_13.xlsx&amp;sheet=U0&amp;row=1541&amp;col=6&amp;number=4.7&amp;sourceID=14","4.7")</f>
        <v>4.7</v>
      </c>
      <c r="G1541" s="4" t="str">
        <f>HYPERLINK("http://141.218.60.56/~jnz1568/getInfo.php?workbook=14_13.xlsx&amp;sheet=U0&amp;row=1541&amp;col=7&amp;number=0.00158&amp;sourceID=14","0.00158")</f>
        <v>0.00158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HYPERLINK("http://141.218.60.56/~jnz1568/getInfo.php?workbook=14_13.xlsx&amp;sheet=U0&amp;row=1542&amp;col=6&amp;number=4.8&amp;sourceID=14","4.8")</f>
        <v>4.8</v>
      </c>
      <c r="G1542" s="4" t="str">
        <f>HYPERLINK("http://141.218.60.56/~jnz1568/getInfo.php?workbook=14_13.xlsx&amp;sheet=U0&amp;row=1542&amp;col=7&amp;number=0.00151&amp;sourceID=14","0.00151")</f>
        <v>0.00151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HYPERLINK("http://141.218.60.56/~jnz1568/getInfo.php?workbook=14_13.xlsx&amp;sheet=U0&amp;row=1543&amp;col=6&amp;number=4.9&amp;sourceID=14","4.9")</f>
        <v>4.9</v>
      </c>
      <c r="G1543" s="4" t="str">
        <f>HYPERLINK("http://141.218.60.56/~jnz1568/getInfo.php?workbook=14_13.xlsx&amp;sheet=U0&amp;row=1543&amp;col=7&amp;number=0.00143&amp;sourceID=14","0.00143")</f>
        <v>0.00143</v>
      </c>
    </row>
    <row r="1544" spans="1:7">
      <c r="A1544" s="3">
        <v>14</v>
      </c>
      <c r="B1544" s="3">
        <v>13</v>
      </c>
      <c r="C1544" s="3">
        <v>3</v>
      </c>
      <c r="D1544" s="3">
        <v>26</v>
      </c>
      <c r="E1544" s="3">
        <v>1</v>
      </c>
      <c r="F1544" s="4" t="str">
        <f>HYPERLINK("http://141.218.60.56/~jnz1568/getInfo.php?workbook=14_13.xlsx&amp;sheet=U0&amp;row=1544&amp;col=6&amp;number=3&amp;sourceID=14","3")</f>
        <v>3</v>
      </c>
      <c r="G1544" s="4" t="str">
        <f>HYPERLINK("http://141.218.60.56/~jnz1568/getInfo.php?workbook=14_13.xlsx&amp;sheet=U0&amp;row=1544&amp;col=7&amp;number=0.0169&amp;sourceID=14","0.0169")</f>
        <v>0.0169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HYPERLINK("http://141.218.60.56/~jnz1568/getInfo.php?workbook=14_13.xlsx&amp;sheet=U0&amp;row=1545&amp;col=6&amp;number=3.1&amp;sourceID=14","3.1")</f>
        <v>3.1</v>
      </c>
      <c r="G1545" s="4" t="str">
        <f>HYPERLINK("http://141.218.60.56/~jnz1568/getInfo.php?workbook=14_13.xlsx&amp;sheet=U0&amp;row=1545&amp;col=7&amp;number=0.0168&amp;sourceID=14","0.0168")</f>
        <v>0.0168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HYPERLINK("http://141.218.60.56/~jnz1568/getInfo.php?workbook=14_13.xlsx&amp;sheet=U0&amp;row=1546&amp;col=6&amp;number=3.2&amp;sourceID=14","3.2")</f>
        <v>3.2</v>
      </c>
      <c r="G1546" s="4" t="str">
        <f>HYPERLINK("http://141.218.60.56/~jnz1568/getInfo.php?workbook=14_13.xlsx&amp;sheet=U0&amp;row=1546&amp;col=7&amp;number=0.0168&amp;sourceID=14","0.0168")</f>
        <v>0.0168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HYPERLINK("http://141.218.60.56/~jnz1568/getInfo.php?workbook=14_13.xlsx&amp;sheet=U0&amp;row=1547&amp;col=6&amp;number=3.3&amp;sourceID=14","3.3")</f>
        <v>3.3</v>
      </c>
      <c r="G1547" s="4" t="str">
        <f>HYPERLINK("http://141.218.60.56/~jnz1568/getInfo.php?workbook=14_13.xlsx&amp;sheet=U0&amp;row=1547&amp;col=7&amp;number=0.0168&amp;sourceID=14","0.0168")</f>
        <v>0.0168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HYPERLINK("http://141.218.60.56/~jnz1568/getInfo.php?workbook=14_13.xlsx&amp;sheet=U0&amp;row=1548&amp;col=6&amp;number=3.4&amp;sourceID=14","3.4")</f>
        <v>3.4</v>
      </c>
      <c r="G1548" s="4" t="str">
        <f>HYPERLINK("http://141.218.60.56/~jnz1568/getInfo.php?workbook=14_13.xlsx&amp;sheet=U0&amp;row=1548&amp;col=7&amp;number=0.0167&amp;sourceID=14","0.0167")</f>
        <v>0.0167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HYPERLINK("http://141.218.60.56/~jnz1568/getInfo.php?workbook=14_13.xlsx&amp;sheet=U0&amp;row=1549&amp;col=6&amp;number=3.5&amp;sourceID=14","3.5")</f>
        <v>3.5</v>
      </c>
      <c r="G1549" s="4" t="str">
        <f>HYPERLINK("http://141.218.60.56/~jnz1568/getInfo.php?workbook=14_13.xlsx&amp;sheet=U0&amp;row=1549&amp;col=7&amp;number=0.0166&amp;sourceID=14","0.0166")</f>
        <v>0.0166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HYPERLINK("http://141.218.60.56/~jnz1568/getInfo.php?workbook=14_13.xlsx&amp;sheet=U0&amp;row=1550&amp;col=6&amp;number=3.6&amp;sourceID=14","3.6")</f>
        <v>3.6</v>
      </c>
      <c r="G1550" s="4" t="str">
        <f>HYPERLINK("http://141.218.60.56/~jnz1568/getInfo.php?workbook=14_13.xlsx&amp;sheet=U0&amp;row=1550&amp;col=7&amp;number=0.0165&amp;sourceID=14","0.0165")</f>
        <v>0.0165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HYPERLINK("http://141.218.60.56/~jnz1568/getInfo.php?workbook=14_13.xlsx&amp;sheet=U0&amp;row=1551&amp;col=6&amp;number=3.7&amp;sourceID=14","3.7")</f>
        <v>3.7</v>
      </c>
      <c r="G1551" s="4" t="str">
        <f>HYPERLINK("http://141.218.60.56/~jnz1568/getInfo.php?workbook=14_13.xlsx&amp;sheet=U0&amp;row=1551&amp;col=7&amp;number=0.0164&amp;sourceID=14","0.0164")</f>
        <v>0.0164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HYPERLINK("http://141.218.60.56/~jnz1568/getInfo.php?workbook=14_13.xlsx&amp;sheet=U0&amp;row=1552&amp;col=6&amp;number=3.8&amp;sourceID=14","3.8")</f>
        <v>3.8</v>
      </c>
      <c r="G1552" s="4" t="str">
        <f>HYPERLINK("http://141.218.60.56/~jnz1568/getInfo.php?workbook=14_13.xlsx&amp;sheet=U0&amp;row=1552&amp;col=7&amp;number=0.0163&amp;sourceID=14","0.0163")</f>
        <v>0.0163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HYPERLINK("http://141.218.60.56/~jnz1568/getInfo.php?workbook=14_13.xlsx&amp;sheet=U0&amp;row=1553&amp;col=6&amp;number=3.9&amp;sourceID=14","3.9")</f>
        <v>3.9</v>
      </c>
      <c r="G1553" s="4" t="str">
        <f>HYPERLINK("http://141.218.60.56/~jnz1568/getInfo.php?workbook=14_13.xlsx&amp;sheet=U0&amp;row=1553&amp;col=7&amp;number=0.0161&amp;sourceID=14","0.0161")</f>
        <v>0.0161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HYPERLINK("http://141.218.60.56/~jnz1568/getInfo.php?workbook=14_13.xlsx&amp;sheet=U0&amp;row=1554&amp;col=6&amp;number=4&amp;sourceID=14","4")</f>
        <v>4</v>
      </c>
      <c r="G1554" s="4" t="str">
        <f>HYPERLINK("http://141.218.60.56/~jnz1568/getInfo.php?workbook=14_13.xlsx&amp;sheet=U0&amp;row=1554&amp;col=7&amp;number=0.0159&amp;sourceID=14","0.0159")</f>
        <v>0.0159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HYPERLINK("http://141.218.60.56/~jnz1568/getInfo.php?workbook=14_13.xlsx&amp;sheet=U0&amp;row=1555&amp;col=6&amp;number=4.1&amp;sourceID=14","4.1")</f>
        <v>4.1</v>
      </c>
      <c r="G1555" s="4" t="str">
        <f>HYPERLINK("http://141.218.60.56/~jnz1568/getInfo.php?workbook=14_13.xlsx&amp;sheet=U0&amp;row=1555&amp;col=7&amp;number=0.0157&amp;sourceID=14","0.0157")</f>
        <v>0.0157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HYPERLINK("http://141.218.60.56/~jnz1568/getInfo.php?workbook=14_13.xlsx&amp;sheet=U0&amp;row=1556&amp;col=6&amp;number=4.2&amp;sourceID=14","4.2")</f>
        <v>4.2</v>
      </c>
      <c r="G1556" s="4" t="str">
        <f>HYPERLINK("http://141.218.60.56/~jnz1568/getInfo.php?workbook=14_13.xlsx&amp;sheet=U0&amp;row=1556&amp;col=7&amp;number=0.0154&amp;sourceID=14","0.0154")</f>
        <v>0.0154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HYPERLINK("http://141.218.60.56/~jnz1568/getInfo.php?workbook=14_13.xlsx&amp;sheet=U0&amp;row=1557&amp;col=6&amp;number=4.3&amp;sourceID=14","4.3")</f>
        <v>4.3</v>
      </c>
      <c r="G1557" s="4" t="str">
        <f>HYPERLINK("http://141.218.60.56/~jnz1568/getInfo.php?workbook=14_13.xlsx&amp;sheet=U0&amp;row=1557&amp;col=7&amp;number=0.0151&amp;sourceID=14","0.0151")</f>
        <v>0.0151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HYPERLINK("http://141.218.60.56/~jnz1568/getInfo.php?workbook=14_13.xlsx&amp;sheet=U0&amp;row=1558&amp;col=6&amp;number=4.4&amp;sourceID=14","4.4")</f>
        <v>4.4</v>
      </c>
      <c r="G1558" s="4" t="str">
        <f>HYPERLINK("http://141.218.60.56/~jnz1568/getInfo.php?workbook=14_13.xlsx&amp;sheet=U0&amp;row=1558&amp;col=7&amp;number=0.0148&amp;sourceID=14","0.0148")</f>
        <v>0.0148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HYPERLINK("http://141.218.60.56/~jnz1568/getInfo.php?workbook=14_13.xlsx&amp;sheet=U0&amp;row=1559&amp;col=6&amp;number=4.5&amp;sourceID=14","4.5")</f>
        <v>4.5</v>
      </c>
      <c r="G1559" s="4" t="str">
        <f>HYPERLINK("http://141.218.60.56/~jnz1568/getInfo.php?workbook=14_13.xlsx&amp;sheet=U0&amp;row=1559&amp;col=7&amp;number=0.0144&amp;sourceID=14","0.0144")</f>
        <v>0.0144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HYPERLINK("http://141.218.60.56/~jnz1568/getInfo.php?workbook=14_13.xlsx&amp;sheet=U0&amp;row=1560&amp;col=6&amp;number=4.6&amp;sourceID=14","4.6")</f>
        <v>4.6</v>
      </c>
      <c r="G1560" s="4" t="str">
        <f>HYPERLINK("http://141.218.60.56/~jnz1568/getInfo.php?workbook=14_13.xlsx&amp;sheet=U0&amp;row=1560&amp;col=7&amp;number=0.014&amp;sourceID=14","0.014")</f>
        <v>0.014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HYPERLINK("http://141.218.60.56/~jnz1568/getInfo.php?workbook=14_13.xlsx&amp;sheet=U0&amp;row=1561&amp;col=6&amp;number=4.7&amp;sourceID=14","4.7")</f>
        <v>4.7</v>
      </c>
      <c r="G1561" s="4" t="str">
        <f>HYPERLINK("http://141.218.60.56/~jnz1568/getInfo.php?workbook=14_13.xlsx&amp;sheet=U0&amp;row=1561&amp;col=7&amp;number=0.0135&amp;sourceID=14","0.0135")</f>
        <v>0.0135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HYPERLINK("http://141.218.60.56/~jnz1568/getInfo.php?workbook=14_13.xlsx&amp;sheet=U0&amp;row=1562&amp;col=6&amp;number=4.8&amp;sourceID=14","4.8")</f>
        <v>4.8</v>
      </c>
      <c r="G1562" s="4" t="str">
        <f>HYPERLINK("http://141.218.60.56/~jnz1568/getInfo.php?workbook=14_13.xlsx&amp;sheet=U0&amp;row=1562&amp;col=7&amp;number=0.013&amp;sourceID=14","0.013")</f>
        <v>0.013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HYPERLINK("http://141.218.60.56/~jnz1568/getInfo.php?workbook=14_13.xlsx&amp;sheet=U0&amp;row=1563&amp;col=6&amp;number=4.9&amp;sourceID=14","4.9")</f>
        <v>4.9</v>
      </c>
      <c r="G1563" s="4" t="str">
        <f>HYPERLINK("http://141.218.60.56/~jnz1568/getInfo.php?workbook=14_13.xlsx&amp;sheet=U0&amp;row=1563&amp;col=7&amp;number=0.0124&amp;sourceID=14","0.0124")</f>
        <v>0.0124</v>
      </c>
    </row>
    <row r="1564" spans="1:7">
      <c r="A1564" s="3">
        <v>14</v>
      </c>
      <c r="B1564" s="3">
        <v>13</v>
      </c>
      <c r="C1564" s="3">
        <v>3</v>
      </c>
      <c r="D1564" s="3">
        <v>27</v>
      </c>
      <c r="E1564" s="3">
        <v>1</v>
      </c>
      <c r="F1564" s="4" t="str">
        <f>HYPERLINK("http://141.218.60.56/~jnz1568/getInfo.php?workbook=14_13.xlsx&amp;sheet=U0&amp;row=1564&amp;col=6&amp;number=3&amp;sourceID=14","3")</f>
        <v>3</v>
      </c>
      <c r="G1564" s="4" t="str">
        <f>HYPERLINK("http://141.218.60.56/~jnz1568/getInfo.php?workbook=14_13.xlsx&amp;sheet=U0&amp;row=1564&amp;col=7&amp;number=0.0105&amp;sourceID=14","0.0105")</f>
        <v>0.0105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HYPERLINK("http://141.218.60.56/~jnz1568/getInfo.php?workbook=14_13.xlsx&amp;sheet=U0&amp;row=1565&amp;col=6&amp;number=3.1&amp;sourceID=14","3.1")</f>
        <v>3.1</v>
      </c>
      <c r="G1565" s="4" t="str">
        <f>HYPERLINK("http://141.218.60.56/~jnz1568/getInfo.php?workbook=14_13.xlsx&amp;sheet=U0&amp;row=1565&amp;col=7&amp;number=0.0105&amp;sourceID=14","0.0105")</f>
        <v>0.0105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HYPERLINK("http://141.218.60.56/~jnz1568/getInfo.php?workbook=14_13.xlsx&amp;sheet=U0&amp;row=1566&amp;col=6&amp;number=3.2&amp;sourceID=14","3.2")</f>
        <v>3.2</v>
      </c>
      <c r="G1566" s="4" t="str">
        <f>HYPERLINK("http://141.218.60.56/~jnz1568/getInfo.php?workbook=14_13.xlsx&amp;sheet=U0&amp;row=1566&amp;col=7&amp;number=0.0105&amp;sourceID=14","0.0105")</f>
        <v>0.0105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HYPERLINK("http://141.218.60.56/~jnz1568/getInfo.php?workbook=14_13.xlsx&amp;sheet=U0&amp;row=1567&amp;col=6&amp;number=3.3&amp;sourceID=14","3.3")</f>
        <v>3.3</v>
      </c>
      <c r="G1567" s="4" t="str">
        <f>HYPERLINK("http://141.218.60.56/~jnz1568/getInfo.php?workbook=14_13.xlsx&amp;sheet=U0&amp;row=1567&amp;col=7&amp;number=0.0104&amp;sourceID=14","0.0104")</f>
        <v>0.0104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HYPERLINK("http://141.218.60.56/~jnz1568/getInfo.php?workbook=14_13.xlsx&amp;sheet=U0&amp;row=1568&amp;col=6&amp;number=3.4&amp;sourceID=14","3.4")</f>
        <v>3.4</v>
      </c>
      <c r="G1568" s="4" t="str">
        <f>HYPERLINK("http://141.218.60.56/~jnz1568/getInfo.php?workbook=14_13.xlsx&amp;sheet=U0&amp;row=1568&amp;col=7&amp;number=0.0104&amp;sourceID=14","0.0104")</f>
        <v>0.0104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HYPERLINK("http://141.218.60.56/~jnz1568/getInfo.php?workbook=14_13.xlsx&amp;sheet=U0&amp;row=1569&amp;col=6&amp;number=3.5&amp;sourceID=14","3.5")</f>
        <v>3.5</v>
      </c>
      <c r="G1569" s="4" t="str">
        <f>HYPERLINK("http://141.218.60.56/~jnz1568/getInfo.php?workbook=14_13.xlsx&amp;sheet=U0&amp;row=1569&amp;col=7&amp;number=0.0104&amp;sourceID=14","0.0104")</f>
        <v>0.0104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HYPERLINK("http://141.218.60.56/~jnz1568/getInfo.php?workbook=14_13.xlsx&amp;sheet=U0&amp;row=1570&amp;col=6&amp;number=3.6&amp;sourceID=14","3.6")</f>
        <v>3.6</v>
      </c>
      <c r="G1570" s="4" t="str">
        <f>HYPERLINK("http://141.218.60.56/~jnz1568/getInfo.php?workbook=14_13.xlsx&amp;sheet=U0&amp;row=1570&amp;col=7&amp;number=0.0103&amp;sourceID=14","0.0103")</f>
        <v>0.0103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HYPERLINK("http://141.218.60.56/~jnz1568/getInfo.php?workbook=14_13.xlsx&amp;sheet=U0&amp;row=1571&amp;col=6&amp;number=3.7&amp;sourceID=14","3.7")</f>
        <v>3.7</v>
      </c>
      <c r="G1571" s="4" t="str">
        <f>HYPERLINK("http://141.218.60.56/~jnz1568/getInfo.php?workbook=14_13.xlsx&amp;sheet=U0&amp;row=1571&amp;col=7&amp;number=0.0103&amp;sourceID=14","0.0103")</f>
        <v>0.0103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HYPERLINK("http://141.218.60.56/~jnz1568/getInfo.php?workbook=14_13.xlsx&amp;sheet=U0&amp;row=1572&amp;col=6&amp;number=3.8&amp;sourceID=14","3.8")</f>
        <v>3.8</v>
      </c>
      <c r="G1572" s="4" t="str">
        <f>HYPERLINK("http://141.218.60.56/~jnz1568/getInfo.php?workbook=14_13.xlsx&amp;sheet=U0&amp;row=1572&amp;col=7&amp;number=0.0102&amp;sourceID=14","0.0102")</f>
        <v>0.0102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HYPERLINK("http://141.218.60.56/~jnz1568/getInfo.php?workbook=14_13.xlsx&amp;sheet=U0&amp;row=1573&amp;col=6&amp;number=3.9&amp;sourceID=14","3.9")</f>
        <v>3.9</v>
      </c>
      <c r="G1573" s="4" t="str">
        <f>HYPERLINK("http://141.218.60.56/~jnz1568/getInfo.php?workbook=14_13.xlsx&amp;sheet=U0&amp;row=1573&amp;col=7&amp;number=0.0101&amp;sourceID=14","0.0101")</f>
        <v>0.0101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HYPERLINK("http://141.218.60.56/~jnz1568/getInfo.php?workbook=14_13.xlsx&amp;sheet=U0&amp;row=1574&amp;col=6&amp;number=4&amp;sourceID=14","4")</f>
        <v>4</v>
      </c>
      <c r="G1574" s="4" t="str">
        <f>HYPERLINK("http://141.218.60.56/~jnz1568/getInfo.php?workbook=14_13.xlsx&amp;sheet=U0&amp;row=1574&amp;col=7&amp;number=0.01&amp;sourceID=14","0.01")</f>
        <v>0.01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HYPERLINK("http://141.218.60.56/~jnz1568/getInfo.php?workbook=14_13.xlsx&amp;sheet=U0&amp;row=1575&amp;col=6&amp;number=4.1&amp;sourceID=14","4.1")</f>
        <v>4.1</v>
      </c>
      <c r="G1575" s="4" t="str">
        <f>HYPERLINK("http://141.218.60.56/~jnz1568/getInfo.php?workbook=14_13.xlsx&amp;sheet=U0&amp;row=1575&amp;col=7&amp;number=0.00988&amp;sourceID=14","0.00988")</f>
        <v>0.00988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HYPERLINK("http://141.218.60.56/~jnz1568/getInfo.php?workbook=14_13.xlsx&amp;sheet=U0&amp;row=1576&amp;col=6&amp;number=4.2&amp;sourceID=14","4.2")</f>
        <v>4.2</v>
      </c>
      <c r="G1576" s="4" t="str">
        <f>HYPERLINK("http://141.218.60.56/~jnz1568/getInfo.php?workbook=14_13.xlsx&amp;sheet=U0&amp;row=1576&amp;col=7&amp;number=0.00972&amp;sourceID=14","0.00972")</f>
        <v>0.00972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HYPERLINK("http://141.218.60.56/~jnz1568/getInfo.php?workbook=14_13.xlsx&amp;sheet=U0&amp;row=1577&amp;col=6&amp;number=4.3&amp;sourceID=14","4.3")</f>
        <v>4.3</v>
      </c>
      <c r="G1577" s="4" t="str">
        <f>HYPERLINK("http://141.218.60.56/~jnz1568/getInfo.php?workbook=14_13.xlsx&amp;sheet=U0&amp;row=1577&amp;col=7&amp;number=0.00949&amp;sourceID=14","0.00949")</f>
        <v>0.00949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HYPERLINK("http://141.218.60.56/~jnz1568/getInfo.php?workbook=14_13.xlsx&amp;sheet=U0&amp;row=1578&amp;col=6&amp;number=4.4&amp;sourceID=14","4.4")</f>
        <v>4.4</v>
      </c>
      <c r="G1578" s="4" t="str">
        <f>HYPERLINK("http://141.218.60.56/~jnz1568/getInfo.php?workbook=14_13.xlsx&amp;sheet=U0&amp;row=1578&amp;col=7&amp;number=0.00921&amp;sourceID=14","0.00921")</f>
        <v>0.00921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HYPERLINK("http://141.218.60.56/~jnz1568/getInfo.php?workbook=14_13.xlsx&amp;sheet=U0&amp;row=1579&amp;col=6&amp;number=4.5&amp;sourceID=14","4.5")</f>
        <v>4.5</v>
      </c>
      <c r="G1579" s="4" t="str">
        <f>HYPERLINK("http://141.218.60.56/~jnz1568/getInfo.php?workbook=14_13.xlsx&amp;sheet=U0&amp;row=1579&amp;col=7&amp;number=0.00888&amp;sourceID=14","0.00888")</f>
        <v>0.00888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HYPERLINK("http://141.218.60.56/~jnz1568/getInfo.php?workbook=14_13.xlsx&amp;sheet=U0&amp;row=1580&amp;col=6&amp;number=4.6&amp;sourceID=14","4.6")</f>
        <v>4.6</v>
      </c>
      <c r="G1580" s="4" t="str">
        <f>HYPERLINK("http://141.218.60.56/~jnz1568/getInfo.php?workbook=14_13.xlsx&amp;sheet=U0&amp;row=1580&amp;col=7&amp;number=0.00848&amp;sourceID=14","0.00848")</f>
        <v>0.00848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HYPERLINK("http://141.218.60.56/~jnz1568/getInfo.php?workbook=14_13.xlsx&amp;sheet=U0&amp;row=1581&amp;col=6&amp;number=4.7&amp;sourceID=14","4.7")</f>
        <v>4.7</v>
      </c>
      <c r="G1581" s="4" t="str">
        <f>HYPERLINK("http://141.218.60.56/~jnz1568/getInfo.php?workbook=14_13.xlsx&amp;sheet=U0&amp;row=1581&amp;col=7&amp;number=0.00801&amp;sourceID=14","0.00801")</f>
        <v>0.00801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HYPERLINK("http://141.218.60.56/~jnz1568/getInfo.php?workbook=14_13.xlsx&amp;sheet=U0&amp;row=1582&amp;col=6&amp;number=4.8&amp;sourceID=14","4.8")</f>
        <v>4.8</v>
      </c>
      <c r="G1582" s="4" t="str">
        <f>HYPERLINK("http://141.218.60.56/~jnz1568/getInfo.php?workbook=14_13.xlsx&amp;sheet=U0&amp;row=1582&amp;col=7&amp;number=0.00747&amp;sourceID=14","0.00747")</f>
        <v>0.00747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HYPERLINK("http://141.218.60.56/~jnz1568/getInfo.php?workbook=14_13.xlsx&amp;sheet=U0&amp;row=1583&amp;col=6&amp;number=4.9&amp;sourceID=14","4.9")</f>
        <v>4.9</v>
      </c>
      <c r="G1583" s="4" t="str">
        <f>HYPERLINK("http://141.218.60.56/~jnz1568/getInfo.php?workbook=14_13.xlsx&amp;sheet=U0&amp;row=1583&amp;col=7&amp;number=0.00688&amp;sourceID=14","0.00688")</f>
        <v>0.00688</v>
      </c>
    </row>
    <row r="1584" spans="1:7">
      <c r="A1584" s="3">
        <v>14</v>
      </c>
      <c r="B1584" s="3">
        <v>13</v>
      </c>
      <c r="C1584" s="3">
        <v>3</v>
      </c>
      <c r="D1584" s="3">
        <v>28</v>
      </c>
      <c r="E1584" s="3">
        <v>1</v>
      </c>
      <c r="F1584" s="4" t="str">
        <f>HYPERLINK("http://141.218.60.56/~jnz1568/getInfo.php?workbook=14_13.xlsx&amp;sheet=U0&amp;row=1584&amp;col=6&amp;number=3&amp;sourceID=14","3")</f>
        <v>3</v>
      </c>
      <c r="G1584" s="4" t="str">
        <f>HYPERLINK("http://141.218.60.56/~jnz1568/getInfo.php?workbook=14_13.xlsx&amp;sheet=U0&amp;row=1584&amp;col=7&amp;number=0.00423&amp;sourceID=14","0.00423")</f>
        <v>0.00423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HYPERLINK("http://141.218.60.56/~jnz1568/getInfo.php?workbook=14_13.xlsx&amp;sheet=U0&amp;row=1585&amp;col=6&amp;number=3.1&amp;sourceID=14","3.1")</f>
        <v>3.1</v>
      </c>
      <c r="G1585" s="4" t="str">
        <f>HYPERLINK("http://141.218.60.56/~jnz1568/getInfo.php?workbook=14_13.xlsx&amp;sheet=U0&amp;row=1585&amp;col=7&amp;number=0.00422&amp;sourceID=14","0.00422")</f>
        <v>0.00422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HYPERLINK("http://141.218.60.56/~jnz1568/getInfo.php?workbook=14_13.xlsx&amp;sheet=U0&amp;row=1586&amp;col=6&amp;number=3.2&amp;sourceID=14","3.2")</f>
        <v>3.2</v>
      </c>
      <c r="G1586" s="4" t="str">
        <f>HYPERLINK("http://141.218.60.56/~jnz1568/getInfo.php?workbook=14_13.xlsx&amp;sheet=U0&amp;row=1586&amp;col=7&amp;number=0.00421&amp;sourceID=14","0.00421")</f>
        <v>0.00421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HYPERLINK("http://141.218.60.56/~jnz1568/getInfo.php?workbook=14_13.xlsx&amp;sheet=U0&amp;row=1587&amp;col=6&amp;number=3.3&amp;sourceID=14","3.3")</f>
        <v>3.3</v>
      </c>
      <c r="G1587" s="4" t="str">
        <f>HYPERLINK("http://141.218.60.56/~jnz1568/getInfo.php?workbook=14_13.xlsx&amp;sheet=U0&amp;row=1587&amp;col=7&amp;number=0.00419&amp;sourceID=14","0.00419")</f>
        <v>0.00419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HYPERLINK("http://141.218.60.56/~jnz1568/getInfo.php?workbook=14_13.xlsx&amp;sheet=U0&amp;row=1588&amp;col=6&amp;number=3.4&amp;sourceID=14","3.4")</f>
        <v>3.4</v>
      </c>
      <c r="G1588" s="4" t="str">
        <f>HYPERLINK("http://141.218.60.56/~jnz1568/getInfo.php?workbook=14_13.xlsx&amp;sheet=U0&amp;row=1588&amp;col=7&amp;number=0.00418&amp;sourceID=14","0.00418")</f>
        <v>0.00418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HYPERLINK("http://141.218.60.56/~jnz1568/getInfo.php?workbook=14_13.xlsx&amp;sheet=U0&amp;row=1589&amp;col=6&amp;number=3.5&amp;sourceID=14","3.5")</f>
        <v>3.5</v>
      </c>
      <c r="G1589" s="4" t="str">
        <f>HYPERLINK("http://141.218.60.56/~jnz1568/getInfo.php?workbook=14_13.xlsx&amp;sheet=U0&amp;row=1589&amp;col=7&amp;number=0.00416&amp;sourceID=14","0.00416")</f>
        <v>0.00416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HYPERLINK("http://141.218.60.56/~jnz1568/getInfo.php?workbook=14_13.xlsx&amp;sheet=U0&amp;row=1590&amp;col=6&amp;number=3.6&amp;sourceID=14","3.6")</f>
        <v>3.6</v>
      </c>
      <c r="G1590" s="4" t="str">
        <f>HYPERLINK("http://141.218.60.56/~jnz1568/getInfo.php?workbook=14_13.xlsx&amp;sheet=U0&amp;row=1590&amp;col=7&amp;number=0.00414&amp;sourceID=14","0.00414")</f>
        <v>0.00414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HYPERLINK("http://141.218.60.56/~jnz1568/getInfo.php?workbook=14_13.xlsx&amp;sheet=U0&amp;row=1591&amp;col=6&amp;number=3.7&amp;sourceID=14","3.7")</f>
        <v>3.7</v>
      </c>
      <c r="G1591" s="4" t="str">
        <f>HYPERLINK("http://141.218.60.56/~jnz1568/getInfo.php?workbook=14_13.xlsx&amp;sheet=U0&amp;row=1591&amp;col=7&amp;number=0.00413&amp;sourceID=14","0.00413")</f>
        <v>0.00413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HYPERLINK("http://141.218.60.56/~jnz1568/getInfo.php?workbook=14_13.xlsx&amp;sheet=U0&amp;row=1592&amp;col=6&amp;number=3.8&amp;sourceID=14","3.8")</f>
        <v>3.8</v>
      </c>
      <c r="G1592" s="4" t="str">
        <f>HYPERLINK("http://141.218.60.56/~jnz1568/getInfo.php?workbook=14_13.xlsx&amp;sheet=U0&amp;row=1592&amp;col=7&amp;number=0.00412&amp;sourceID=14","0.00412")</f>
        <v>0.00412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HYPERLINK("http://141.218.60.56/~jnz1568/getInfo.php?workbook=14_13.xlsx&amp;sheet=U0&amp;row=1593&amp;col=6&amp;number=3.9&amp;sourceID=14","3.9")</f>
        <v>3.9</v>
      </c>
      <c r="G1593" s="4" t="str">
        <f>HYPERLINK("http://141.218.60.56/~jnz1568/getInfo.php?workbook=14_13.xlsx&amp;sheet=U0&amp;row=1593&amp;col=7&amp;number=0.00411&amp;sourceID=14","0.00411")</f>
        <v>0.00411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HYPERLINK("http://141.218.60.56/~jnz1568/getInfo.php?workbook=14_13.xlsx&amp;sheet=U0&amp;row=1594&amp;col=6&amp;number=4&amp;sourceID=14","4")</f>
        <v>4</v>
      </c>
      <c r="G1594" s="4" t="str">
        <f>HYPERLINK("http://141.218.60.56/~jnz1568/getInfo.php?workbook=14_13.xlsx&amp;sheet=U0&amp;row=1594&amp;col=7&amp;number=0.0041&amp;sourceID=14","0.0041")</f>
        <v>0.0041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HYPERLINK("http://141.218.60.56/~jnz1568/getInfo.php?workbook=14_13.xlsx&amp;sheet=U0&amp;row=1595&amp;col=6&amp;number=4.1&amp;sourceID=14","4.1")</f>
        <v>4.1</v>
      </c>
      <c r="G1595" s="4" t="str">
        <f>HYPERLINK("http://141.218.60.56/~jnz1568/getInfo.php?workbook=14_13.xlsx&amp;sheet=U0&amp;row=1595&amp;col=7&amp;number=0.00409&amp;sourceID=14","0.00409")</f>
        <v>0.00409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HYPERLINK("http://141.218.60.56/~jnz1568/getInfo.php?workbook=14_13.xlsx&amp;sheet=U0&amp;row=1596&amp;col=6&amp;number=4.2&amp;sourceID=14","4.2")</f>
        <v>4.2</v>
      </c>
      <c r="G1596" s="4" t="str">
        <f>HYPERLINK("http://141.218.60.56/~jnz1568/getInfo.php?workbook=14_13.xlsx&amp;sheet=U0&amp;row=1596&amp;col=7&amp;number=0.00408&amp;sourceID=14","0.00408")</f>
        <v>0.00408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HYPERLINK("http://141.218.60.56/~jnz1568/getInfo.php?workbook=14_13.xlsx&amp;sheet=U0&amp;row=1597&amp;col=6&amp;number=4.3&amp;sourceID=14","4.3")</f>
        <v>4.3</v>
      </c>
      <c r="G1597" s="4" t="str">
        <f>HYPERLINK("http://141.218.60.56/~jnz1568/getInfo.php?workbook=14_13.xlsx&amp;sheet=U0&amp;row=1597&amp;col=7&amp;number=0.00408&amp;sourceID=14","0.00408")</f>
        <v>0.00408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HYPERLINK("http://141.218.60.56/~jnz1568/getInfo.php?workbook=14_13.xlsx&amp;sheet=U0&amp;row=1598&amp;col=6&amp;number=4.4&amp;sourceID=14","4.4")</f>
        <v>4.4</v>
      </c>
      <c r="G1598" s="4" t="str">
        <f>HYPERLINK("http://141.218.60.56/~jnz1568/getInfo.php?workbook=14_13.xlsx&amp;sheet=U0&amp;row=1598&amp;col=7&amp;number=0.00407&amp;sourceID=14","0.00407")</f>
        <v>0.00407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HYPERLINK("http://141.218.60.56/~jnz1568/getInfo.php?workbook=14_13.xlsx&amp;sheet=U0&amp;row=1599&amp;col=6&amp;number=4.5&amp;sourceID=14","4.5")</f>
        <v>4.5</v>
      </c>
      <c r="G1599" s="4" t="str">
        <f>HYPERLINK("http://141.218.60.56/~jnz1568/getInfo.php?workbook=14_13.xlsx&amp;sheet=U0&amp;row=1599&amp;col=7&amp;number=0.00406&amp;sourceID=14","0.00406")</f>
        <v>0.00406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HYPERLINK("http://141.218.60.56/~jnz1568/getInfo.php?workbook=14_13.xlsx&amp;sheet=U0&amp;row=1600&amp;col=6&amp;number=4.6&amp;sourceID=14","4.6")</f>
        <v>4.6</v>
      </c>
      <c r="G1600" s="4" t="str">
        <f>HYPERLINK("http://141.218.60.56/~jnz1568/getInfo.php?workbook=14_13.xlsx&amp;sheet=U0&amp;row=1600&amp;col=7&amp;number=0.00405&amp;sourceID=14","0.00405")</f>
        <v>0.00405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HYPERLINK("http://141.218.60.56/~jnz1568/getInfo.php?workbook=14_13.xlsx&amp;sheet=U0&amp;row=1601&amp;col=6&amp;number=4.7&amp;sourceID=14","4.7")</f>
        <v>4.7</v>
      </c>
      <c r="G1601" s="4" t="str">
        <f>HYPERLINK("http://141.218.60.56/~jnz1568/getInfo.php?workbook=14_13.xlsx&amp;sheet=U0&amp;row=1601&amp;col=7&amp;number=0.00402&amp;sourceID=14","0.00402")</f>
        <v>0.00402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HYPERLINK("http://141.218.60.56/~jnz1568/getInfo.php?workbook=14_13.xlsx&amp;sheet=U0&amp;row=1602&amp;col=6&amp;number=4.8&amp;sourceID=14","4.8")</f>
        <v>4.8</v>
      </c>
      <c r="G1602" s="4" t="str">
        <f>HYPERLINK("http://141.218.60.56/~jnz1568/getInfo.php?workbook=14_13.xlsx&amp;sheet=U0&amp;row=1602&amp;col=7&amp;number=0.00398&amp;sourceID=14","0.00398")</f>
        <v>0.00398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HYPERLINK("http://141.218.60.56/~jnz1568/getInfo.php?workbook=14_13.xlsx&amp;sheet=U0&amp;row=1603&amp;col=6&amp;number=4.9&amp;sourceID=14","4.9")</f>
        <v>4.9</v>
      </c>
      <c r="G1603" s="4" t="str">
        <f>HYPERLINK("http://141.218.60.56/~jnz1568/getInfo.php?workbook=14_13.xlsx&amp;sheet=U0&amp;row=1603&amp;col=7&amp;number=0.0039&amp;sourceID=14","0.0039")</f>
        <v>0.0039</v>
      </c>
    </row>
    <row r="1604" spans="1:7">
      <c r="A1604" s="3">
        <v>14</v>
      </c>
      <c r="B1604" s="3">
        <v>13</v>
      </c>
      <c r="C1604" s="3">
        <v>3</v>
      </c>
      <c r="D1604" s="3">
        <v>29</v>
      </c>
      <c r="E1604" s="3">
        <v>1</v>
      </c>
      <c r="F1604" s="4" t="str">
        <f>HYPERLINK("http://141.218.60.56/~jnz1568/getInfo.php?workbook=14_13.xlsx&amp;sheet=U0&amp;row=1604&amp;col=6&amp;number=3&amp;sourceID=14","3")</f>
        <v>3</v>
      </c>
      <c r="G1604" s="4" t="str">
        <f>HYPERLINK("http://141.218.60.56/~jnz1568/getInfo.php?workbook=14_13.xlsx&amp;sheet=U0&amp;row=1604&amp;col=7&amp;number=0.00486&amp;sourceID=14","0.00486")</f>
        <v>0.00486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HYPERLINK("http://141.218.60.56/~jnz1568/getInfo.php?workbook=14_13.xlsx&amp;sheet=U0&amp;row=1605&amp;col=6&amp;number=3.1&amp;sourceID=14","3.1")</f>
        <v>3.1</v>
      </c>
      <c r="G1605" s="4" t="str">
        <f>HYPERLINK("http://141.218.60.56/~jnz1568/getInfo.php?workbook=14_13.xlsx&amp;sheet=U0&amp;row=1605&amp;col=7&amp;number=0.00487&amp;sourceID=14","0.00487")</f>
        <v>0.00487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HYPERLINK("http://141.218.60.56/~jnz1568/getInfo.php?workbook=14_13.xlsx&amp;sheet=U0&amp;row=1606&amp;col=6&amp;number=3.2&amp;sourceID=14","3.2")</f>
        <v>3.2</v>
      </c>
      <c r="G1606" s="4" t="str">
        <f>HYPERLINK("http://141.218.60.56/~jnz1568/getInfo.php?workbook=14_13.xlsx&amp;sheet=U0&amp;row=1606&amp;col=7&amp;number=0.00488&amp;sourceID=14","0.00488")</f>
        <v>0.00488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HYPERLINK("http://141.218.60.56/~jnz1568/getInfo.php?workbook=14_13.xlsx&amp;sheet=U0&amp;row=1607&amp;col=6&amp;number=3.3&amp;sourceID=14","3.3")</f>
        <v>3.3</v>
      </c>
      <c r="G1607" s="4" t="str">
        <f>HYPERLINK("http://141.218.60.56/~jnz1568/getInfo.php?workbook=14_13.xlsx&amp;sheet=U0&amp;row=1607&amp;col=7&amp;number=0.00489&amp;sourceID=14","0.00489")</f>
        <v>0.00489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HYPERLINK("http://141.218.60.56/~jnz1568/getInfo.php?workbook=14_13.xlsx&amp;sheet=U0&amp;row=1608&amp;col=6&amp;number=3.4&amp;sourceID=14","3.4")</f>
        <v>3.4</v>
      </c>
      <c r="G1608" s="4" t="str">
        <f>HYPERLINK("http://141.218.60.56/~jnz1568/getInfo.php?workbook=14_13.xlsx&amp;sheet=U0&amp;row=1608&amp;col=7&amp;number=0.00491&amp;sourceID=14","0.00491")</f>
        <v>0.00491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HYPERLINK("http://141.218.60.56/~jnz1568/getInfo.php?workbook=14_13.xlsx&amp;sheet=U0&amp;row=1609&amp;col=6&amp;number=3.5&amp;sourceID=14","3.5")</f>
        <v>3.5</v>
      </c>
      <c r="G1609" s="4" t="str">
        <f>HYPERLINK("http://141.218.60.56/~jnz1568/getInfo.php?workbook=14_13.xlsx&amp;sheet=U0&amp;row=1609&amp;col=7&amp;number=0.00493&amp;sourceID=14","0.00493")</f>
        <v>0.00493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HYPERLINK("http://141.218.60.56/~jnz1568/getInfo.php?workbook=14_13.xlsx&amp;sheet=U0&amp;row=1610&amp;col=6&amp;number=3.6&amp;sourceID=14","3.6")</f>
        <v>3.6</v>
      </c>
      <c r="G1610" s="4" t="str">
        <f>HYPERLINK("http://141.218.60.56/~jnz1568/getInfo.php?workbook=14_13.xlsx&amp;sheet=U0&amp;row=1610&amp;col=7&amp;number=0.00494&amp;sourceID=14","0.00494")</f>
        <v>0.00494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HYPERLINK("http://141.218.60.56/~jnz1568/getInfo.php?workbook=14_13.xlsx&amp;sheet=U0&amp;row=1611&amp;col=6&amp;number=3.7&amp;sourceID=14","3.7")</f>
        <v>3.7</v>
      </c>
      <c r="G1611" s="4" t="str">
        <f>HYPERLINK("http://141.218.60.56/~jnz1568/getInfo.php?workbook=14_13.xlsx&amp;sheet=U0&amp;row=1611&amp;col=7&amp;number=0.00496&amp;sourceID=14","0.00496")</f>
        <v>0.00496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HYPERLINK("http://141.218.60.56/~jnz1568/getInfo.php?workbook=14_13.xlsx&amp;sheet=U0&amp;row=1612&amp;col=6&amp;number=3.8&amp;sourceID=14","3.8")</f>
        <v>3.8</v>
      </c>
      <c r="G1612" s="4" t="str">
        <f>HYPERLINK("http://141.218.60.56/~jnz1568/getInfo.php?workbook=14_13.xlsx&amp;sheet=U0&amp;row=1612&amp;col=7&amp;number=0.00497&amp;sourceID=14","0.00497")</f>
        <v>0.00497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HYPERLINK("http://141.218.60.56/~jnz1568/getInfo.php?workbook=14_13.xlsx&amp;sheet=U0&amp;row=1613&amp;col=6&amp;number=3.9&amp;sourceID=14","3.9")</f>
        <v>3.9</v>
      </c>
      <c r="G1613" s="4" t="str">
        <f>HYPERLINK("http://141.218.60.56/~jnz1568/getInfo.php?workbook=14_13.xlsx&amp;sheet=U0&amp;row=1613&amp;col=7&amp;number=0.00498&amp;sourceID=14","0.00498")</f>
        <v>0.00498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HYPERLINK("http://141.218.60.56/~jnz1568/getInfo.php?workbook=14_13.xlsx&amp;sheet=U0&amp;row=1614&amp;col=6&amp;number=4&amp;sourceID=14","4")</f>
        <v>4</v>
      </c>
      <c r="G1614" s="4" t="str">
        <f>HYPERLINK("http://141.218.60.56/~jnz1568/getInfo.php?workbook=14_13.xlsx&amp;sheet=U0&amp;row=1614&amp;col=7&amp;number=0.00498&amp;sourceID=14","0.00498")</f>
        <v>0.00498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HYPERLINK("http://141.218.60.56/~jnz1568/getInfo.php?workbook=14_13.xlsx&amp;sheet=U0&amp;row=1615&amp;col=6&amp;number=4.1&amp;sourceID=14","4.1")</f>
        <v>4.1</v>
      </c>
      <c r="G1615" s="4" t="str">
        <f>HYPERLINK("http://141.218.60.56/~jnz1568/getInfo.php?workbook=14_13.xlsx&amp;sheet=U0&amp;row=1615&amp;col=7&amp;number=0.00498&amp;sourceID=14","0.00498")</f>
        <v>0.00498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HYPERLINK("http://141.218.60.56/~jnz1568/getInfo.php?workbook=14_13.xlsx&amp;sheet=U0&amp;row=1616&amp;col=6&amp;number=4.2&amp;sourceID=14","4.2")</f>
        <v>4.2</v>
      </c>
      <c r="G1616" s="4" t="str">
        <f>HYPERLINK("http://141.218.60.56/~jnz1568/getInfo.php?workbook=14_13.xlsx&amp;sheet=U0&amp;row=1616&amp;col=7&amp;number=0.00498&amp;sourceID=14","0.00498")</f>
        <v>0.00498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HYPERLINK("http://141.218.60.56/~jnz1568/getInfo.php?workbook=14_13.xlsx&amp;sheet=U0&amp;row=1617&amp;col=6&amp;number=4.3&amp;sourceID=14","4.3")</f>
        <v>4.3</v>
      </c>
      <c r="G1617" s="4" t="str">
        <f>HYPERLINK("http://141.218.60.56/~jnz1568/getInfo.php?workbook=14_13.xlsx&amp;sheet=U0&amp;row=1617&amp;col=7&amp;number=0.00497&amp;sourceID=14","0.00497")</f>
        <v>0.00497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HYPERLINK("http://141.218.60.56/~jnz1568/getInfo.php?workbook=14_13.xlsx&amp;sheet=U0&amp;row=1618&amp;col=6&amp;number=4.4&amp;sourceID=14","4.4")</f>
        <v>4.4</v>
      </c>
      <c r="G1618" s="4" t="str">
        <f>HYPERLINK("http://141.218.60.56/~jnz1568/getInfo.php?workbook=14_13.xlsx&amp;sheet=U0&amp;row=1618&amp;col=7&amp;number=0.00495&amp;sourceID=14","0.00495")</f>
        <v>0.00495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HYPERLINK("http://141.218.60.56/~jnz1568/getInfo.php?workbook=14_13.xlsx&amp;sheet=U0&amp;row=1619&amp;col=6&amp;number=4.5&amp;sourceID=14","4.5")</f>
        <v>4.5</v>
      </c>
      <c r="G1619" s="4" t="str">
        <f>HYPERLINK("http://141.218.60.56/~jnz1568/getInfo.php?workbook=14_13.xlsx&amp;sheet=U0&amp;row=1619&amp;col=7&amp;number=0.00492&amp;sourceID=14","0.00492")</f>
        <v>0.00492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HYPERLINK("http://141.218.60.56/~jnz1568/getInfo.php?workbook=14_13.xlsx&amp;sheet=U0&amp;row=1620&amp;col=6&amp;number=4.6&amp;sourceID=14","4.6")</f>
        <v>4.6</v>
      </c>
      <c r="G1620" s="4" t="str">
        <f>HYPERLINK("http://141.218.60.56/~jnz1568/getInfo.php?workbook=14_13.xlsx&amp;sheet=U0&amp;row=1620&amp;col=7&amp;number=0.00486&amp;sourceID=14","0.00486")</f>
        <v>0.00486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HYPERLINK("http://141.218.60.56/~jnz1568/getInfo.php?workbook=14_13.xlsx&amp;sheet=U0&amp;row=1621&amp;col=6&amp;number=4.7&amp;sourceID=14","4.7")</f>
        <v>4.7</v>
      </c>
      <c r="G1621" s="4" t="str">
        <f>HYPERLINK("http://141.218.60.56/~jnz1568/getInfo.php?workbook=14_13.xlsx&amp;sheet=U0&amp;row=1621&amp;col=7&amp;number=0.00477&amp;sourceID=14","0.00477")</f>
        <v>0.00477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HYPERLINK("http://141.218.60.56/~jnz1568/getInfo.php?workbook=14_13.xlsx&amp;sheet=U0&amp;row=1622&amp;col=6&amp;number=4.8&amp;sourceID=14","4.8")</f>
        <v>4.8</v>
      </c>
      <c r="G1622" s="4" t="str">
        <f>HYPERLINK("http://141.218.60.56/~jnz1568/getInfo.php?workbook=14_13.xlsx&amp;sheet=U0&amp;row=1622&amp;col=7&amp;number=0.00463&amp;sourceID=14","0.00463")</f>
        <v>0.00463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HYPERLINK("http://141.218.60.56/~jnz1568/getInfo.php?workbook=14_13.xlsx&amp;sheet=U0&amp;row=1623&amp;col=6&amp;number=4.9&amp;sourceID=14","4.9")</f>
        <v>4.9</v>
      </c>
      <c r="G1623" s="4" t="str">
        <f>HYPERLINK("http://141.218.60.56/~jnz1568/getInfo.php?workbook=14_13.xlsx&amp;sheet=U0&amp;row=1623&amp;col=7&amp;number=0.00444&amp;sourceID=14","0.00444")</f>
        <v>0.00444</v>
      </c>
    </row>
    <row r="1624" spans="1:7">
      <c r="A1624" s="3">
        <v>14</v>
      </c>
      <c r="B1624" s="3">
        <v>13</v>
      </c>
      <c r="C1624" s="3">
        <v>4</v>
      </c>
      <c r="D1624" s="3">
        <v>5</v>
      </c>
      <c r="E1624" s="3">
        <v>1</v>
      </c>
      <c r="F1624" s="4" t="str">
        <f>HYPERLINK("http://141.218.60.56/~jnz1568/getInfo.php?workbook=14_13.xlsx&amp;sheet=U0&amp;row=1624&amp;col=6&amp;number=3&amp;sourceID=14","3")</f>
        <v>3</v>
      </c>
      <c r="G1624" s="4" t="str">
        <f>HYPERLINK("http://141.218.60.56/~jnz1568/getInfo.php?workbook=14_13.xlsx&amp;sheet=U0&amp;row=1624&amp;col=7&amp;number=7.1&amp;sourceID=14","7.1")</f>
        <v>7.1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HYPERLINK("http://141.218.60.56/~jnz1568/getInfo.php?workbook=14_13.xlsx&amp;sheet=U0&amp;row=1625&amp;col=6&amp;number=3.1&amp;sourceID=14","3.1")</f>
        <v>3.1</v>
      </c>
      <c r="G1625" s="4" t="str">
        <f>HYPERLINK("http://141.218.60.56/~jnz1568/getInfo.php?workbook=14_13.xlsx&amp;sheet=U0&amp;row=1625&amp;col=7&amp;number=7.12&amp;sourceID=14","7.12")</f>
        <v>7.12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HYPERLINK("http://141.218.60.56/~jnz1568/getInfo.php?workbook=14_13.xlsx&amp;sheet=U0&amp;row=1626&amp;col=6&amp;number=3.2&amp;sourceID=14","3.2")</f>
        <v>3.2</v>
      </c>
      <c r="G1626" s="4" t="str">
        <f>HYPERLINK("http://141.218.60.56/~jnz1568/getInfo.php?workbook=14_13.xlsx&amp;sheet=U0&amp;row=1626&amp;col=7&amp;number=7.14&amp;sourceID=14","7.14")</f>
        <v>7.14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HYPERLINK("http://141.218.60.56/~jnz1568/getInfo.php?workbook=14_13.xlsx&amp;sheet=U0&amp;row=1627&amp;col=6&amp;number=3.3&amp;sourceID=14","3.3")</f>
        <v>3.3</v>
      </c>
      <c r="G1627" s="4" t="str">
        <f>HYPERLINK("http://141.218.60.56/~jnz1568/getInfo.php?workbook=14_13.xlsx&amp;sheet=U0&amp;row=1627&amp;col=7&amp;number=7.16&amp;sourceID=14","7.16")</f>
        <v>7.16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HYPERLINK("http://141.218.60.56/~jnz1568/getInfo.php?workbook=14_13.xlsx&amp;sheet=U0&amp;row=1628&amp;col=6&amp;number=3.4&amp;sourceID=14","3.4")</f>
        <v>3.4</v>
      </c>
      <c r="G1628" s="4" t="str">
        <f>HYPERLINK("http://141.218.60.56/~jnz1568/getInfo.php?workbook=14_13.xlsx&amp;sheet=U0&amp;row=1628&amp;col=7&amp;number=7.19&amp;sourceID=14","7.19")</f>
        <v>7.19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HYPERLINK("http://141.218.60.56/~jnz1568/getInfo.php?workbook=14_13.xlsx&amp;sheet=U0&amp;row=1629&amp;col=6&amp;number=3.5&amp;sourceID=14","3.5")</f>
        <v>3.5</v>
      </c>
      <c r="G1629" s="4" t="str">
        <f>HYPERLINK("http://141.218.60.56/~jnz1568/getInfo.php?workbook=14_13.xlsx&amp;sheet=U0&amp;row=1629&amp;col=7&amp;number=7.22&amp;sourceID=14","7.22")</f>
        <v>7.22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HYPERLINK("http://141.218.60.56/~jnz1568/getInfo.php?workbook=14_13.xlsx&amp;sheet=U0&amp;row=1630&amp;col=6&amp;number=3.6&amp;sourceID=14","3.6")</f>
        <v>3.6</v>
      </c>
      <c r="G1630" s="4" t="str">
        <f>HYPERLINK("http://141.218.60.56/~jnz1568/getInfo.php?workbook=14_13.xlsx&amp;sheet=U0&amp;row=1630&amp;col=7&amp;number=7.24&amp;sourceID=14","7.24")</f>
        <v>7.24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HYPERLINK("http://141.218.60.56/~jnz1568/getInfo.php?workbook=14_13.xlsx&amp;sheet=U0&amp;row=1631&amp;col=6&amp;number=3.7&amp;sourceID=14","3.7")</f>
        <v>3.7</v>
      </c>
      <c r="G1631" s="4" t="str">
        <f>HYPERLINK("http://141.218.60.56/~jnz1568/getInfo.php?workbook=14_13.xlsx&amp;sheet=U0&amp;row=1631&amp;col=7&amp;number=7.25&amp;sourceID=14","7.25")</f>
        <v>7.25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HYPERLINK("http://141.218.60.56/~jnz1568/getInfo.php?workbook=14_13.xlsx&amp;sheet=U0&amp;row=1632&amp;col=6&amp;number=3.8&amp;sourceID=14","3.8")</f>
        <v>3.8</v>
      </c>
      <c r="G1632" s="4" t="str">
        <f>HYPERLINK("http://141.218.60.56/~jnz1568/getInfo.php?workbook=14_13.xlsx&amp;sheet=U0&amp;row=1632&amp;col=7&amp;number=7.23&amp;sourceID=14","7.23")</f>
        <v>7.23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HYPERLINK("http://141.218.60.56/~jnz1568/getInfo.php?workbook=14_13.xlsx&amp;sheet=U0&amp;row=1633&amp;col=6&amp;number=3.9&amp;sourceID=14","3.9")</f>
        <v>3.9</v>
      </c>
      <c r="G1633" s="4" t="str">
        <f>HYPERLINK("http://141.218.60.56/~jnz1568/getInfo.php?workbook=14_13.xlsx&amp;sheet=U0&amp;row=1633&amp;col=7&amp;number=7.19&amp;sourceID=14","7.19")</f>
        <v>7.19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HYPERLINK("http://141.218.60.56/~jnz1568/getInfo.php?workbook=14_13.xlsx&amp;sheet=U0&amp;row=1634&amp;col=6&amp;number=4&amp;sourceID=14","4")</f>
        <v>4</v>
      </c>
      <c r="G1634" s="4" t="str">
        <f>HYPERLINK("http://141.218.60.56/~jnz1568/getInfo.php?workbook=14_13.xlsx&amp;sheet=U0&amp;row=1634&amp;col=7&amp;number=7.12&amp;sourceID=14","7.12")</f>
        <v>7.12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HYPERLINK("http://141.218.60.56/~jnz1568/getInfo.php?workbook=14_13.xlsx&amp;sheet=U0&amp;row=1635&amp;col=6&amp;number=4.1&amp;sourceID=14","4.1")</f>
        <v>4.1</v>
      </c>
      <c r="G1635" s="4" t="str">
        <f>HYPERLINK("http://141.218.60.56/~jnz1568/getInfo.php?workbook=14_13.xlsx&amp;sheet=U0&amp;row=1635&amp;col=7&amp;number=7.03&amp;sourceID=14","7.03")</f>
        <v>7.03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HYPERLINK("http://141.218.60.56/~jnz1568/getInfo.php?workbook=14_13.xlsx&amp;sheet=U0&amp;row=1636&amp;col=6&amp;number=4.2&amp;sourceID=14","4.2")</f>
        <v>4.2</v>
      </c>
      <c r="G1636" s="4" t="str">
        <f>HYPERLINK("http://141.218.60.56/~jnz1568/getInfo.php?workbook=14_13.xlsx&amp;sheet=U0&amp;row=1636&amp;col=7&amp;number=6.91&amp;sourceID=14","6.91")</f>
        <v>6.91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HYPERLINK("http://141.218.60.56/~jnz1568/getInfo.php?workbook=14_13.xlsx&amp;sheet=U0&amp;row=1637&amp;col=6&amp;number=4.3&amp;sourceID=14","4.3")</f>
        <v>4.3</v>
      </c>
      <c r="G1637" s="4" t="str">
        <f>HYPERLINK("http://141.218.60.56/~jnz1568/getInfo.php?workbook=14_13.xlsx&amp;sheet=U0&amp;row=1637&amp;col=7&amp;number=6.77&amp;sourceID=14","6.77")</f>
        <v>6.77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HYPERLINK("http://141.218.60.56/~jnz1568/getInfo.php?workbook=14_13.xlsx&amp;sheet=U0&amp;row=1638&amp;col=6&amp;number=4.4&amp;sourceID=14","4.4")</f>
        <v>4.4</v>
      </c>
      <c r="G1638" s="4" t="str">
        <f>HYPERLINK("http://141.218.60.56/~jnz1568/getInfo.php?workbook=14_13.xlsx&amp;sheet=U0&amp;row=1638&amp;col=7&amp;number=6.62&amp;sourceID=14","6.62")</f>
        <v>6.62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HYPERLINK("http://141.218.60.56/~jnz1568/getInfo.php?workbook=14_13.xlsx&amp;sheet=U0&amp;row=1639&amp;col=6&amp;number=4.5&amp;sourceID=14","4.5")</f>
        <v>4.5</v>
      </c>
      <c r="G1639" s="4" t="str">
        <f>HYPERLINK("http://141.218.60.56/~jnz1568/getInfo.php?workbook=14_13.xlsx&amp;sheet=U0&amp;row=1639&amp;col=7&amp;number=6.44&amp;sourceID=14","6.44")</f>
        <v>6.44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HYPERLINK("http://141.218.60.56/~jnz1568/getInfo.php?workbook=14_13.xlsx&amp;sheet=U0&amp;row=1640&amp;col=6&amp;number=4.6&amp;sourceID=14","4.6")</f>
        <v>4.6</v>
      </c>
      <c r="G1640" s="4" t="str">
        <f>HYPERLINK("http://141.218.60.56/~jnz1568/getInfo.php?workbook=14_13.xlsx&amp;sheet=U0&amp;row=1640&amp;col=7&amp;number=6.25&amp;sourceID=14","6.25")</f>
        <v>6.25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HYPERLINK("http://141.218.60.56/~jnz1568/getInfo.php?workbook=14_13.xlsx&amp;sheet=U0&amp;row=1641&amp;col=6&amp;number=4.7&amp;sourceID=14","4.7")</f>
        <v>4.7</v>
      </c>
      <c r="G1641" s="4" t="str">
        <f>HYPERLINK("http://141.218.60.56/~jnz1568/getInfo.php?workbook=14_13.xlsx&amp;sheet=U0&amp;row=1641&amp;col=7&amp;number=6.04&amp;sourceID=14","6.04")</f>
        <v>6.04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HYPERLINK("http://141.218.60.56/~jnz1568/getInfo.php?workbook=14_13.xlsx&amp;sheet=U0&amp;row=1642&amp;col=6&amp;number=4.8&amp;sourceID=14","4.8")</f>
        <v>4.8</v>
      </c>
      <c r="G1642" s="4" t="str">
        <f>HYPERLINK("http://141.218.60.56/~jnz1568/getInfo.php?workbook=14_13.xlsx&amp;sheet=U0&amp;row=1642&amp;col=7&amp;number=5.82&amp;sourceID=14","5.82")</f>
        <v>5.82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HYPERLINK("http://141.218.60.56/~jnz1568/getInfo.php?workbook=14_13.xlsx&amp;sheet=U0&amp;row=1643&amp;col=6&amp;number=4.9&amp;sourceID=14","4.9")</f>
        <v>4.9</v>
      </c>
      <c r="G1643" s="4" t="str">
        <f>HYPERLINK("http://141.218.60.56/~jnz1568/getInfo.php?workbook=14_13.xlsx&amp;sheet=U0&amp;row=1643&amp;col=7&amp;number=5.59&amp;sourceID=14","5.59")</f>
        <v>5.59</v>
      </c>
    </row>
    <row r="1644" spans="1:7">
      <c r="A1644" s="3">
        <v>14</v>
      </c>
      <c r="B1644" s="3">
        <v>13</v>
      </c>
      <c r="C1644" s="3">
        <v>4</v>
      </c>
      <c r="D1644" s="3">
        <v>6</v>
      </c>
      <c r="E1644" s="3">
        <v>1</v>
      </c>
      <c r="F1644" s="4" t="str">
        <f>HYPERLINK("http://141.218.60.56/~jnz1568/getInfo.php?workbook=14_13.xlsx&amp;sheet=U0&amp;row=1644&amp;col=6&amp;number=3&amp;sourceID=14","3")</f>
        <v>3</v>
      </c>
      <c r="G1644" s="4" t="str">
        <f>HYPERLINK("http://141.218.60.56/~jnz1568/getInfo.php?workbook=14_13.xlsx&amp;sheet=U0&amp;row=1644&amp;col=7&amp;number=1.72&amp;sourceID=14","1.72")</f>
        <v>1.72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HYPERLINK("http://141.218.60.56/~jnz1568/getInfo.php?workbook=14_13.xlsx&amp;sheet=U0&amp;row=1645&amp;col=6&amp;number=3.1&amp;sourceID=14","3.1")</f>
        <v>3.1</v>
      </c>
      <c r="G1645" s="4" t="str">
        <f>HYPERLINK("http://141.218.60.56/~jnz1568/getInfo.php?workbook=14_13.xlsx&amp;sheet=U0&amp;row=1645&amp;col=7&amp;number=1.74&amp;sourceID=14","1.74")</f>
        <v>1.74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HYPERLINK("http://141.218.60.56/~jnz1568/getInfo.php?workbook=14_13.xlsx&amp;sheet=U0&amp;row=1646&amp;col=6&amp;number=3.2&amp;sourceID=14","3.2")</f>
        <v>3.2</v>
      </c>
      <c r="G1646" s="4" t="str">
        <f>HYPERLINK("http://141.218.60.56/~jnz1568/getInfo.php?workbook=14_13.xlsx&amp;sheet=U0&amp;row=1646&amp;col=7&amp;number=1.76&amp;sourceID=14","1.76")</f>
        <v>1.76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HYPERLINK("http://141.218.60.56/~jnz1568/getInfo.php?workbook=14_13.xlsx&amp;sheet=U0&amp;row=1647&amp;col=6&amp;number=3.3&amp;sourceID=14","3.3")</f>
        <v>3.3</v>
      </c>
      <c r="G1647" s="4" t="str">
        <f>HYPERLINK("http://141.218.60.56/~jnz1568/getInfo.php?workbook=14_13.xlsx&amp;sheet=U0&amp;row=1647&amp;col=7&amp;number=1.78&amp;sourceID=14","1.78")</f>
        <v>1.78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HYPERLINK("http://141.218.60.56/~jnz1568/getInfo.php?workbook=14_13.xlsx&amp;sheet=U0&amp;row=1648&amp;col=6&amp;number=3.4&amp;sourceID=14","3.4")</f>
        <v>3.4</v>
      </c>
      <c r="G1648" s="4" t="str">
        <f>HYPERLINK("http://141.218.60.56/~jnz1568/getInfo.php?workbook=14_13.xlsx&amp;sheet=U0&amp;row=1648&amp;col=7&amp;number=1.8&amp;sourceID=14","1.8")</f>
        <v>1.8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HYPERLINK("http://141.218.60.56/~jnz1568/getInfo.php?workbook=14_13.xlsx&amp;sheet=U0&amp;row=1649&amp;col=6&amp;number=3.5&amp;sourceID=14","3.5")</f>
        <v>3.5</v>
      </c>
      <c r="G1649" s="4" t="str">
        <f>HYPERLINK("http://141.218.60.56/~jnz1568/getInfo.php?workbook=14_13.xlsx&amp;sheet=U0&amp;row=1649&amp;col=7&amp;number=1.82&amp;sourceID=14","1.82")</f>
        <v>1.82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HYPERLINK("http://141.218.60.56/~jnz1568/getInfo.php?workbook=14_13.xlsx&amp;sheet=U0&amp;row=1650&amp;col=6&amp;number=3.6&amp;sourceID=14","3.6")</f>
        <v>3.6</v>
      </c>
      <c r="G1650" s="4" t="str">
        <f>HYPERLINK("http://141.218.60.56/~jnz1568/getInfo.php?workbook=14_13.xlsx&amp;sheet=U0&amp;row=1650&amp;col=7&amp;number=1.84&amp;sourceID=14","1.84")</f>
        <v>1.84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HYPERLINK("http://141.218.60.56/~jnz1568/getInfo.php?workbook=14_13.xlsx&amp;sheet=U0&amp;row=1651&amp;col=6&amp;number=3.7&amp;sourceID=14","3.7")</f>
        <v>3.7</v>
      </c>
      <c r="G1651" s="4" t="str">
        <f>HYPERLINK("http://141.218.60.56/~jnz1568/getInfo.php?workbook=14_13.xlsx&amp;sheet=U0&amp;row=1651&amp;col=7&amp;number=1.84&amp;sourceID=14","1.84")</f>
        <v>1.84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HYPERLINK("http://141.218.60.56/~jnz1568/getInfo.php?workbook=14_13.xlsx&amp;sheet=U0&amp;row=1652&amp;col=6&amp;number=3.8&amp;sourceID=14","3.8")</f>
        <v>3.8</v>
      </c>
      <c r="G1652" s="4" t="str">
        <f>HYPERLINK("http://141.218.60.56/~jnz1568/getInfo.php?workbook=14_13.xlsx&amp;sheet=U0&amp;row=1652&amp;col=7&amp;number=1.83&amp;sourceID=14","1.83")</f>
        <v>1.83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HYPERLINK("http://141.218.60.56/~jnz1568/getInfo.php?workbook=14_13.xlsx&amp;sheet=U0&amp;row=1653&amp;col=6&amp;number=3.9&amp;sourceID=14","3.9")</f>
        <v>3.9</v>
      </c>
      <c r="G1653" s="4" t="str">
        <f>HYPERLINK("http://141.218.60.56/~jnz1568/getInfo.php?workbook=14_13.xlsx&amp;sheet=U0&amp;row=1653&amp;col=7&amp;number=1.81&amp;sourceID=14","1.81")</f>
        <v>1.81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HYPERLINK("http://141.218.60.56/~jnz1568/getInfo.php?workbook=14_13.xlsx&amp;sheet=U0&amp;row=1654&amp;col=6&amp;number=4&amp;sourceID=14","4")</f>
        <v>4</v>
      </c>
      <c r="G1654" s="4" t="str">
        <f>HYPERLINK("http://141.218.60.56/~jnz1568/getInfo.php?workbook=14_13.xlsx&amp;sheet=U0&amp;row=1654&amp;col=7&amp;number=1.77&amp;sourceID=14","1.77")</f>
        <v>1.77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HYPERLINK("http://141.218.60.56/~jnz1568/getInfo.php?workbook=14_13.xlsx&amp;sheet=U0&amp;row=1655&amp;col=6&amp;number=4.1&amp;sourceID=14","4.1")</f>
        <v>4.1</v>
      </c>
      <c r="G1655" s="4" t="str">
        <f>HYPERLINK("http://141.218.60.56/~jnz1568/getInfo.php?workbook=14_13.xlsx&amp;sheet=U0&amp;row=1655&amp;col=7&amp;number=1.73&amp;sourceID=14","1.73")</f>
        <v>1.73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HYPERLINK("http://141.218.60.56/~jnz1568/getInfo.php?workbook=14_13.xlsx&amp;sheet=U0&amp;row=1656&amp;col=6&amp;number=4.2&amp;sourceID=14","4.2")</f>
        <v>4.2</v>
      </c>
      <c r="G1656" s="4" t="str">
        <f>HYPERLINK("http://141.218.60.56/~jnz1568/getInfo.php?workbook=14_13.xlsx&amp;sheet=U0&amp;row=1656&amp;col=7&amp;number=1.68&amp;sourceID=14","1.68")</f>
        <v>1.68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HYPERLINK("http://141.218.60.56/~jnz1568/getInfo.php?workbook=14_13.xlsx&amp;sheet=U0&amp;row=1657&amp;col=6&amp;number=4.3&amp;sourceID=14","4.3")</f>
        <v>4.3</v>
      </c>
      <c r="G1657" s="4" t="str">
        <f>HYPERLINK("http://141.218.60.56/~jnz1568/getInfo.php?workbook=14_13.xlsx&amp;sheet=U0&amp;row=1657&amp;col=7&amp;number=1.63&amp;sourceID=14","1.63")</f>
        <v>1.63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HYPERLINK("http://141.218.60.56/~jnz1568/getInfo.php?workbook=14_13.xlsx&amp;sheet=U0&amp;row=1658&amp;col=6&amp;number=4.4&amp;sourceID=14","4.4")</f>
        <v>4.4</v>
      </c>
      <c r="G1658" s="4" t="str">
        <f>HYPERLINK("http://141.218.60.56/~jnz1568/getInfo.php?workbook=14_13.xlsx&amp;sheet=U0&amp;row=1658&amp;col=7&amp;number=1.57&amp;sourceID=14","1.57")</f>
        <v>1.57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HYPERLINK("http://141.218.60.56/~jnz1568/getInfo.php?workbook=14_13.xlsx&amp;sheet=U0&amp;row=1659&amp;col=6&amp;number=4.5&amp;sourceID=14","4.5")</f>
        <v>4.5</v>
      </c>
      <c r="G1659" s="4" t="str">
        <f>HYPERLINK("http://141.218.60.56/~jnz1568/getInfo.php?workbook=14_13.xlsx&amp;sheet=U0&amp;row=1659&amp;col=7&amp;number=1.5&amp;sourceID=14","1.5")</f>
        <v>1.5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HYPERLINK("http://141.218.60.56/~jnz1568/getInfo.php?workbook=14_13.xlsx&amp;sheet=U0&amp;row=1660&amp;col=6&amp;number=4.6&amp;sourceID=14","4.6")</f>
        <v>4.6</v>
      </c>
      <c r="G1660" s="4" t="str">
        <f>HYPERLINK("http://141.218.60.56/~jnz1568/getInfo.php?workbook=14_13.xlsx&amp;sheet=U0&amp;row=1660&amp;col=7&amp;number=1.43&amp;sourceID=14","1.43")</f>
        <v>1.43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HYPERLINK("http://141.218.60.56/~jnz1568/getInfo.php?workbook=14_13.xlsx&amp;sheet=U0&amp;row=1661&amp;col=6&amp;number=4.7&amp;sourceID=14","4.7")</f>
        <v>4.7</v>
      </c>
      <c r="G1661" s="4" t="str">
        <f>HYPERLINK("http://141.218.60.56/~jnz1568/getInfo.php?workbook=14_13.xlsx&amp;sheet=U0&amp;row=1661&amp;col=7&amp;number=1.35&amp;sourceID=14","1.35")</f>
        <v>1.35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HYPERLINK("http://141.218.60.56/~jnz1568/getInfo.php?workbook=14_13.xlsx&amp;sheet=U0&amp;row=1662&amp;col=6&amp;number=4.8&amp;sourceID=14","4.8")</f>
        <v>4.8</v>
      </c>
      <c r="G1662" s="4" t="str">
        <f>HYPERLINK("http://141.218.60.56/~jnz1568/getInfo.php?workbook=14_13.xlsx&amp;sheet=U0&amp;row=1662&amp;col=7&amp;number=1.26&amp;sourceID=14","1.26")</f>
        <v>1.26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HYPERLINK("http://141.218.60.56/~jnz1568/getInfo.php?workbook=14_13.xlsx&amp;sheet=U0&amp;row=1663&amp;col=6&amp;number=4.9&amp;sourceID=14","4.9")</f>
        <v>4.9</v>
      </c>
      <c r="G1663" s="4" t="str">
        <f>HYPERLINK("http://141.218.60.56/~jnz1568/getInfo.php?workbook=14_13.xlsx&amp;sheet=U0&amp;row=1663&amp;col=7&amp;number=1.17&amp;sourceID=14","1.17")</f>
        <v>1.17</v>
      </c>
    </row>
    <row r="1664" spans="1:7">
      <c r="A1664" s="3">
        <v>14</v>
      </c>
      <c r="B1664" s="3">
        <v>13</v>
      </c>
      <c r="C1664" s="3">
        <v>4</v>
      </c>
      <c r="D1664" s="3">
        <v>7</v>
      </c>
      <c r="E1664" s="3">
        <v>1</v>
      </c>
      <c r="F1664" s="4" t="str">
        <f>HYPERLINK("http://141.218.60.56/~jnz1568/getInfo.php?workbook=14_13.xlsx&amp;sheet=U0&amp;row=1664&amp;col=6&amp;number=3&amp;sourceID=14","3")</f>
        <v>3</v>
      </c>
      <c r="G1664" s="4" t="str">
        <f>HYPERLINK("http://141.218.60.56/~jnz1568/getInfo.php?workbook=14_13.xlsx&amp;sheet=U0&amp;row=1664&amp;col=7&amp;number=1.65&amp;sourceID=14","1.65")</f>
        <v>1.65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HYPERLINK("http://141.218.60.56/~jnz1568/getInfo.php?workbook=14_13.xlsx&amp;sheet=U0&amp;row=1665&amp;col=6&amp;number=3.1&amp;sourceID=14","3.1")</f>
        <v>3.1</v>
      </c>
      <c r="G1665" s="4" t="str">
        <f>HYPERLINK("http://141.218.60.56/~jnz1568/getInfo.php?workbook=14_13.xlsx&amp;sheet=U0&amp;row=1665&amp;col=7&amp;number=1.66&amp;sourceID=14","1.66")</f>
        <v>1.66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HYPERLINK("http://141.218.60.56/~jnz1568/getInfo.php?workbook=14_13.xlsx&amp;sheet=U0&amp;row=1666&amp;col=6&amp;number=3.2&amp;sourceID=14","3.2")</f>
        <v>3.2</v>
      </c>
      <c r="G1666" s="4" t="str">
        <f>HYPERLINK("http://141.218.60.56/~jnz1568/getInfo.php?workbook=14_13.xlsx&amp;sheet=U0&amp;row=1666&amp;col=7&amp;number=1.67&amp;sourceID=14","1.67")</f>
        <v>1.67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HYPERLINK("http://141.218.60.56/~jnz1568/getInfo.php?workbook=14_13.xlsx&amp;sheet=U0&amp;row=1667&amp;col=6&amp;number=3.3&amp;sourceID=14","3.3")</f>
        <v>3.3</v>
      </c>
      <c r="G1667" s="4" t="str">
        <f>HYPERLINK("http://141.218.60.56/~jnz1568/getInfo.php?workbook=14_13.xlsx&amp;sheet=U0&amp;row=1667&amp;col=7&amp;number=1.68&amp;sourceID=14","1.68")</f>
        <v>1.68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HYPERLINK("http://141.218.60.56/~jnz1568/getInfo.php?workbook=14_13.xlsx&amp;sheet=U0&amp;row=1668&amp;col=6&amp;number=3.4&amp;sourceID=14","3.4")</f>
        <v>3.4</v>
      </c>
      <c r="G1668" s="4" t="str">
        <f>HYPERLINK("http://141.218.60.56/~jnz1568/getInfo.php?workbook=14_13.xlsx&amp;sheet=U0&amp;row=1668&amp;col=7&amp;number=1.69&amp;sourceID=14","1.69")</f>
        <v>1.69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HYPERLINK("http://141.218.60.56/~jnz1568/getInfo.php?workbook=14_13.xlsx&amp;sheet=U0&amp;row=1669&amp;col=6&amp;number=3.5&amp;sourceID=14","3.5")</f>
        <v>3.5</v>
      </c>
      <c r="G1669" s="4" t="str">
        <f>HYPERLINK("http://141.218.60.56/~jnz1568/getInfo.php?workbook=14_13.xlsx&amp;sheet=U0&amp;row=1669&amp;col=7&amp;number=1.7&amp;sourceID=14","1.7")</f>
        <v>1.7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HYPERLINK("http://141.218.60.56/~jnz1568/getInfo.php?workbook=14_13.xlsx&amp;sheet=U0&amp;row=1670&amp;col=6&amp;number=3.6&amp;sourceID=14","3.6")</f>
        <v>3.6</v>
      </c>
      <c r="G1670" s="4" t="str">
        <f>HYPERLINK("http://141.218.60.56/~jnz1568/getInfo.php?workbook=14_13.xlsx&amp;sheet=U0&amp;row=1670&amp;col=7&amp;number=1.71&amp;sourceID=14","1.71")</f>
        <v>1.71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HYPERLINK("http://141.218.60.56/~jnz1568/getInfo.php?workbook=14_13.xlsx&amp;sheet=U0&amp;row=1671&amp;col=6&amp;number=3.7&amp;sourceID=14","3.7")</f>
        <v>3.7</v>
      </c>
      <c r="G1671" s="4" t="str">
        <f>HYPERLINK("http://141.218.60.56/~jnz1568/getInfo.php?workbook=14_13.xlsx&amp;sheet=U0&amp;row=1671&amp;col=7&amp;number=1.7&amp;sourceID=14","1.7")</f>
        <v>1.7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HYPERLINK("http://141.218.60.56/~jnz1568/getInfo.php?workbook=14_13.xlsx&amp;sheet=U0&amp;row=1672&amp;col=6&amp;number=3.8&amp;sourceID=14","3.8")</f>
        <v>3.8</v>
      </c>
      <c r="G1672" s="4" t="str">
        <f>HYPERLINK("http://141.218.60.56/~jnz1568/getInfo.php?workbook=14_13.xlsx&amp;sheet=U0&amp;row=1672&amp;col=7&amp;number=1.69&amp;sourceID=14","1.69")</f>
        <v>1.69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HYPERLINK("http://141.218.60.56/~jnz1568/getInfo.php?workbook=14_13.xlsx&amp;sheet=U0&amp;row=1673&amp;col=6&amp;number=3.9&amp;sourceID=14","3.9")</f>
        <v>3.9</v>
      </c>
      <c r="G1673" s="4" t="str">
        <f>HYPERLINK("http://141.218.60.56/~jnz1568/getInfo.php?workbook=14_13.xlsx&amp;sheet=U0&amp;row=1673&amp;col=7&amp;number=1.68&amp;sourceID=14","1.68")</f>
        <v>1.68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HYPERLINK("http://141.218.60.56/~jnz1568/getInfo.php?workbook=14_13.xlsx&amp;sheet=U0&amp;row=1674&amp;col=6&amp;number=4&amp;sourceID=14","4")</f>
        <v>4</v>
      </c>
      <c r="G1674" s="4" t="str">
        <f>HYPERLINK("http://141.218.60.56/~jnz1568/getInfo.php?workbook=14_13.xlsx&amp;sheet=U0&amp;row=1674&amp;col=7&amp;number=1.66&amp;sourceID=14","1.66")</f>
        <v>1.66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HYPERLINK("http://141.218.60.56/~jnz1568/getInfo.php?workbook=14_13.xlsx&amp;sheet=U0&amp;row=1675&amp;col=6&amp;number=4.1&amp;sourceID=14","4.1")</f>
        <v>4.1</v>
      </c>
      <c r="G1675" s="4" t="str">
        <f>HYPERLINK("http://141.218.60.56/~jnz1568/getInfo.php?workbook=14_13.xlsx&amp;sheet=U0&amp;row=1675&amp;col=7&amp;number=1.63&amp;sourceID=14","1.63")</f>
        <v>1.63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HYPERLINK("http://141.218.60.56/~jnz1568/getInfo.php?workbook=14_13.xlsx&amp;sheet=U0&amp;row=1676&amp;col=6&amp;number=4.2&amp;sourceID=14","4.2")</f>
        <v>4.2</v>
      </c>
      <c r="G1676" s="4" t="str">
        <f>HYPERLINK("http://141.218.60.56/~jnz1568/getInfo.php?workbook=14_13.xlsx&amp;sheet=U0&amp;row=1676&amp;col=7&amp;number=1.61&amp;sourceID=14","1.61")</f>
        <v>1.61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HYPERLINK("http://141.218.60.56/~jnz1568/getInfo.php?workbook=14_13.xlsx&amp;sheet=U0&amp;row=1677&amp;col=6&amp;number=4.3&amp;sourceID=14","4.3")</f>
        <v>4.3</v>
      </c>
      <c r="G1677" s="4" t="str">
        <f>HYPERLINK("http://141.218.60.56/~jnz1568/getInfo.php?workbook=14_13.xlsx&amp;sheet=U0&amp;row=1677&amp;col=7&amp;number=1.57&amp;sourceID=14","1.57")</f>
        <v>1.57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HYPERLINK("http://141.218.60.56/~jnz1568/getInfo.php?workbook=14_13.xlsx&amp;sheet=U0&amp;row=1678&amp;col=6&amp;number=4.4&amp;sourceID=14","4.4")</f>
        <v>4.4</v>
      </c>
      <c r="G1678" s="4" t="str">
        <f>HYPERLINK("http://141.218.60.56/~jnz1568/getInfo.php?workbook=14_13.xlsx&amp;sheet=U0&amp;row=1678&amp;col=7&amp;number=1.53&amp;sourceID=14","1.53")</f>
        <v>1.53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HYPERLINK("http://141.218.60.56/~jnz1568/getInfo.php?workbook=14_13.xlsx&amp;sheet=U0&amp;row=1679&amp;col=6&amp;number=4.5&amp;sourceID=14","4.5")</f>
        <v>4.5</v>
      </c>
      <c r="G1679" s="4" t="str">
        <f>HYPERLINK("http://141.218.60.56/~jnz1568/getInfo.php?workbook=14_13.xlsx&amp;sheet=U0&amp;row=1679&amp;col=7&amp;number=1.48&amp;sourceID=14","1.48")</f>
        <v>1.48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HYPERLINK("http://141.218.60.56/~jnz1568/getInfo.php?workbook=14_13.xlsx&amp;sheet=U0&amp;row=1680&amp;col=6&amp;number=4.6&amp;sourceID=14","4.6")</f>
        <v>4.6</v>
      </c>
      <c r="G1680" s="4" t="str">
        <f>HYPERLINK("http://141.218.60.56/~jnz1568/getInfo.php?workbook=14_13.xlsx&amp;sheet=U0&amp;row=1680&amp;col=7&amp;number=1.42&amp;sourceID=14","1.42")</f>
        <v>1.42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HYPERLINK("http://141.218.60.56/~jnz1568/getInfo.php?workbook=14_13.xlsx&amp;sheet=U0&amp;row=1681&amp;col=6&amp;number=4.7&amp;sourceID=14","4.7")</f>
        <v>4.7</v>
      </c>
      <c r="G1681" s="4" t="str">
        <f>HYPERLINK("http://141.218.60.56/~jnz1568/getInfo.php?workbook=14_13.xlsx&amp;sheet=U0&amp;row=1681&amp;col=7&amp;number=1.35&amp;sourceID=14","1.35")</f>
        <v>1.35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HYPERLINK("http://141.218.60.56/~jnz1568/getInfo.php?workbook=14_13.xlsx&amp;sheet=U0&amp;row=1682&amp;col=6&amp;number=4.8&amp;sourceID=14","4.8")</f>
        <v>4.8</v>
      </c>
      <c r="G1682" s="4" t="str">
        <f>HYPERLINK("http://141.218.60.56/~jnz1568/getInfo.php?workbook=14_13.xlsx&amp;sheet=U0&amp;row=1682&amp;col=7&amp;number=1.27&amp;sourceID=14","1.27")</f>
        <v>1.27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HYPERLINK("http://141.218.60.56/~jnz1568/getInfo.php?workbook=14_13.xlsx&amp;sheet=U0&amp;row=1683&amp;col=6&amp;number=4.9&amp;sourceID=14","4.9")</f>
        <v>4.9</v>
      </c>
      <c r="G1683" s="4" t="str">
        <f>HYPERLINK("http://141.218.60.56/~jnz1568/getInfo.php?workbook=14_13.xlsx&amp;sheet=U0&amp;row=1683&amp;col=7&amp;number=1.19&amp;sourceID=14","1.19")</f>
        <v>1.19</v>
      </c>
    </row>
    <row r="1684" spans="1:7">
      <c r="A1684" s="3">
        <v>14</v>
      </c>
      <c r="B1684" s="3">
        <v>13</v>
      </c>
      <c r="C1684" s="3">
        <v>4</v>
      </c>
      <c r="D1684" s="3">
        <v>8</v>
      </c>
      <c r="E1684" s="3">
        <v>1</v>
      </c>
      <c r="F1684" s="4" t="str">
        <f>HYPERLINK("http://141.218.60.56/~jnz1568/getInfo.php?workbook=14_13.xlsx&amp;sheet=U0&amp;row=1684&amp;col=6&amp;number=3&amp;sourceID=14","3")</f>
        <v>3</v>
      </c>
      <c r="G1684" s="4" t="str">
        <f>HYPERLINK("http://141.218.60.56/~jnz1568/getInfo.php?workbook=14_13.xlsx&amp;sheet=U0&amp;row=1684&amp;col=7&amp;number=0.0619&amp;sourceID=14","0.0619")</f>
        <v>0.0619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HYPERLINK("http://141.218.60.56/~jnz1568/getInfo.php?workbook=14_13.xlsx&amp;sheet=U0&amp;row=1685&amp;col=6&amp;number=3.1&amp;sourceID=14","3.1")</f>
        <v>3.1</v>
      </c>
      <c r="G1685" s="4" t="str">
        <f>HYPERLINK("http://141.218.60.56/~jnz1568/getInfo.php?workbook=14_13.xlsx&amp;sheet=U0&amp;row=1685&amp;col=7&amp;number=0.0657&amp;sourceID=14","0.0657")</f>
        <v>0.0657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HYPERLINK("http://141.218.60.56/~jnz1568/getInfo.php?workbook=14_13.xlsx&amp;sheet=U0&amp;row=1686&amp;col=6&amp;number=3.2&amp;sourceID=14","3.2")</f>
        <v>3.2</v>
      </c>
      <c r="G1686" s="4" t="str">
        <f>HYPERLINK("http://141.218.60.56/~jnz1568/getInfo.php?workbook=14_13.xlsx&amp;sheet=U0&amp;row=1686&amp;col=7&amp;number=0.0702&amp;sourceID=14","0.0702")</f>
        <v>0.0702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HYPERLINK("http://141.218.60.56/~jnz1568/getInfo.php?workbook=14_13.xlsx&amp;sheet=U0&amp;row=1687&amp;col=6&amp;number=3.3&amp;sourceID=14","3.3")</f>
        <v>3.3</v>
      </c>
      <c r="G1687" s="4" t="str">
        <f>HYPERLINK("http://141.218.60.56/~jnz1568/getInfo.php?workbook=14_13.xlsx&amp;sheet=U0&amp;row=1687&amp;col=7&amp;number=0.0753&amp;sourceID=14","0.0753")</f>
        <v>0.0753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HYPERLINK("http://141.218.60.56/~jnz1568/getInfo.php?workbook=14_13.xlsx&amp;sheet=U0&amp;row=1688&amp;col=6&amp;number=3.4&amp;sourceID=14","3.4")</f>
        <v>3.4</v>
      </c>
      <c r="G1688" s="4" t="str">
        <f>HYPERLINK("http://141.218.60.56/~jnz1568/getInfo.php?workbook=14_13.xlsx&amp;sheet=U0&amp;row=1688&amp;col=7&amp;number=0.0808&amp;sourceID=14","0.0808")</f>
        <v>0.0808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HYPERLINK("http://141.218.60.56/~jnz1568/getInfo.php?workbook=14_13.xlsx&amp;sheet=U0&amp;row=1689&amp;col=6&amp;number=3.5&amp;sourceID=14","3.5")</f>
        <v>3.5</v>
      </c>
      <c r="G1689" s="4" t="str">
        <f>HYPERLINK("http://141.218.60.56/~jnz1568/getInfo.php?workbook=14_13.xlsx&amp;sheet=U0&amp;row=1689&amp;col=7&amp;number=0.0863&amp;sourceID=14","0.0863")</f>
        <v>0.0863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HYPERLINK("http://141.218.60.56/~jnz1568/getInfo.php?workbook=14_13.xlsx&amp;sheet=U0&amp;row=1690&amp;col=6&amp;number=3.6&amp;sourceID=14","3.6")</f>
        <v>3.6</v>
      </c>
      <c r="G1690" s="4" t="str">
        <f>HYPERLINK("http://141.218.60.56/~jnz1568/getInfo.php?workbook=14_13.xlsx&amp;sheet=U0&amp;row=1690&amp;col=7&amp;number=0.0908&amp;sourceID=14","0.0908")</f>
        <v>0.0908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HYPERLINK("http://141.218.60.56/~jnz1568/getInfo.php?workbook=14_13.xlsx&amp;sheet=U0&amp;row=1691&amp;col=6&amp;number=3.7&amp;sourceID=14","3.7")</f>
        <v>3.7</v>
      </c>
      <c r="G1691" s="4" t="str">
        <f>HYPERLINK("http://141.218.60.56/~jnz1568/getInfo.php?workbook=14_13.xlsx&amp;sheet=U0&amp;row=1691&amp;col=7&amp;number=0.0934&amp;sourceID=14","0.0934")</f>
        <v>0.0934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HYPERLINK("http://141.218.60.56/~jnz1568/getInfo.php?workbook=14_13.xlsx&amp;sheet=U0&amp;row=1692&amp;col=6&amp;number=3.8&amp;sourceID=14","3.8")</f>
        <v>3.8</v>
      </c>
      <c r="G1692" s="4" t="str">
        <f>HYPERLINK("http://141.218.60.56/~jnz1568/getInfo.php?workbook=14_13.xlsx&amp;sheet=U0&amp;row=1692&amp;col=7&amp;number=0.0937&amp;sourceID=14","0.0937")</f>
        <v>0.0937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HYPERLINK("http://141.218.60.56/~jnz1568/getInfo.php?workbook=14_13.xlsx&amp;sheet=U0&amp;row=1693&amp;col=6&amp;number=3.9&amp;sourceID=14","3.9")</f>
        <v>3.9</v>
      </c>
      <c r="G1693" s="4" t="str">
        <f>HYPERLINK("http://141.218.60.56/~jnz1568/getInfo.php?workbook=14_13.xlsx&amp;sheet=U0&amp;row=1693&amp;col=7&amp;number=0.092&amp;sourceID=14","0.092")</f>
        <v>0.092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HYPERLINK("http://141.218.60.56/~jnz1568/getInfo.php?workbook=14_13.xlsx&amp;sheet=U0&amp;row=1694&amp;col=6&amp;number=4&amp;sourceID=14","4")</f>
        <v>4</v>
      </c>
      <c r="G1694" s="4" t="str">
        <f>HYPERLINK("http://141.218.60.56/~jnz1568/getInfo.php?workbook=14_13.xlsx&amp;sheet=U0&amp;row=1694&amp;col=7&amp;number=0.0887&amp;sourceID=14","0.0887")</f>
        <v>0.0887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HYPERLINK("http://141.218.60.56/~jnz1568/getInfo.php?workbook=14_13.xlsx&amp;sheet=U0&amp;row=1695&amp;col=6&amp;number=4.1&amp;sourceID=14","4.1")</f>
        <v>4.1</v>
      </c>
      <c r="G1695" s="4" t="str">
        <f>HYPERLINK("http://141.218.60.56/~jnz1568/getInfo.php?workbook=14_13.xlsx&amp;sheet=U0&amp;row=1695&amp;col=7&amp;number=0.0842&amp;sourceID=14","0.0842")</f>
        <v>0.0842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HYPERLINK("http://141.218.60.56/~jnz1568/getInfo.php?workbook=14_13.xlsx&amp;sheet=U0&amp;row=1696&amp;col=6&amp;number=4.2&amp;sourceID=14","4.2")</f>
        <v>4.2</v>
      </c>
      <c r="G1696" s="4" t="str">
        <f>HYPERLINK("http://141.218.60.56/~jnz1568/getInfo.php?workbook=14_13.xlsx&amp;sheet=U0&amp;row=1696&amp;col=7&amp;number=0.0783&amp;sourceID=14","0.0783")</f>
        <v>0.0783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HYPERLINK("http://141.218.60.56/~jnz1568/getInfo.php?workbook=14_13.xlsx&amp;sheet=U0&amp;row=1697&amp;col=6&amp;number=4.3&amp;sourceID=14","4.3")</f>
        <v>4.3</v>
      </c>
      <c r="G1697" s="4" t="str">
        <f>HYPERLINK("http://141.218.60.56/~jnz1568/getInfo.php?workbook=14_13.xlsx&amp;sheet=U0&amp;row=1697&amp;col=7&amp;number=0.0714&amp;sourceID=14","0.0714")</f>
        <v>0.0714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HYPERLINK("http://141.218.60.56/~jnz1568/getInfo.php?workbook=14_13.xlsx&amp;sheet=U0&amp;row=1698&amp;col=6&amp;number=4.4&amp;sourceID=14","4.4")</f>
        <v>4.4</v>
      </c>
      <c r="G1698" s="4" t="str">
        <f>HYPERLINK("http://141.218.60.56/~jnz1568/getInfo.php?workbook=14_13.xlsx&amp;sheet=U0&amp;row=1698&amp;col=7&amp;number=0.0642&amp;sourceID=14","0.0642")</f>
        <v>0.0642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HYPERLINK("http://141.218.60.56/~jnz1568/getInfo.php?workbook=14_13.xlsx&amp;sheet=U0&amp;row=1699&amp;col=6&amp;number=4.5&amp;sourceID=14","4.5")</f>
        <v>4.5</v>
      </c>
      <c r="G1699" s="4" t="str">
        <f>HYPERLINK("http://141.218.60.56/~jnz1568/getInfo.php?workbook=14_13.xlsx&amp;sheet=U0&amp;row=1699&amp;col=7&amp;number=0.0571&amp;sourceID=14","0.0571")</f>
        <v>0.0571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HYPERLINK("http://141.218.60.56/~jnz1568/getInfo.php?workbook=14_13.xlsx&amp;sheet=U0&amp;row=1700&amp;col=6&amp;number=4.6&amp;sourceID=14","4.6")</f>
        <v>4.6</v>
      </c>
      <c r="G1700" s="4" t="str">
        <f>HYPERLINK("http://141.218.60.56/~jnz1568/getInfo.php?workbook=14_13.xlsx&amp;sheet=U0&amp;row=1700&amp;col=7&amp;number=0.0503&amp;sourceID=14","0.0503")</f>
        <v>0.0503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HYPERLINK("http://141.218.60.56/~jnz1568/getInfo.php?workbook=14_13.xlsx&amp;sheet=U0&amp;row=1701&amp;col=6&amp;number=4.7&amp;sourceID=14","4.7")</f>
        <v>4.7</v>
      </c>
      <c r="G1701" s="4" t="str">
        <f>HYPERLINK("http://141.218.60.56/~jnz1568/getInfo.php?workbook=14_13.xlsx&amp;sheet=U0&amp;row=1701&amp;col=7&amp;number=0.0439&amp;sourceID=14","0.0439")</f>
        <v>0.0439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HYPERLINK("http://141.218.60.56/~jnz1568/getInfo.php?workbook=14_13.xlsx&amp;sheet=U0&amp;row=1702&amp;col=6&amp;number=4.8&amp;sourceID=14","4.8")</f>
        <v>4.8</v>
      </c>
      <c r="G1702" s="4" t="str">
        <f>HYPERLINK("http://141.218.60.56/~jnz1568/getInfo.php?workbook=14_13.xlsx&amp;sheet=U0&amp;row=1702&amp;col=7&amp;number=0.038&amp;sourceID=14","0.038")</f>
        <v>0.038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HYPERLINK("http://141.218.60.56/~jnz1568/getInfo.php?workbook=14_13.xlsx&amp;sheet=U0&amp;row=1703&amp;col=6&amp;number=4.9&amp;sourceID=14","4.9")</f>
        <v>4.9</v>
      </c>
      <c r="G1703" s="4" t="str">
        <f>HYPERLINK("http://141.218.60.56/~jnz1568/getInfo.php?workbook=14_13.xlsx&amp;sheet=U0&amp;row=1703&amp;col=7&amp;number=0.0328&amp;sourceID=14","0.0328")</f>
        <v>0.0328</v>
      </c>
    </row>
    <row r="1704" spans="1:7">
      <c r="A1704" s="3">
        <v>14</v>
      </c>
      <c r="B1704" s="3">
        <v>13</v>
      </c>
      <c r="C1704" s="3">
        <v>4</v>
      </c>
      <c r="D1704" s="3">
        <v>9</v>
      </c>
      <c r="E1704" s="3">
        <v>1</v>
      </c>
      <c r="F1704" s="4" t="str">
        <f>HYPERLINK("http://141.218.60.56/~jnz1568/getInfo.php?workbook=14_13.xlsx&amp;sheet=U0&amp;row=1704&amp;col=6&amp;number=3&amp;sourceID=14","3")</f>
        <v>3</v>
      </c>
      <c r="G1704" s="4" t="str">
        <f>HYPERLINK("http://141.218.60.56/~jnz1568/getInfo.php?workbook=14_13.xlsx&amp;sheet=U0&amp;row=1704&amp;col=7&amp;number=0.671&amp;sourceID=14","0.671")</f>
        <v>0.671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HYPERLINK("http://141.218.60.56/~jnz1568/getInfo.php?workbook=14_13.xlsx&amp;sheet=U0&amp;row=1705&amp;col=6&amp;number=3.1&amp;sourceID=14","3.1")</f>
        <v>3.1</v>
      </c>
      <c r="G1705" s="4" t="str">
        <f>HYPERLINK("http://141.218.60.56/~jnz1568/getInfo.php?workbook=14_13.xlsx&amp;sheet=U0&amp;row=1705&amp;col=7&amp;number=0.682&amp;sourceID=14","0.682")</f>
        <v>0.682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HYPERLINK("http://141.218.60.56/~jnz1568/getInfo.php?workbook=14_13.xlsx&amp;sheet=U0&amp;row=1706&amp;col=6&amp;number=3.2&amp;sourceID=14","3.2")</f>
        <v>3.2</v>
      </c>
      <c r="G1706" s="4" t="str">
        <f>HYPERLINK("http://141.218.60.56/~jnz1568/getInfo.php?workbook=14_13.xlsx&amp;sheet=U0&amp;row=1706&amp;col=7&amp;number=0.696&amp;sourceID=14","0.696")</f>
        <v>0.696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HYPERLINK("http://141.218.60.56/~jnz1568/getInfo.php?workbook=14_13.xlsx&amp;sheet=U0&amp;row=1707&amp;col=6&amp;number=3.3&amp;sourceID=14","3.3")</f>
        <v>3.3</v>
      </c>
      <c r="G1707" s="4" t="str">
        <f>HYPERLINK("http://141.218.60.56/~jnz1568/getInfo.php?workbook=14_13.xlsx&amp;sheet=U0&amp;row=1707&amp;col=7&amp;number=0.711&amp;sourceID=14","0.711")</f>
        <v>0.711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HYPERLINK("http://141.218.60.56/~jnz1568/getInfo.php?workbook=14_13.xlsx&amp;sheet=U0&amp;row=1708&amp;col=6&amp;number=3.4&amp;sourceID=14","3.4")</f>
        <v>3.4</v>
      </c>
      <c r="G1708" s="4" t="str">
        <f>HYPERLINK("http://141.218.60.56/~jnz1568/getInfo.php?workbook=14_13.xlsx&amp;sheet=U0&amp;row=1708&amp;col=7&amp;number=0.727&amp;sourceID=14","0.727")</f>
        <v>0.727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HYPERLINK("http://141.218.60.56/~jnz1568/getInfo.php?workbook=14_13.xlsx&amp;sheet=U0&amp;row=1709&amp;col=6&amp;number=3.5&amp;sourceID=14","3.5")</f>
        <v>3.5</v>
      </c>
      <c r="G1709" s="4" t="str">
        <f>HYPERLINK("http://141.218.60.56/~jnz1568/getInfo.php?workbook=14_13.xlsx&amp;sheet=U0&amp;row=1709&amp;col=7&amp;number=0.743&amp;sourceID=14","0.743")</f>
        <v>0.743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HYPERLINK("http://141.218.60.56/~jnz1568/getInfo.php?workbook=14_13.xlsx&amp;sheet=U0&amp;row=1710&amp;col=6&amp;number=3.6&amp;sourceID=14","3.6")</f>
        <v>3.6</v>
      </c>
      <c r="G1710" s="4" t="str">
        <f>HYPERLINK("http://141.218.60.56/~jnz1568/getInfo.php?workbook=14_13.xlsx&amp;sheet=U0&amp;row=1710&amp;col=7&amp;number=0.755&amp;sourceID=14","0.755")</f>
        <v>0.755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HYPERLINK("http://141.218.60.56/~jnz1568/getInfo.php?workbook=14_13.xlsx&amp;sheet=U0&amp;row=1711&amp;col=6&amp;number=3.7&amp;sourceID=14","3.7")</f>
        <v>3.7</v>
      </c>
      <c r="G1711" s="4" t="str">
        <f>HYPERLINK("http://141.218.60.56/~jnz1568/getInfo.php?workbook=14_13.xlsx&amp;sheet=U0&amp;row=1711&amp;col=7&amp;number=0.762&amp;sourceID=14","0.762")</f>
        <v>0.762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HYPERLINK("http://141.218.60.56/~jnz1568/getInfo.php?workbook=14_13.xlsx&amp;sheet=U0&amp;row=1712&amp;col=6&amp;number=3.8&amp;sourceID=14","3.8")</f>
        <v>3.8</v>
      </c>
      <c r="G1712" s="4" t="str">
        <f>HYPERLINK("http://141.218.60.56/~jnz1568/getInfo.php?workbook=14_13.xlsx&amp;sheet=U0&amp;row=1712&amp;col=7&amp;number=0.764&amp;sourceID=14","0.764")</f>
        <v>0.764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HYPERLINK("http://141.218.60.56/~jnz1568/getInfo.php?workbook=14_13.xlsx&amp;sheet=U0&amp;row=1713&amp;col=6&amp;number=3.9&amp;sourceID=14","3.9")</f>
        <v>3.9</v>
      </c>
      <c r="G1713" s="4" t="str">
        <f>HYPERLINK("http://141.218.60.56/~jnz1568/getInfo.php?workbook=14_13.xlsx&amp;sheet=U0&amp;row=1713&amp;col=7&amp;number=0.761&amp;sourceID=14","0.761")</f>
        <v>0.761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HYPERLINK("http://141.218.60.56/~jnz1568/getInfo.php?workbook=14_13.xlsx&amp;sheet=U0&amp;row=1714&amp;col=6&amp;number=4&amp;sourceID=14","4")</f>
        <v>4</v>
      </c>
      <c r="G1714" s="4" t="str">
        <f>HYPERLINK("http://141.218.60.56/~jnz1568/getInfo.php?workbook=14_13.xlsx&amp;sheet=U0&amp;row=1714&amp;col=7&amp;number=0.753&amp;sourceID=14","0.753")</f>
        <v>0.753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HYPERLINK("http://141.218.60.56/~jnz1568/getInfo.php?workbook=14_13.xlsx&amp;sheet=U0&amp;row=1715&amp;col=6&amp;number=4.1&amp;sourceID=14","4.1")</f>
        <v>4.1</v>
      </c>
      <c r="G1715" s="4" t="str">
        <f>HYPERLINK("http://141.218.60.56/~jnz1568/getInfo.php?workbook=14_13.xlsx&amp;sheet=U0&amp;row=1715&amp;col=7&amp;number=0.741&amp;sourceID=14","0.741")</f>
        <v>0.741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HYPERLINK("http://141.218.60.56/~jnz1568/getInfo.php?workbook=14_13.xlsx&amp;sheet=U0&amp;row=1716&amp;col=6&amp;number=4.2&amp;sourceID=14","4.2")</f>
        <v>4.2</v>
      </c>
      <c r="G1716" s="4" t="str">
        <f>HYPERLINK("http://141.218.60.56/~jnz1568/getInfo.php?workbook=14_13.xlsx&amp;sheet=U0&amp;row=1716&amp;col=7&amp;number=0.722&amp;sourceID=14","0.722")</f>
        <v>0.722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HYPERLINK("http://141.218.60.56/~jnz1568/getInfo.php?workbook=14_13.xlsx&amp;sheet=U0&amp;row=1717&amp;col=6&amp;number=4.3&amp;sourceID=14","4.3")</f>
        <v>4.3</v>
      </c>
      <c r="G1717" s="4" t="str">
        <f>HYPERLINK("http://141.218.60.56/~jnz1568/getInfo.php?workbook=14_13.xlsx&amp;sheet=U0&amp;row=1717&amp;col=7&amp;number=0.698&amp;sourceID=14","0.698")</f>
        <v>0.698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HYPERLINK("http://141.218.60.56/~jnz1568/getInfo.php?workbook=14_13.xlsx&amp;sheet=U0&amp;row=1718&amp;col=6&amp;number=4.4&amp;sourceID=14","4.4")</f>
        <v>4.4</v>
      </c>
      <c r="G1718" s="4" t="str">
        <f>HYPERLINK("http://141.218.60.56/~jnz1568/getInfo.php?workbook=14_13.xlsx&amp;sheet=U0&amp;row=1718&amp;col=7&amp;number=0.668&amp;sourceID=14","0.668")</f>
        <v>0.668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HYPERLINK("http://141.218.60.56/~jnz1568/getInfo.php?workbook=14_13.xlsx&amp;sheet=U0&amp;row=1719&amp;col=6&amp;number=4.5&amp;sourceID=14","4.5")</f>
        <v>4.5</v>
      </c>
      <c r="G1719" s="4" t="str">
        <f>HYPERLINK("http://141.218.60.56/~jnz1568/getInfo.php?workbook=14_13.xlsx&amp;sheet=U0&amp;row=1719&amp;col=7&amp;number=0.631&amp;sourceID=14","0.631")</f>
        <v>0.631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HYPERLINK("http://141.218.60.56/~jnz1568/getInfo.php?workbook=14_13.xlsx&amp;sheet=U0&amp;row=1720&amp;col=6&amp;number=4.6&amp;sourceID=14","4.6")</f>
        <v>4.6</v>
      </c>
      <c r="G1720" s="4" t="str">
        <f>HYPERLINK("http://141.218.60.56/~jnz1568/getInfo.php?workbook=14_13.xlsx&amp;sheet=U0&amp;row=1720&amp;col=7&amp;number=0.588&amp;sourceID=14","0.588")</f>
        <v>0.588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HYPERLINK("http://141.218.60.56/~jnz1568/getInfo.php?workbook=14_13.xlsx&amp;sheet=U0&amp;row=1721&amp;col=6&amp;number=4.7&amp;sourceID=14","4.7")</f>
        <v>4.7</v>
      </c>
      <c r="G1721" s="4" t="str">
        <f>HYPERLINK("http://141.218.60.56/~jnz1568/getInfo.php?workbook=14_13.xlsx&amp;sheet=U0&amp;row=1721&amp;col=7&amp;number=0.542&amp;sourceID=14","0.542")</f>
        <v>0.542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HYPERLINK("http://141.218.60.56/~jnz1568/getInfo.php?workbook=14_13.xlsx&amp;sheet=U0&amp;row=1722&amp;col=6&amp;number=4.8&amp;sourceID=14","4.8")</f>
        <v>4.8</v>
      </c>
      <c r="G1722" s="4" t="str">
        <f>HYPERLINK("http://141.218.60.56/~jnz1568/getInfo.php?workbook=14_13.xlsx&amp;sheet=U0&amp;row=1722&amp;col=7&amp;number=0.492&amp;sourceID=14","0.492")</f>
        <v>0.492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HYPERLINK("http://141.218.60.56/~jnz1568/getInfo.php?workbook=14_13.xlsx&amp;sheet=U0&amp;row=1723&amp;col=6&amp;number=4.9&amp;sourceID=14","4.9")</f>
        <v>4.9</v>
      </c>
      <c r="G1723" s="4" t="str">
        <f>HYPERLINK("http://141.218.60.56/~jnz1568/getInfo.php?workbook=14_13.xlsx&amp;sheet=U0&amp;row=1723&amp;col=7&amp;number=0.44&amp;sourceID=14","0.44")</f>
        <v>0.44</v>
      </c>
    </row>
    <row r="1724" spans="1:7">
      <c r="A1724" s="3">
        <v>14</v>
      </c>
      <c r="B1724" s="3">
        <v>13</v>
      </c>
      <c r="C1724" s="3">
        <v>4</v>
      </c>
      <c r="D1724" s="3">
        <v>10</v>
      </c>
      <c r="E1724" s="3">
        <v>1</v>
      </c>
      <c r="F1724" s="4" t="str">
        <f>HYPERLINK("http://141.218.60.56/~jnz1568/getInfo.php?workbook=14_13.xlsx&amp;sheet=U0&amp;row=1724&amp;col=6&amp;number=3&amp;sourceID=14","3")</f>
        <v>3</v>
      </c>
      <c r="G1724" s="4" t="str">
        <f>HYPERLINK("http://141.218.60.56/~jnz1568/getInfo.php?workbook=14_13.xlsx&amp;sheet=U0&amp;row=1724&amp;col=7&amp;number=0.802&amp;sourceID=14","0.802")</f>
        <v>0.802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HYPERLINK("http://141.218.60.56/~jnz1568/getInfo.php?workbook=14_13.xlsx&amp;sheet=U0&amp;row=1725&amp;col=6&amp;number=3.1&amp;sourceID=14","3.1")</f>
        <v>3.1</v>
      </c>
      <c r="G1725" s="4" t="str">
        <f>HYPERLINK("http://141.218.60.56/~jnz1568/getInfo.php?workbook=14_13.xlsx&amp;sheet=U0&amp;row=1725&amp;col=7&amp;number=0.795&amp;sourceID=14","0.795")</f>
        <v>0.795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HYPERLINK("http://141.218.60.56/~jnz1568/getInfo.php?workbook=14_13.xlsx&amp;sheet=U0&amp;row=1726&amp;col=6&amp;number=3.2&amp;sourceID=14","3.2")</f>
        <v>3.2</v>
      </c>
      <c r="G1726" s="4" t="str">
        <f>HYPERLINK("http://141.218.60.56/~jnz1568/getInfo.php?workbook=14_13.xlsx&amp;sheet=U0&amp;row=1726&amp;col=7&amp;number=0.786&amp;sourceID=14","0.786")</f>
        <v>0.786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HYPERLINK("http://141.218.60.56/~jnz1568/getInfo.php?workbook=14_13.xlsx&amp;sheet=U0&amp;row=1727&amp;col=6&amp;number=3.3&amp;sourceID=14","3.3")</f>
        <v>3.3</v>
      </c>
      <c r="G1727" s="4" t="str">
        <f>HYPERLINK("http://141.218.60.56/~jnz1568/getInfo.php?workbook=14_13.xlsx&amp;sheet=U0&amp;row=1727&amp;col=7&amp;number=0.776&amp;sourceID=14","0.776")</f>
        <v>0.776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HYPERLINK("http://141.218.60.56/~jnz1568/getInfo.php?workbook=14_13.xlsx&amp;sheet=U0&amp;row=1728&amp;col=6&amp;number=3.4&amp;sourceID=14","3.4")</f>
        <v>3.4</v>
      </c>
      <c r="G1728" s="4" t="str">
        <f>HYPERLINK("http://141.218.60.56/~jnz1568/getInfo.php?workbook=14_13.xlsx&amp;sheet=U0&amp;row=1728&amp;col=7&amp;number=0.763&amp;sourceID=14","0.763")</f>
        <v>0.763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HYPERLINK("http://141.218.60.56/~jnz1568/getInfo.php?workbook=14_13.xlsx&amp;sheet=U0&amp;row=1729&amp;col=6&amp;number=3.5&amp;sourceID=14","3.5")</f>
        <v>3.5</v>
      </c>
      <c r="G1729" s="4" t="str">
        <f>HYPERLINK("http://141.218.60.56/~jnz1568/getInfo.php?workbook=14_13.xlsx&amp;sheet=U0&amp;row=1729&amp;col=7&amp;number=0.748&amp;sourceID=14","0.748")</f>
        <v>0.748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HYPERLINK("http://141.218.60.56/~jnz1568/getInfo.php?workbook=14_13.xlsx&amp;sheet=U0&amp;row=1730&amp;col=6&amp;number=3.6&amp;sourceID=14","3.6")</f>
        <v>3.6</v>
      </c>
      <c r="G1730" s="4" t="str">
        <f>HYPERLINK("http://141.218.60.56/~jnz1568/getInfo.php?workbook=14_13.xlsx&amp;sheet=U0&amp;row=1730&amp;col=7&amp;number=0.731&amp;sourceID=14","0.731")</f>
        <v>0.731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HYPERLINK("http://141.218.60.56/~jnz1568/getInfo.php?workbook=14_13.xlsx&amp;sheet=U0&amp;row=1731&amp;col=6&amp;number=3.7&amp;sourceID=14","3.7")</f>
        <v>3.7</v>
      </c>
      <c r="G1731" s="4" t="str">
        <f>HYPERLINK("http://141.218.60.56/~jnz1568/getInfo.php?workbook=14_13.xlsx&amp;sheet=U0&amp;row=1731&amp;col=7&amp;number=0.712&amp;sourceID=14","0.712")</f>
        <v>0.712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HYPERLINK("http://141.218.60.56/~jnz1568/getInfo.php?workbook=14_13.xlsx&amp;sheet=U0&amp;row=1732&amp;col=6&amp;number=3.8&amp;sourceID=14","3.8")</f>
        <v>3.8</v>
      </c>
      <c r="G1732" s="4" t="str">
        <f>HYPERLINK("http://141.218.60.56/~jnz1568/getInfo.php?workbook=14_13.xlsx&amp;sheet=U0&amp;row=1732&amp;col=7&amp;number=0.691&amp;sourceID=14","0.691")</f>
        <v>0.691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HYPERLINK("http://141.218.60.56/~jnz1568/getInfo.php?workbook=14_13.xlsx&amp;sheet=U0&amp;row=1733&amp;col=6&amp;number=3.9&amp;sourceID=14","3.9")</f>
        <v>3.9</v>
      </c>
      <c r="G1733" s="4" t="str">
        <f>HYPERLINK("http://141.218.60.56/~jnz1568/getInfo.php?workbook=14_13.xlsx&amp;sheet=U0&amp;row=1733&amp;col=7&amp;number=0.669&amp;sourceID=14","0.669")</f>
        <v>0.669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HYPERLINK("http://141.218.60.56/~jnz1568/getInfo.php?workbook=14_13.xlsx&amp;sheet=U0&amp;row=1734&amp;col=6&amp;number=4&amp;sourceID=14","4")</f>
        <v>4</v>
      </c>
      <c r="G1734" s="4" t="str">
        <f>HYPERLINK("http://141.218.60.56/~jnz1568/getInfo.php?workbook=14_13.xlsx&amp;sheet=U0&amp;row=1734&amp;col=7&amp;number=0.646&amp;sourceID=14","0.646")</f>
        <v>0.646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HYPERLINK("http://141.218.60.56/~jnz1568/getInfo.php?workbook=14_13.xlsx&amp;sheet=U0&amp;row=1735&amp;col=6&amp;number=4.1&amp;sourceID=14","4.1")</f>
        <v>4.1</v>
      </c>
      <c r="G1735" s="4" t="str">
        <f>HYPERLINK("http://141.218.60.56/~jnz1568/getInfo.php?workbook=14_13.xlsx&amp;sheet=U0&amp;row=1735&amp;col=7&amp;number=0.62&amp;sourceID=14","0.62")</f>
        <v>0.62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HYPERLINK("http://141.218.60.56/~jnz1568/getInfo.php?workbook=14_13.xlsx&amp;sheet=U0&amp;row=1736&amp;col=6&amp;number=4.2&amp;sourceID=14","4.2")</f>
        <v>4.2</v>
      </c>
      <c r="G1736" s="4" t="str">
        <f>HYPERLINK("http://141.218.60.56/~jnz1568/getInfo.php?workbook=14_13.xlsx&amp;sheet=U0&amp;row=1736&amp;col=7&amp;number=0.593&amp;sourceID=14","0.593")</f>
        <v>0.593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HYPERLINK("http://141.218.60.56/~jnz1568/getInfo.php?workbook=14_13.xlsx&amp;sheet=U0&amp;row=1737&amp;col=6&amp;number=4.3&amp;sourceID=14","4.3")</f>
        <v>4.3</v>
      </c>
      <c r="G1737" s="4" t="str">
        <f>HYPERLINK("http://141.218.60.56/~jnz1568/getInfo.php?workbook=14_13.xlsx&amp;sheet=U0&amp;row=1737&amp;col=7&amp;number=0.563&amp;sourceID=14","0.563")</f>
        <v>0.563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HYPERLINK("http://141.218.60.56/~jnz1568/getInfo.php?workbook=14_13.xlsx&amp;sheet=U0&amp;row=1738&amp;col=6&amp;number=4.4&amp;sourceID=14","4.4")</f>
        <v>4.4</v>
      </c>
      <c r="G1738" s="4" t="str">
        <f>HYPERLINK("http://141.218.60.56/~jnz1568/getInfo.php?workbook=14_13.xlsx&amp;sheet=U0&amp;row=1738&amp;col=7&amp;number=0.532&amp;sourceID=14","0.532")</f>
        <v>0.532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HYPERLINK("http://141.218.60.56/~jnz1568/getInfo.php?workbook=14_13.xlsx&amp;sheet=U0&amp;row=1739&amp;col=6&amp;number=4.5&amp;sourceID=14","4.5")</f>
        <v>4.5</v>
      </c>
      <c r="G1739" s="4" t="str">
        <f>HYPERLINK("http://141.218.60.56/~jnz1568/getInfo.php?workbook=14_13.xlsx&amp;sheet=U0&amp;row=1739&amp;col=7&amp;number=0.501&amp;sourceID=14","0.501")</f>
        <v>0.501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HYPERLINK("http://141.218.60.56/~jnz1568/getInfo.php?workbook=14_13.xlsx&amp;sheet=U0&amp;row=1740&amp;col=6&amp;number=4.6&amp;sourceID=14","4.6")</f>
        <v>4.6</v>
      </c>
      <c r="G1740" s="4" t="str">
        <f>HYPERLINK("http://141.218.60.56/~jnz1568/getInfo.php?workbook=14_13.xlsx&amp;sheet=U0&amp;row=1740&amp;col=7&amp;number=0.47&amp;sourceID=14","0.47")</f>
        <v>0.47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HYPERLINK("http://141.218.60.56/~jnz1568/getInfo.php?workbook=14_13.xlsx&amp;sheet=U0&amp;row=1741&amp;col=6&amp;number=4.7&amp;sourceID=14","4.7")</f>
        <v>4.7</v>
      </c>
      <c r="G1741" s="4" t="str">
        <f>HYPERLINK("http://141.218.60.56/~jnz1568/getInfo.php?workbook=14_13.xlsx&amp;sheet=U0&amp;row=1741&amp;col=7&amp;number=0.44&amp;sourceID=14","0.44")</f>
        <v>0.44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HYPERLINK("http://141.218.60.56/~jnz1568/getInfo.php?workbook=14_13.xlsx&amp;sheet=U0&amp;row=1742&amp;col=6&amp;number=4.8&amp;sourceID=14","4.8")</f>
        <v>4.8</v>
      </c>
      <c r="G1742" s="4" t="str">
        <f>HYPERLINK("http://141.218.60.56/~jnz1568/getInfo.php?workbook=14_13.xlsx&amp;sheet=U0&amp;row=1742&amp;col=7&amp;number=0.41&amp;sourceID=14","0.41")</f>
        <v>0.41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HYPERLINK("http://141.218.60.56/~jnz1568/getInfo.php?workbook=14_13.xlsx&amp;sheet=U0&amp;row=1743&amp;col=6&amp;number=4.9&amp;sourceID=14","4.9")</f>
        <v>4.9</v>
      </c>
      <c r="G1743" s="4" t="str">
        <f>HYPERLINK("http://141.218.60.56/~jnz1568/getInfo.php?workbook=14_13.xlsx&amp;sheet=U0&amp;row=1743&amp;col=7&amp;number=0.38&amp;sourceID=14","0.38")</f>
        <v>0.38</v>
      </c>
    </row>
    <row r="1744" spans="1:7">
      <c r="A1744" s="3">
        <v>14</v>
      </c>
      <c r="B1744" s="3">
        <v>13</v>
      </c>
      <c r="C1744" s="3">
        <v>4</v>
      </c>
      <c r="D1744" s="3">
        <v>11</v>
      </c>
      <c r="E1744" s="3">
        <v>1</v>
      </c>
      <c r="F1744" s="4" t="str">
        <f>HYPERLINK("http://141.218.60.56/~jnz1568/getInfo.php?workbook=14_13.xlsx&amp;sheet=U0&amp;row=1744&amp;col=6&amp;number=3&amp;sourceID=14","3")</f>
        <v>3</v>
      </c>
      <c r="G1744" s="4" t="str">
        <f>HYPERLINK("http://141.218.60.56/~jnz1568/getInfo.php?workbook=14_13.xlsx&amp;sheet=U0&amp;row=1744&amp;col=7&amp;number=0.834&amp;sourceID=14","0.834")</f>
        <v>0.834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HYPERLINK("http://141.218.60.56/~jnz1568/getInfo.php?workbook=14_13.xlsx&amp;sheet=U0&amp;row=1745&amp;col=6&amp;number=3.1&amp;sourceID=14","3.1")</f>
        <v>3.1</v>
      </c>
      <c r="G1745" s="4" t="str">
        <f>HYPERLINK("http://141.218.60.56/~jnz1568/getInfo.php?workbook=14_13.xlsx&amp;sheet=U0&amp;row=1745&amp;col=7&amp;number=0.829&amp;sourceID=14","0.829")</f>
        <v>0.829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HYPERLINK("http://141.218.60.56/~jnz1568/getInfo.php?workbook=14_13.xlsx&amp;sheet=U0&amp;row=1746&amp;col=6&amp;number=3.2&amp;sourceID=14","3.2")</f>
        <v>3.2</v>
      </c>
      <c r="G1746" s="4" t="str">
        <f>HYPERLINK("http://141.218.60.56/~jnz1568/getInfo.php?workbook=14_13.xlsx&amp;sheet=U0&amp;row=1746&amp;col=7&amp;number=0.824&amp;sourceID=14","0.824")</f>
        <v>0.824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HYPERLINK("http://141.218.60.56/~jnz1568/getInfo.php?workbook=14_13.xlsx&amp;sheet=U0&amp;row=1747&amp;col=6&amp;number=3.3&amp;sourceID=14","3.3")</f>
        <v>3.3</v>
      </c>
      <c r="G1747" s="4" t="str">
        <f>HYPERLINK("http://141.218.60.56/~jnz1568/getInfo.php?workbook=14_13.xlsx&amp;sheet=U0&amp;row=1747&amp;col=7&amp;number=0.817&amp;sourceID=14","0.817")</f>
        <v>0.817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HYPERLINK("http://141.218.60.56/~jnz1568/getInfo.php?workbook=14_13.xlsx&amp;sheet=U0&amp;row=1748&amp;col=6&amp;number=3.4&amp;sourceID=14","3.4")</f>
        <v>3.4</v>
      </c>
      <c r="G1748" s="4" t="str">
        <f>HYPERLINK("http://141.218.60.56/~jnz1568/getInfo.php?workbook=14_13.xlsx&amp;sheet=U0&amp;row=1748&amp;col=7&amp;number=0.809&amp;sourceID=14","0.809")</f>
        <v>0.809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HYPERLINK("http://141.218.60.56/~jnz1568/getInfo.php?workbook=14_13.xlsx&amp;sheet=U0&amp;row=1749&amp;col=6&amp;number=3.5&amp;sourceID=14","3.5")</f>
        <v>3.5</v>
      </c>
      <c r="G1749" s="4" t="str">
        <f>HYPERLINK("http://141.218.60.56/~jnz1568/getInfo.php?workbook=14_13.xlsx&amp;sheet=U0&amp;row=1749&amp;col=7&amp;number=0.799&amp;sourceID=14","0.799")</f>
        <v>0.799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HYPERLINK("http://141.218.60.56/~jnz1568/getInfo.php?workbook=14_13.xlsx&amp;sheet=U0&amp;row=1750&amp;col=6&amp;number=3.6&amp;sourceID=14","3.6")</f>
        <v>3.6</v>
      </c>
      <c r="G1750" s="4" t="str">
        <f>HYPERLINK("http://141.218.60.56/~jnz1568/getInfo.php?workbook=14_13.xlsx&amp;sheet=U0&amp;row=1750&amp;col=7&amp;number=0.786&amp;sourceID=14","0.786")</f>
        <v>0.786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HYPERLINK("http://141.218.60.56/~jnz1568/getInfo.php?workbook=14_13.xlsx&amp;sheet=U0&amp;row=1751&amp;col=6&amp;number=3.7&amp;sourceID=14","3.7")</f>
        <v>3.7</v>
      </c>
      <c r="G1751" s="4" t="str">
        <f>HYPERLINK("http://141.218.60.56/~jnz1568/getInfo.php?workbook=14_13.xlsx&amp;sheet=U0&amp;row=1751&amp;col=7&amp;number=0.77&amp;sourceID=14","0.77")</f>
        <v>0.77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HYPERLINK("http://141.218.60.56/~jnz1568/getInfo.php?workbook=14_13.xlsx&amp;sheet=U0&amp;row=1752&amp;col=6&amp;number=3.8&amp;sourceID=14","3.8")</f>
        <v>3.8</v>
      </c>
      <c r="G1752" s="4" t="str">
        <f>HYPERLINK("http://141.218.60.56/~jnz1568/getInfo.php?workbook=14_13.xlsx&amp;sheet=U0&amp;row=1752&amp;col=7&amp;number=0.751&amp;sourceID=14","0.751")</f>
        <v>0.751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HYPERLINK("http://141.218.60.56/~jnz1568/getInfo.php?workbook=14_13.xlsx&amp;sheet=U0&amp;row=1753&amp;col=6&amp;number=3.9&amp;sourceID=14","3.9")</f>
        <v>3.9</v>
      </c>
      <c r="G1753" s="4" t="str">
        <f>HYPERLINK("http://141.218.60.56/~jnz1568/getInfo.php?workbook=14_13.xlsx&amp;sheet=U0&amp;row=1753&amp;col=7&amp;number=0.729&amp;sourceID=14","0.729")</f>
        <v>0.729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HYPERLINK("http://141.218.60.56/~jnz1568/getInfo.php?workbook=14_13.xlsx&amp;sheet=U0&amp;row=1754&amp;col=6&amp;number=4&amp;sourceID=14","4")</f>
        <v>4</v>
      </c>
      <c r="G1754" s="4" t="str">
        <f>HYPERLINK("http://141.218.60.56/~jnz1568/getInfo.php?workbook=14_13.xlsx&amp;sheet=U0&amp;row=1754&amp;col=7&amp;number=0.707&amp;sourceID=14","0.707")</f>
        <v>0.707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HYPERLINK("http://141.218.60.56/~jnz1568/getInfo.php?workbook=14_13.xlsx&amp;sheet=U0&amp;row=1755&amp;col=6&amp;number=4.1&amp;sourceID=14","4.1")</f>
        <v>4.1</v>
      </c>
      <c r="G1755" s="4" t="str">
        <f>HYPERLINK("http://141.218.60.56/~jnz1568/getInfo.php?workbook=14_13.xlsx&amp;sheet=U0&amp;row=1755&amp;col=7&amp;number=0.684&amp;sourceID=14","0.684")</f>
        <v>0.684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HYPERLINK("http://141.218.60.56/~jnz1568/getInfo.php?workbook=14_13.xlsx&amp;sheet=U0&amp;row=1756&amp;col=6&amp;number=4.2&amp;sourceID=14","4.2")</f>
        <v>4.2</v>
      </c>
      <c r="G1756" s="4" t="str">
        <f>HYPERLINK("http://141.218.60.56/~jnz1568/getInfo.php?workbook=14_13.xlsx&amp;sheet=U0&amp;row=1756&amp;col=7&amp;number=0.659&amp;sourceID=14","0.659")</f>
        <v>0.659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HYPERLINK("http://141.218.60.56/~jnz1568/getInfo.php?workbook=14_13.xlsx&amp;sheet=U0&amp;row=1757&amp;col=6&amp;number=4.3&amp;sourceID=14","4.3")</f>
        <v>4.3</v>
      </c>
      <c r="G1757" s="4" t="str">
        <f>HYPERLINK("http://141.218.60.56/~jnz1568/getInfo.php?workbook=14_13.xlsx&amp;sheet=U0&amp;row=1757&amp;col=7&amp;number=0.631&amp;sourceID=14","0.631")</f>
        <v>0.631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HYPERLINK("http://141.218.60.56/~jnz1568/getInfo.php?workbook=14_13.xlsx&amp;sheet=U0&amp;row=1758&amp;col=6&amp;number=4.4&amp;sourceID=14","4.4")</f>
        <v>4.4</v>
      </c>
      <c r="G1758" s="4" t="str">
        <f>HYPERLINK("http://141.218.60.56/~jnz1568/getInfo.php?workbook=14_13.xlsx&amp;sheet=U0&amp;row=1758&amp;col=7&amp;number=0.602&amp;sourceID=14","0.602")</f>
        <v>0.602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HYPERLINK("http://141.218.60.56/~jnz1568/getInfo.php?workbook=14_13.xlsx&amp;sheet=U0&amp;row=1759&amp;col=6&amp;number=4.5&amp;sourceID=14","4.5")</f>
        <v>4.5</v>
      </c>
      <c r="G1759" s="4" t="str">
        <f>HYPERLINK("http://141.218.60.56/~jnz1568/getInfo.php?workbook=14_13.xlsx&amp;sheet=U0&amp;row=1759&amp;col=7&amp;number=0.572&amp;sourceID=14","0.572")</f>
        <v>0.572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HYPERLINK("http://141.218.60.56/~jnz1568/getInfo.php?workbook=14_13.xlsx&amp;sheet=U0&amp;row=1760&amp;col=6&amp;number=4.6&amp;sourceID=14","4.6")</f>
        <v>4.6</v>
      </c>
      <c r="G1760" s="4" t="str">
        <f>HYPERLINK("http://141.218.60.56/~jnz1568/getInfo.php?workbook=14_13.xlsx&amp;sheet=U0&amp;row=1760&amp;col=7&amp;number=0.542&amp;sourceID=14","0.542")</f>
        <v>0.542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HYPERLINK("http://141.218.60.56/~jnz1568/getInfo.php?workbook=14_13.xlsx&amp;sheet=U0&amp;row=1761&amp;col=6&amp;number=4.7&amp;sourceID=14","4.7")</f>
        <v>4.7</v>
      </c>
      <c r="G1761" s="4" t="str">
        <f>HYPERLINK("http://141.218.60.56/~jnz1568/getInfo.php?workbook=14_13.xlsx&amp;sheet=U0&amp;row=1761&amp;col=7&amp;number=0.512&amp;sourceID=14","0.512")</f>
        <v>0.512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HYPERLINK("http://141.218.60.56/~jnz1568/getInfo.php?workbook=14_13.xlsx&amp;sheet=U0&amp;row=1762&amp;col=6&amp;number=4.8&amp;sourceID=14","4.8")</f>
        <v>4.8</v>
      </c>
      <c r="G1762" s="4" t="str">
        <f>HYPERLINK("http://141.218.60.56/~jnz1568/getInfo.php?workbook=14_13.xlsx&amp;sheet=U0&amp;row=1762&amp;col=7&amp;number=0.481&amp;sourceID=14","0.481")</f>
        <v>0.481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HYPERLINK("http://141.218.60.56/~jnz1568/getInfo.php?workbook=14_13.xlsx&amp;sheet=U0&amp;row=1763&amp;col=6&amp;number=4.9&amp;sourceID=14","4.9")</f>
        <v>4.9</v>
      </c>
      <c r="G1763" s="4" t="str">
        <f>HYPERLINK("http://141.218.60.56/~jnz1568/getInfo.php?workbook=14_13.xlsx&amp;sheet=U0&amp;row=1763&amp;col=7&amp;number=0.45&amp;sourceID=14","0.45")</f>
        <v>0.45</v>
      </c>
    </row>
    <row r="1764" spans="1:7">
      <c r="A1764" s="3">
        <v>14</v>
      </c>
      <c r="B1764" s="3">
        <v>13</v>
      </c>
      <c r="C1764" s="3">
        <v>4</v>
      </c>
      <c r="D1764" s="3">
        <v>12</v>
      </c>
      <c r="E1764" s="3">
        <v>1</v>
      </c>
      <c r="F1764" s="4" t="str">
        <f>HYPERLINK("http://141.218.60.56/~jnz1568/getInfo.php?workbook=14_13.xlsx&amp;sheet=U0&amp;row=1764&amp;col=6&amp;number=3&amp;sourceID=14","3")</f>
        <v>3</v>
      </c>
      <c r="G1764" s="4" t="str">
        <f>HYPERLINK("http://141.218.60.56/~jnz1568/getInfo.php?workbook=14_13.xlsx&amp;sheet=U0&amp;row=1764&amp;col=7&amp;number=0.144&amp;sourceID=14","0.144")</f>
        <v>0.144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HYPERLINK("http://141.218.60.56/~jnz1568/getInfo.php?workbook=14_13.xlsx&amp;sheet=U0&amp;row=1765&amp;col=6&amp;number=3.1&amp;sourceID=14","3.1")</f>
        <v>3.1</v>
      </c>
      <c r="G1765" s="4" t="str">
        <f>HYPERLINK("http://141.218.60.56/~jnz1568/getInfo.php?workbook=14_13.xlsx&amp;sheet=U0&amp;row=1765&amp;col=7&amp;number=0.143&amp;sourceID=14","0.143")</f>
        <v>0.143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HYPERLINK("http://141.218.60.56/~jnz1568/getInfo.php?workbook=14_13.xlsx&amp;sheet=U0&amp;row=1766&amp;col=6&amp;number=3.2&amp;sourceID=14","3.2")</f>
        <v>3.2</v>
      </c>
      <c r="G1766" s="4" t="str">
        <f>HYPERLINK("http://141.218.60.56/~jnz1568/getInfo.php?workbook=14_13.xlsx&amp;sheet=U0&amp;row=1766&amp;col=7&amp;number=0.141&amp;sourceID=14","0.141")</f>
        <v>0.141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HYPERLINK("http://141.218.60.56/~jnz1568/getInfo.php?workbook=14_13.xlsx&amp;sheet=U0&amp;row=1767&amp;col=6&amp;number=3.3&amp;sourceID=14","3.3")</f>
        <v>3.3</v>
      </c>
      <c r="G1767" s="4" t="str">
        <f>HYPERLINK("http://141.218.60.56/~jnz1568/getInfo.php?workbook=14_13.xlsx&amp;sheet=U0&amp;row=1767&amp;col=7&amp;number=0.138&amp;sourceID=14","0.138")</f>
        <v>0.138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HYPERLINK("http://141.218.60.56/~jnz1568/getInfo.php?workbook=14_13.xlsx&amp;sheet=U0&amp;row=1768&amp;col=6&amp;number=3.4&amp;sourceID=14","3.4")</f>
        <v>3.4</v>
      </c>
      <c r="G1768" s="4" t="str">
        <f>HYPERLINK("http://141.218.60.56/~jnz1568/getInfo.php?workbook=14_13.xlsx&amp;sheet=U0&amp;row=1768&amp;col=7&amp;number=0.135&amp;sourceID=14","0.135")</f>
        <v>0.135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HYPERLINK("http://141.218.60.56/~jnz1568/getInfo.php?workbook=14_13.xlsx&amp;sheet=U0&amp;row=1769&amp;col=6&amp;number=3.5&amp;sourceID=14","3.5")</f>
        <v>3.5</v>
      </c>
      <c r="G1769" s="4" t="str">
        <f>HYPERLINK("http://141.218.60.56/~jnz1568/getInfo.php?workbook=14_13.xlsx&amp;sheet=U0&amp;row=1769&amp;col=7&amp;number=0.131&amp;sourceID=14","0.131")</f>
        <v>0.131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HYPERLINK("http://141.218.60.56/~jnz1568/getInfo.php?workbook=14_13.xlsx&amp;sheet=U0&amp;row=1770&amp;col=6&amp;number=3.6&amp;sourceID=14","3.6")</f>
        <v>3.6</v>
      </c>
      <c r="G1770" s="4" t="str">
        <f>HYPERLINK("http://141.218.60.56/~jnz1568/getInfo.php?workbook=14_13.xlsx&amp;sheet=U0&amp;row=1770&amp;col=7&amp;number=0.127&amp;sourceID=14","0.127")</f>
        <v>0.127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HYPERLINK("http://141.218.60.56/~jnz1568/getInfo.php?workbook=14_13.xlsx&amp;sheet=U0&amp;row=1771&amp;col=6&amp;number=3.7&amp;sourceID=14","3.7")</f>
        <v>3.7</v>
      </c>
      <c r="G1771" s="4" t="str">
        <f>HYPERLINK("http://141.218.60.56/~jnz1568/getInfo.php?workbook=14_13.xlsx&amp;sheet=U0&amp;row=1771&amp;col=7&amp;number=0.122&amp;sourceID=14","0.122")</f>
        <v>0.122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HYPERLINK("http://141.218.60.56/~jnz1568/getInfo.php?workbook=14_13.xlsx&amp;sheet=U0&amp;row=1772&amp;col=6&amp;number=3.8&amp;sourceID=14","3.8")</f>
        <v>3.8</v>
      </c>
      <c r="G1772" s="4" t="str">
        <f>HYPERLINK("http://141.218.60.56/~jnz1568/getInfo.php?workbook=14_13.xlsx&amp;sheet=U0&amp;row=1772&amp;col=7&amp;number=0.117&amp;sourceID=14","0.117")</f>
        <v>0.117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HYPERLINK("http://141.218.60.56/~jnz1568/getInfo.php?workbook=14_13.xlsx&amp;sheet=U0&amp;row=1773&amp;col=6&amp;number=3.9&amp;sourceID=14","3.9")</f>
        <v>3.9</v>
      </c>
      <c r="G1773" s="4" t="str">
        <f>HYPERLINK("http://141.218.60.56/~jnz1568/getInfo.php?workbook=14_13.xlsx&amp;sheet=U0&amp;row=1773&amp;col=7&amp;number=0.111&amp;sourceID=14","0.111")</f>
        <v>0.111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HYPERLINK("http://141.218.60.56/~jnz1568/getInfo.php?workbook=14_13.xlsx&amp;sheet=U0&amp;row=1774&amp;col=6&amp;number=4&amp;sourceID=14","4")</f>
        <v>4</v>
      </c>
      <c r="G1774" s="4" t="str">
        <f>HYPERLINK("http://141.218.60.56/~jnz1568/getInfo.php?workbook=14_13.xlsx&amp;sheet=U0&amp;row=1774&amp;col=7&amp;number=0.105&amp;sourceID=14","0.105")</f>
        <v>0.105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HYPERLINK("http://141.218.60.56/~jnz1568/getInfo.php?workbook=14_13.xlsx&amp;sheet=U0&amp;row=1775&amp;col=6&amp;number=4.1&amp;sourceID=14","4.1")</f>
        <v>4.1</v>
      </c>
      <c r="G1775" s="4" t="str">
        <f>HYPERLINK("http://141.218.60.56/~jnz1568/getInfo.php?workbook=14_13.xlsx&amp;sheet=U0&amp;row=1775&amp;col=7&amp;number=0.0991&amp;sourceID=14","0.0991")</f>
        <v>0.0991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HYPERLINK("http://141.218.60.56/~jnz1568/getInfo.php?workbook=14_13.xlsx&amp;sheet=U0&amp;row=1776&amp;col=6&amp;number=4.2&amp;sourceID=14","4.2")</f>
        <v>4.2</v>
      </c>
      <c r="G1776" s="4" t="str">
        <f>HYPERLINK("http://141.218.60.56/~jnz1568/getInfo.php?workbook=14_13.xlsx&amp;sheet=U0&amp;row=1776&amp;col=7&amp;number=0.0929&amp;sourceID=14","0.0929")</f>
        <v>0.0929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HYPERLINK("http://141.218.60.56/~jnz1568/getInfo.php?workbook=14_13.xlsx&amp;sheet=U0&amp;row=1777&amp;col=6&amp;number=4.3&amp;sourceID=14","4.3")</f>
        <v>4.3</v>
      </c>
      <c r="G1777" s="4" t="str">
        <f>HYPERLINK("http://141.218.60.56/~jnz1568/getInfo.php?workbook=14_13.xlsx&amp;sheet=U0&amp;row=1777&amp;col=7&amp;number=0.0865&amp;sourceID=14","0.0865")</f>
        <v>0.0865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HYPERLINK("http://141.218.60.56/~jnz1568/getInfo.php?workbook=14_13.xlsx&amp;sheet=U0&amp;row=1778&amp;col=6&amp;number=4.4&amp;sourceID=14","4.4")</f>
        <v>4.4</v>
      </c>
      <c r="G1778" s="4" t="str">
        <f>HYPERLINK("http://141.218.60.56/~jnz1568/getInfo.php?workbook=14_13.xlsx&amp;sheet=U0&amp;row=1778&amp;col=7&amp;number=0.0801&amp;sourceID=14","0.0801")</f>
        <v>0.0801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HYPERLINK("http://141.218.60.56/~jnz1568/getInfo.php?workbook=14_13.xlsx&amp;sheet=U0&amp;row=1779&amp;col=6&amp;number=4.5&amp;sourceID=14","4.5")</f>
        <v>4.5</v>
      </c>
      <c r="G1779" s="4" t="str">
        <f>HYPERLINK("http://141.218.60.56/~jnz1568/getInfo.php?workbook=14_13.xlsx&amp;sheet=U0&amp;row=1779&amp;col=7&amp;number=0.0739&amp;sourceID=14","0.0739")</f>
        <v>0.0739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HYPERLINK("http://141.218.60.56/~jnz1568/getInfo.php?workbook=14_13.xlsx&amp;sheet=U0&amp;row=1780&amp;col=6&amp;number=4.6&amp;sourceID=14","4.6")</f>
        <v>4.6</v>
      </c>
      <c r="G1780" s="4" t="str">
        <f>HYPERLINK("http://141.218.60.56/~jnz1568/getInfo.php?workbook=14_13.xlsx&amp;sheet=U0&amp;row=1780&amp;col=7&amp;number=0.0681&amp;sourceID=14","0.0681")</f>
        <v>0.0681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HYPERLINK("http://141.218.60.56/~jnz1568/getInfo.php?workbook=14_13.xlsx&amp;sheet=U0&amp;row=1781&amp;col=6&amp;number=4.7&amp;sourceID=14","4.7")</f>
        <v>4.7</v>
      </c>
      <c r="G1781" s="4" t="str">
        <f>HYPERLINK("http://141.218.60.56/~jnz1568/getInfo.php?workbook=14_13.xlsx&amp;sheet=U0&amp;row=1781&amp;col=7&amp;number=0.0627&amp;sourceID=14","0.0627")</f>
        <v>0.0627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HYPERLINK("http://141.218.60.56/~jnz1568/getInfo.php?workbook=14_13.xlsx&amp;sheet=U0&amp;row=1782&amp;col=6&amp;number=4.8&amp;sourceID=14","4.8")</f>
        <v>4.8</v>
      </c>
      <c r="G1782" s="4" t="str">
        <f>HYPERLINK("http://141.218.60.56/~jnz1568/getInfo.php?workbook=14_13.xlsx&amp;sheet=U0&amp;row=1782&amp;col=7&amp;number=0.0576&amp;sourceID=14","0.0576")</f>
        <v>0.0576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HYPERLINK("http://141.218.60.56/~jnz1568/getInfo.php?workbook=14_13.xlsx&amp;sheet=U0&amp;row=1783&amp;col=6&amp;number=4.9&amp;sourceID=14","4.9")</f>
        <v>4.9</v>
      </c>
      <c r="G1783" s="4" t="str">
        <f>HYPERLINK("http://141.218.60.56/~jnz1568/getInfo.php?workbook=14_13.xlsx&amp;sheet=U0&amp;row=1783&amp;col=7&amp;number=0.0527&amp;sourceID=14","0.0527")</f>
        <v>0.0527</v>
      </c>
    </row>
    <row r="1784" spans="1:7">
      <c r="A1784" s="3">
        <v>14</v>
      </c>
      <c r="B1784" s="3">
        <v>13</v>
      </c>
      <c r="C1784" s="3">
        <v>4</v>
      </c>
      <c r="D1784" s="3">
        <v>13</v>
      </c>
      <c r="E1784" s="3">
        <v>1</v>
      </c>
      <c r="F1784" s="4" t="str">
        <f>HYPERLINK("http://141.218.60.56/~jnz1568/getInfo.php?workbook=14_13.xlsx&amp;sheet=U0&amp;row=1784&amp;col=6&amp;number=3&amp;sourceID=14","3")</f>
        <v>3</v>
      </c>
      <c r="G1784" s="4" t="str">
        <f>HYPERLINK("http://141.218.60.56/~jnz1568/getInfo.php?workbook=14_13.xlsx&amp;sheet=U0&amp;row=1784&amp;col=7&amp;number=0.23&amp;sourceID=14","0.23")</f>
        <v>0.23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HYPERLINK("http://141.218.60.56/~jnz1568/getInfo.php?workbook=14_13.xlsx&amp;sheet=U0&amp;row=1785&amp;col=6&amp;number=3.1&amp;sourceID=14","3.1")</f>
        <v>3.1</v>
      </c>
      <c r="G1785" s="4" t="str">
        <f>HYPERLINK("http://141.218.60.56/~jnz1568/getInfo.php?workbook=14_13.xlsx&amp;sheet=U0&amp;row=1785&amp;col=7&amp;number=0.226&amp;sourceID=14","0.226")</f>
        <v>0.226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HYPERLINK("http://141.218.60.56/~jnz1568/getInfo.php?workbook=14_13.xlsx&amp;sheet=U0&amp;row=1786&amp;col=6&amp;number=3.2&amp;sourceID=14","3.2")</f>
        <v>3.2</v>
      </c>
      <c r="G1786" s="4" t="str">
        <f>HYPERLINK("http://141.218.60.56/~jnz1568/getInfo.php?workbook=14_13.xlsx&amp;sheet=U0&amp;row=1786&amp;col=7&amp;number=0.221&amp;sourceID=14","0.221")</f>
        <v>0.221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HYPERLINK("http://141.218.60.56/~jnz1568/getInfo.php?workbook=14_13.xlsx&amp;sheet=U0&amp;row=1787&amp;col=6&amp;number=3.3&amp;sourceID=14","3.3")</f>
        <v>3.3</v>
      </c>
      <c r="G1787" s="4" t="str">
        <f>HYPERLINK("http://141.218.60.56/~jnz1568/getInfo.php?workbook=14_13.xlsx&amp;sheet=U0&amp;row=1787&amp;col=7&amp;number=0.216&amp;sourceID=14","0.216")</f>
        <v>0.216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HYPERLINK("http://141.218.60.56/~jnz1568/getInfo.php?workbook=14_13.xlsx&amp;sheet=U0&amp;row=1788&amp;col=6&amp;number=3.4&amp;sourceID=14","3.4")</f>
        <v>3.4</v>
      </c>
      <c r="G1788" s="4" t="str">
        <f>HYPERLINK("http://141.218.60.56/~jnz1568/getInfo.php?workbook=14_13.xlsx&amp;sheet=U0&amp;row=1788&amp;col=7&amp;number=0.209&amp;sourceID=14","0.209")</f>
        <v>0.209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HYPERLINK("http://141.218.60.56/~jnz1568/getInfo.php?workbook=14_13.xlsx&amp;sheet=U0&amp;row=1789&amp;col=6&amp;number=3.5&amp;sourceID=14","3.5")</f>
        <v>3.5</v>
      </c>
      <c r="G1789" s="4" t="str">
        <f>HYPERLINK("http://141.218.60.56/~jnz1568/getInfo.php?workbook=14_13.xlsx&amp;sheet=U0&amp;row=1789&amp;col=7&amp;number=0.201&amp;sourceID=14","0.201")</f>
        <v>0.201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HYPERLINK("http://141.218.60.56/~jnz1568/getInfo.php?workbook=14_13.xlsx&amp;sheet=U0&amp;row=1790&amp;col=6&amp;number=3.6&amp;sourceID=14","3.6")</f>
        <v>3.6</v>
      </c>
      <c r="G1790" s="4" t="str">
        <f>HYPERLINK("http://141.218.60.56/~jnz1568/getInfo.php?workbook=14_13.xlsx&amp;sheet=U0&amp;row=1790&amp;col=7&amp;number=0.193&amp;sourceID=14","0.193")</f>
        <v>0.193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HYPERLINK("http://141.218.60.56/~jnz1568/getInfo.php?workbook=14_13.xlsx&amp;sheet=U0&amp;row=1791&amp;col=6&amp;number=3.7&amp;sourceID=14","3.7")</f>
        <v>3.7</v>
      </c>
      <c r="G1791" s="4" t="str">
        <f>HYPERLINK("http://141.218.60.56/~jnz1568/getInfo.php?workbook=14_13.xlsx&amp;sheet=U0&amp;row=1791&amp;col=7&amp;number=0.184&amp;sourceID=14","0.184")</f>
        <v>0.184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HYPERLINK("http://141.218.60.56/~jnz1568/getInfo.php?workbook=14_13.xlsx&amp;sheet=U0&amp;row=1792&amp;col=6&amp;number=3.8&amp;sourceID=14","3.8")</f>
        <v>3.8</v>
      </c>
      <c r="G1792" s="4" t="str">
        <f>HYPERLINK("http://141.218.60.56/~jnz1568/getInfo.php?workbook=14_13.xlsx&amp;sheet=U0&amp;row=1792&amp;col=7&amp;number=0.174&amp;sourceID=14","0.174")</f>
        <v>0.174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HYPERLINK("http://141.218.60.56/~jnz1568/getInfo.php?workbook=14_13.xlsx&amp;sheet=U0&amp;row=1793&amp;col=6&amp;number=3.9&amp;sourceID=14","3.9")</f>
        <v>3.9</v>
      </c>
      <c r="G1793" s="4" t="str">
        <f>HYPERLINK("http://141.218.60.56/~jnz1568/getInfo.php?workbook=14_13.xlsx&amp;sheet=U0&amp;row=1793&amp;col=7&amp;number=0.165&amp;sourceID=14","0.165")</f>
        <v>0.165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HYPERLINK("http://141.218.60.56/~jnz1568/getInfo.php?workbook=14_13.xlsx&amp;sheet=U0&amp;row=1794&amp;col=6&amp;number=4&amp;sourceID=14","4")</f>
        <v>4</v>
      </c>
      <c r="G1794" s="4" t="str">
        <f>HYPERLINK("http://141.218.60.56/~jnz1568/getInfo.php?workbook=14_13.xlsx&amp;sheet=U0&amp;row=1794&amp;col=7&amp;number=0.156&amp;sourceID=14","0.156")</f>
        <v>0.156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HYPERLINK("http://141.218.60.56/~jnz1568/getInfo.php?workbook=14_13.xlsx&amp;sheet=U0&amp;row=1795&amp;col=6&amp;number=4.1&amp;sourceID=14","4.1")</f>
        <v>4.1</v>
      </c>
      <c r="G1795" s="4" t="str">
        <f>HYPERLINK("http://141.218.60.56/~jnz1568/getInfo.php?workbook=14_13.xlsx&amp;sheet=U0&amp;row=1795&amp;col=7&amp;number=0.147&amp;sourceID=14","0.147")</f>
        <v>0.147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HYPERLINK("http://141.218.60.56/~jnz1568/getInfo.php?workbook=14_13.xlsx&amp;sheet=U0&amp;row=1796&amp;col=6&amp;number=4.2&amp;sourceID=14","4.2")</f>
        <v>4.2</v>
      </c>
      <c r="G1796" s="4" t="str">
        <f>HYPERLINK("http://141.218.60.56/~jnz1568/getInfo.php?workbook=14_13.xlsx&amp;sheet=U0&amp;row=1796&amp;col=7&amp;number=0.138&amp;sourceID=14","0.138")</f>
        <v>0.138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HYPERLINK("http://141.218.60.56/~jnz1568/getInfo.php?workbook=14_13.xlsx&amp;sheet=U0&amp;row=1797&amp;col=6&amp;number=4.3&amp;sourceID=14","4.3")</f>
        <v>4.3</v>
      </c>
      <c r="G1797" s="4" t="str">
        <f>HYPERLINK("http://141.218.60.56/~jnz1568/getInfo.php?workbook=14_13.xlsx&amp;sheet=U0&amp;row=1797&amp;col=7&amp;number=0.129&amp;sourceID=14","0.129")</f>
        <v>0.129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HYPERLINK("http://141.218.60.56/~jnz1568/getInfo.php?workbook=14_13.xlsx&amp;sheet=U0&amp;row=1798&amp;col=6&amp;number=4.4&amp;sourceID=14","4.4")</f>
        <v>4.4</v>
      </c>
      <c r="G1798" s="4" t="str">
        <f>HYPERLINK("http://141.218.60.56/~jnz1568/getInfo.php?workbook=14_13.xlsx&amp;sheet=U0&amp;row=1798&amp;col=7&amp;number=0.12&amp;sourceID=14","0.12")</f>
        <v>0.12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HYPERLINK("http://141.218.60.56/~jnz1568/getInfo.php?workbook=14_13.xlsx&amp;sheet=U0&amp;row=1799&amp;col=6&amp;number=4.5&amp;sourceID=14","4.5")</f>
        <v>4.5</v>
      </c>
      <c r="G1799" s="4" t="str">
        <f>HYPERLINK("http://141.218.60.56/~jnz1568/getInfo.php?workbook=14_13.xlsx&amp;sheet=U0&amp;row=1799&amp;col=7&amp;number=0.112&amp;sourceID=14","0.112")</f>
        <v>0.112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HYPERLINK("http://141.218.60.56/~jnz1568/getInfo.php?workbook=14_13.xlsx&amp;sheet=U0&amp;row=1800&amp;col=6&amp;number=4.6&amp;sourceID=14","4.6")</f>
        <v>4.6</v>
      </c>
      <c r="G1800" s="4" t="str">
        <f>HYPERLINK("http://141.218.60.56/~jnz1568/getInfo.php?workbook=14_13.xlsx&amp;sheet=U0&amp;row=1800&amp;col=7&amp;number=0.104&amp;sourceID=14","0.104")</f>
        <v>0.104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HYPERLINK("http://141.218.60.56/~jnz1568/getInfo.php?workbook=14_13.xlsx&amp;sheet=U0&amp;row=1801&amp;col=6&amp;number=4.7&amp;sourceID=14","4.7")</f>
        <v>4.7</v>
      </c>
      <c r="G1801" s="4" t="str">
        <f>HYPERLINK("http://141.218.60.56/~jnz1568/getInfo.php?workbook=14_13.xlsx&amp;sheet=U0&amp;row=1801&amp;col=7&amp;number=0.097&amp;sourceID=14","0.097")</f>
        <v>0.097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HYPERLINK("http://141.218.60.56/~jnz1568/getInfo.php?workbook=14_13.xlsx&amp;sheet=U0&amp;row=1802&amp;col=6&amp;number=4.8&amp;sourceID=14","4.8")</f>
        <v>4.8</v>
      </c>
      <c r="G1802" s="4" t="str">
        <f>HYPERLINK("http://141.218.60.56/~jnz1568/getInfo.php?workbook=14_13.xlsx&amp;sheet=U0&amp;row=1802&amp;col=7&amp;number=0.0904&amp;sourceID=14","0.0904")</f>
        <v>0.0904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HYPERLINK("http://141.218.60.56/~jnz1568/getInfo.php?workbook=14_13.xlsx&amp;sheet=U0&amp;row=1803&amp;col=6&amp;number=4.9&amp;sourceID=14","4.9")</f>
        <v>4.9</v>
      </c>
      <c r="G1803" s="4" t="str">
        <f>HYPERLINK("http://141.218.60.56/~jnz1568/getInfo.php?workbook=14_13.xlsx&amp;sheet=U0&amp;row=1803&amp;col=7&amp;number=0.084&amp;sourceID=14","0.084")</f>
        <v>0.084</v>
      </c>
    </row>
    <row r="1804" spans="1:7">
      <c r="A1804" s="3">
        <v>14</v>
      </c>
      <c r="B1804" s="3">
        <v>13</v>
      </c>
      <c r="C1804" s="3">
        <v>4</v>
      </c>
      <c r="D1804" s="3">
        <v>14</v>
      </c>
      <c r="E1804" s="3">
        <v>1</v>
      </c>
      <c r="F1804" s="4" t="str">
        <f>HYPERLINK("http://141.218.60.56/~jnz1568/getInfo.php?workbook=14_13.xlsx&amp;sheet=U0&amp;row=1804&amp;col=6&amp;number=3&amp;sourceID=14","3")</f>
        <v>3</v>
      </c>
      <c r="G1804" s="4" t="str">
        <f>HYPERLINK("http://141.218.60.56/~jnz1568/getInfo.php?workbook=14_13.xlsx&amp;sheet=U0&amp;row=1804&amp;col=7&amp;number=0.877&amp;sourceID=14","0.877")</f>
        <v>0.877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HYPERLINK("http://141.218.60.56/~jnz1568/getInfo.php?workbook=14_13.xlsx&amp;sheet=U0&amp;row=1805&amp;col=6&amp;number=3.1&amp;sourceID=14","3.1")</f>
        <v>3.1</v>
      </c>
      <c r="G1805" s="4" t="str">
        <f>HYPERLINK("http://141.218.60.56/~jnz1568/getInfo.php?workbook=14_13.xlsx&amp;sheet=U0&amp;row=1805&amp;col=7&amp;number=0.871&amp;sourceID=14","0.871")</f>
        <v>0.871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HYPERLINK("http://141.218.60.56/~jnz1568/getInfo.php?workbook=14_13.xlsx&amp;sheet=U0&amp;row=1806&amp;col=6&amp;number=3.2&amp;sourceID=14","3.2")</f>
        <v>3.2</v>
      </c>
      <c r="G1806" s="4" t="str">
        <f>HYPERLINK("http://141.218.60.56/~jnz1568/getInfo.php?workbook=14_13.xlsx&amp;sheet=U0&amp;row=1806&amp;col=7&amp;number=0.865&amp;sourceID=14","0.865")</f>
        <v>0.865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HYPERLINK("http://141.218.60.56/~jnz1568/getInfo.php?workbook=14_13.xlsx&amp;sheet=U0&amp;row=1807&amp;col=6&amp;number=3.3&amp;sourceID=14","3.3")</f>
        <v>3.3</v>
      </c>
      <c r="G1807" s="4" t="str">
        <f>HYPERLINK("http://141.218.60.56/~jnz1568/getInfo.php?workbook=14_13.xlsx&amp;sheet=U0&amp;row=1807&amp;col=7&amp;number=0.857&amp;sourceID=14","0.857")</f>
        <v>0.857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HYPERLINK("http://141.218.60.56/~jnz1568/getInfo.php?workbook=14_13.xlsx&amp;sheet=U0&amp;row=1808&amp;col=6&amp;number=3.4&amp;sourceID=14","3.4")</f>
        <v>3.4</v>
      </c>
      <c r="G1808" s="4" t="str">
        <f>HYPERLINK("http://141.218.60.56/~jnz1568/getInfo.php?workbook=14_13.xlsx&amp;sheet=U0&amp;row=1808&amp;col=7&amp;number=0.848&amp;sourceID=14","0.848")</f>
        <v>0.848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HYPERLINK("http://141.218.60.56/~jnz1568/getInfo.php?workbook=14_13.xlsx&amp;sheet=U0&amp;row=1809&amp;col=6&amp;number=3.5&amp;sourceID=14","3.5")</f>
        <v>3.5</v>
      </c>
      <c r="G1809" s="4" t="str">
        <f>HYPERLINK("http://141.218.60.56/~jnz1568/getInfo.php?workbook=14_13.xlsx&amp;sheet=U0&amp;row=1809&amp;col=7&amp;number=0.838&amp;sourceID=14","0.838")</f>
        <v>0.838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HYPERLINK("http://141.218.60.56/~jnz1568/getInfo.php?workbook=14_13.xlsx&amp;sheet=U0&amp;row=1810&amp;col=6&amp;number=3.6&amp;sourceID=14","3.6")</f>
        <v>3.6</v>
      </c>
      <c r="G1810" s="4" t="str">
        <f>HYPERLINK("http://141.218.60.56/~jnz1568/getInfo.php?workbook=14_13.xlsx&amp;sheet=U0&amp;row=1810&amp;col=7&amp;number=0.827&amp;sourceID=14","0.827")</f>
        <v>0.827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HYPERLINK("http://141.218.60.56/~jnz1568/getInfo.php?workbook=14_13.xlsx&amp;sheet=U0&amp;row=1811&amp;col=6&amp;number=3.7&amp;sourceID=14","3.7")</f>
        <v>3.7</v>
      </c>
      <c r="G1811" s="4" t="str">
        <f>HYPERLINK("http://141.218.60.56/~jnz1568/getInfo.php?workbook=14_13.xlsx&amp;sheet=U0&amp;row=1811&amp;col=7&amp;number=0.818&amp;sourceID=14","0.818")</f>
        <v>0.818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HYPERLINK("http://141.218.60.56/~jnz1568/getInfo.php?workbook=14_13.xlsx&amp;sheet=U0&amp;row=1812&amp;col=6&amp;number=3.8&amp;sourceID=14","3.8")</f>
        <v>3.8</v>
      </c>
      <c r="G1812" s="4" t="str">
        <f>HYPERLINK("http://141.218.60.56/~jnz1568/getInfo.php?workbook=14_13.xlsx&amp;sheet=U0&amp;row=1812&amp;col=7&amp;number=0.809&amp;sourceID=14","0.809")</f>
        <v>0.809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HYPERLINK("http://141.218.60.56/~jnz1568/getInfo.php?workbook=14_13.xlsx&amp;sheet=U0&amp;row=1813&amp;col=6&amp;number=3.9&amp;sourceID=14","3.9")</f>
        <v>3.9</v>
      </c>
      <c r="G1813" s="4" t="str">
        <f>HYPERLINK("http://141.218.60.56/~jnz1568/getInfo.php?workbook=14_13.xlsx&amp;sheet=U0&amp;row=1813&amp;col=7&amp;number=0.801&amp;sourceID=14","0.801")</f>
        <v>0.801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HYPERLINK("http://141.218.60.56/~jnz1568/getInfo.php?workbook=14_13.xlsx&amp;sheet=U0&amp;row=1814&amp;col=6&amp;number=4&amp;sourceID=14","4")</f>
        <v>4</v>
      </c>
      <c r="G1814" s="4" t="str">
        <f>HYPERLINK("http://141.218.60.56/~jnz1568/getInfo.php?workbook=14_13.xlsx&amp;sheet=U0&amp;row=1814&amp;col=7&amp;number=0.792&amp;sourceID=14","0.792")</f>
        <v>0.792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HYPERLINK("http://141.218.60.56/~jnz1568/getInfo.php?workbook=14_13.xlsx&amp;sheet=U0&amp;row=1815&amp;col=6&amp;number=4.1&amp;sourceID=14","4.1")</f>
        <v>4.1</v>
      </c>
      <c r="G1815" s="4" t="str">
        <f>HYPERLINK("http://141.218.60.56/~jnz1568/getInfo.php?workbook=14_13.xlsx&amp;sheet=U0&amp;row=1815&amp;col=7&amp;number=0.781&amp;sourceID=14","0.781")</f>
        <v>0.781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HYPERLINK("http://141.218.60.56/~jnz1568/getInfo.php?workbook=14_13.xlsx&amp;sheet=U0&amp;row=1816&amp;col=6&amp;number=4.2&amp;sourceID=14","4.2")</f>
        <v>4.2</v>
      </c>
      <c r="G1816" s="4" t="str">
        <f>HYPERLINK("http://141.218.60.56/~jnz1568/getInfo.php?workbook=14_13.xlsx&amp;sheet=U0&amp;row=1816&amp;col=7&amp;number=0.766&amp;sourceID=14","0.766")</f>
        <v>0.766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HYPERLINK("http://141.218.60.56/~jnz1568/getInfo.php?workbook=14_13.xlsx&amp;sheet=U0&amp;row=1817&amp;col=6&amp;number=4.3&amp;sourceID=14","4.3")</f>
        <v>4.3</v>
      </c>
      <c r="G1817" s="4" t="str">
        <f>HYPERLINK("http://141.218.60.56/~jnz1568/getInfo.php?workbook=14_13.xlsx&amp;sheet=U0&amp;row=1817&amp;col=7&amp;number=0.748&amp;sourceID=14","0.748")</f>
        <v>0.748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HYPERLINK("http://141.218.60.56/~jnz1568/getInfo.php?workbook=14_13.xlsx&amp;sheet=U0&amp;row=1818&amp;col=6&amp;number=4.4&amp;sourceID=14","4.4")</f>
        <v>4.4</v>
      </c>
      <c r="G1818" s="4" t="str">
        <f>HYPERLINK("http://141.218.60.56/~jnz1568/getInfo.php?workbook=14_13.xlsx&amp;sheet=U0&amp;row=1818&amp;col=7&amp;number=0.725&amp;sourceID=14","0.725")</f>
        <v>0.725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HYPERLINK("http://141.218.60.56/~jnz1568/getInfo.php?workbook=14_13.xlsx&amp;sheet=U0&amp;row=1819&amp;col=6&amp;number=4.5&amp;sourceID=14","4.5")</f>
        <v>4.5</v>
      </c>
      <c r="G1819" s="4" t="str">
        <f>HYPERLINK("http://141.218.60.56/~jnz1568/getInfo.php?workbook=14_13.xlsx&amp;sheet=U0&amp;row=1819&amp;col=7&amp;number=0.696&amp;sourceID=14","0.696")</f>
        <v>0.696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HYPERLINK("http://141.218.60.56/~jnz1568/getInfo.php?workbook=14_13.xlsx&amp;sheet=U0&amp;row=1820&amp;col=6&amp;number=4.6&amp;sourceID=14","4.6")</f>
        <v>4.6</v>
      </c>
      <c r="G1820" s="4" t="str">
        <f>HYPERLINK("http://141.218.60.56/~jnz1568/getInfo.php?workbook=14_13.xlsx&amp;sheet=U0&amp;row=1820&amp;col=7&amp;number=0.662&amp;sourceID=14","0.662")</f>
        <v>0.662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HYPERLINK("http://141.218.60.56/~jnz1568/getInfo.php?workbook=14_13.xlsx&amp;sheet=U0&amp;row=1821&amp;col=6&amp;number=4.7&amp;sourceID=14","4.7")</f>
        <v>4.7</v>
      </c>
      <c r="G1821" s="4" t="str">
        <f>HYPERLINK("http://141.218.60.56/~jnz1568/getInfo.php?workbook=14_13.xlsx&amp;sheet=U0&amp;row=1821&amp;col=7&amp;number=0.621&amp;sourceID=14","0.621")</f>
        <v>0.621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HYPERLINK("http://141.218.60.56/~jnz1568/getInfo.php?workbook=14_13.xlsx&amp;sheet=U0&amp;row=1822&amp;col=6&amp;number=4.8&amp;sourceID=14","4.8")</f>
        <v>4.8</v>
      </c>
      <c r="G1822" s="4" t="str">
        <f>HYPERLINK("http://141.218.60.56/~jnz1568/getInfo.php?workbook=14_13.xlsx&amp;sheet=U0&amp;row=1822&amp;col=7&amp;number=0.575&amp;sourceID=14","0.575")</f>
        <v>0.575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HYPERLINK("http://141.218.60.56/~jnz1568/getInfo.php?workbook=14_13.xlsx&amp;sheet=U0&amp;row=1823&amp;col=6&amp;number=4.9&amp;sourceID=14","4.9")</f>
        <v>4.9</v>
      </c>
      <c r="G1823" s="4" t="str">
        <f>HYPERLINK("http://141.218.60.56/~jnz1568/getInfo.php?workbook=14_13.xlsx&amp;sheet=U0&amp;row=1823&amp;col=7&amp;number=0.525&amp;sourceID=14","0.525")</f>
        <v>0.525</v>
      </c>
    </row>
    <row r="1824" spans="1:7">
      <c r="A1824" s="3">
        <v>14</v>
      </c>
      <c r="B1824" s="3">
        <v>13</v>
      </c>
      <c r="C1824" s="3">
        <v>4</v>
      </c>
      <c r="D1824" s="3">
        <v>15</v>
      </c>
      <c r="E1824" s="3">
        <v>1</v>
      </c>
      <c r="F1824" s="4" t="str">
        <f>HYPERLINK("http://141.218.60.56/~jnz1568/getInfo.php?workbook=14_13.xlsx&amp;sheet=U0&amp;row=1824&amp;col=6&amp;number=3&amp;sourceID=14","3")</f>
        <v>3</v>
      </c>
      <c r="G1824" s="4" t="str">
        <f>HYPERLINK("http://141.218.60.56/~jnz1568/getInfo.php?workbook=14_13.xlsx&amp;sheet=U0&amp;row=1824&amp;col=7&amp;number=1.48&amp;sourceID=14","1.48")</f>
        <v>1.48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HYPERLINK("http://141.218.60.56/~jnz1568/getInfo.php?workbook=14_13.xlsx&amp;sheet=U0&amp;row=1825&amp;col=6&amp;number=3.1&amp;sourceID=14","3.1")</f>
        <v>3.1</v>
      </c>
      <c r="G1825" s="4" t="str">
        <f>HYPERLINK("http://141.218.60.56/~jnz1568/getInfo.php?workbook=14_13.xlsx&amp;sheet=U0&amp;row=1825&amp;col=7&amp;number=1.48&amp;sourceID=14","1.48")</f>
        <v>1.48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HYPERLINK("http://141.218.60.56/~jnz1568/getInfo.php?workbook=14_13.xlsx&amp;sheet=U0&amp;row=1826&amp;col=6&amp;number=3.2&amp;sourceID=14","3.2")</f>
        <v>3.2</v>
      </c>
      <c r="G1826" s="4" t="str">
        <f>HYPERLINK("http://141.218.60.56/~jnz1568/getInfo.php?workbook=14_13.xlsx&amp;sheet=U0&amp;row=1826&amp;col=7&amp;number=1.48&amp;sourceID=14","1.48")</f>
        <v>1.48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HYPERLINK("http://141.218.60.56/~jnz1568/getInfo.php?workbook=14_13.xlsx&amp;sheet=U0&amp;row=1827&amp;col=6&amp;number=3.3&amp;sourceID=14","3.3")</f>
        <v>3.3</v>
      </c>
      <c r="G1827" s="4" t="str">
        <f>HYPERLINK("http://141.218.60.56/~jnz1568/getInfo.php?workbook=14_13.xlsx&amp;sheet=U0&amp;row=1827&amp;col=7&amp;number=1.47&amp;sourceID=14","1.47")</f>
        <v>1.47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HYPERLINK("http://141.218.60.56/~jnz1568/getInfo.php?workbook=14_13.xlsx&amp;sheet=U0&amp;row=1828&amp;col=6&amp;number=3.4&amp;sourceID=14","3.4")</f>
        <v>3.4</v>
      </c>
      <c r="G1828" s="4" t="str">
        <f>HYPERLINK("http://141.218.60.56/~jnz1568/getInfo.php?workbook=14_13.xlsx&amp;sheet=U0&amp;row=1828&amp;col=7&amp;number=1.47&amp;sourceID=14","1.47")</f>
        <v>1.47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HYPERLINK("http://141.218.60.56/~jnz1568/getInfo.php?workbook=14_13.xlsx&amp;sheet=U0&amp;row=1829&amp;col=6&amp;number=3.5&amp;sourceID=14","3.5")</f>
        <v>3.5</v>
      </c>
      <c r="G1829" s="4" t="str">
        <f>HYPERLINK("http://141.218.60.56/~jnz1568/getInfo.php?workbook=14_13.xlsx&amp;sheet=U0&amp;row=1829&amp;col=7&amp;number=1.47&amp;sourceID=14","1.47")</f>
        <v>1.47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HYPERLINK("http://141.218.60.56/~jnz1568/getInfo.php?workbook=14_13.xlsx&amp;sheet=U0&amp;row=1830&amp;col=6&amp;number=3.6&amp;sourceID=14","3.6")</f>
        <v>3.6</v>
      </c>
      <c r="G1830" s="4" t="str">
        <f>HYPERLINK("http://141.218.60.56/~jnz1568/getInfo.php?workbook=14_13.xlsx&amp;sheet=U0&amp;row=1830&amp;col=7&amp;number=1.46&amp;sourceID=14","1.46")</f>
        <v>1.46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HYPERLINK("http://141.218.60.56/~jnz1568/getInfo.php?workbook=14_13.xlsx&amp;sheet=U0&amp;row=1831&amp;col=6&amp;number=3.7&amp;sourceID=14","3.7")</f>
        <v>3.7</v>
      </c>
      <c r="G1831" s="4" t="str">
        <f>HYPERLINK("http://141.218.60.56/~jnz1568/getInfo.php?workbook=14_13.xlsx&amp;sheet=U0&amp;row=1831&amp;col=7&amp;number=1.46&amp;sourceID=14","1.46")</f>
        <v>1.46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HYPERLINK("http://141.218.60.56/~jnz1568/getInfo.php?workbook=14_13.xlsx&amp;sheet=U0&amp;row=1832&amp;col=6&amp;number=3.8&amp;sourceID=14","3.8")</f>
        <v>3.8</v>
      </c>
      <c r="G1832" s="4" t="str">
        <f>HYPERLINK("http://141.218.60.56/~jnz1568/getInfo.php?workbook=14_13.xlsx&amp;sheet=U0&amp;row=1832&amp;col=7&amp;number=1.45&amp;sourceID=14","1.45")</f>
        <v>1.45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HYPERLINK("http://141.218.60.56/~jnz1568/getInfo.php?workbook=14_13.xlsx&amp;sheet=U0&amp;row=1833&amp;col=6&amp;number=3.9&amp;sourceID=14","3.9")</f>
        <v>3.9</v>
      </c>
      <c r="G1833" s="4" t="str">
        <f>HYPERLINK("http://141.218.60.56/~jnz1568/getInfo.php?workbook=14_13.xlsx&amp;sheet=U0&amp;row=1833&amp;col=7&amp;number=1.44&amp;sourceID=14","1.44")</f>
        <v>1.44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HYPERLINK("http://141.218.60.56/~jnz1568/getInfo.php?workbook=14_13.xlsx&amp;sheet=U0&amp;row=1834&amp;col=6&amp;number=4&amp;sourceID=14","4")</f>
        <v>4</v>
      </c>
      <c r="G1834" s="4" t="str">
        <f>HYPERLINK("http://141.218.60.56/~jnz1568/getInfo.php?workbook=14_13.xlsx&amp;sheet=U0&amp;row=1834&amp;col=7&amp;number=1.43&amp;sourceID=14","1.43")</f>
        <v>1.43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HYPERLINK("http://141.218.60.56/~jnz1568/getInfo.php?workbook=14_13.xlsx&amp;sheet=U0&amp;row=1835&amp;col=6&amp;number=4.1&amp;sourceID=14","4.1")</f>
        <v>4.1</v>
      </c>
      <c r="G1835" s="4" t="str">
        <f>HYPERLINK("http://141.218.60.56/~jnz1568/getInfo.php?workbook=14_13.xlsx&amp;sheet=U0&amp;row=1835&amp;col=7&amp;number=1.42&amp;sourceID=14","1.42")</f>
        <v>1.42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HYPERLINK("http://141.218.60.56/~jnz1568/getInfo.php?workbook=14_13.xlsx&amp;sheet=U0&amp;row=1836&amp;col=6&amp;number=4.2&amp;sourceID=14","4.2")</f>
        <v>4.2</v>
      </c>
      <c r="G1836" s="4" t="str">
        <f>HYPERLINK("http://141.218.60.56/~jnz1568/getInfo.php?workbook=14_13.xlsx&amp;sheet=U0&amp;row=1836&amp;col=7&amp;number=1.39&amp;sourceID=14","1.39")</f>
        <v>1.39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HYPERLINK("http://141.218.60.56/~jnz1568/getInfo.php?workbook=14_13.xlsx&amp;sheet=U0&amp;row=1837&amp;col=6&amp;number=4.3&amp;sourceID=14","4.3")</f>
        <v>4.3</v>
      </c>
      <c r="G1837" s="4" t="str">
        <f>HYPERLINK("http://141.218.60.56/~jnz1568/getInfo.php?workbook=14_13.xlsx&amp;sheet=U0&amp;row=1837&amp;col=7&amp;number=1.36&amp;sourceID=14","1.36")</f>
        <v>1.36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HYPERLINK("http://141.218.60.56/~jnz1568/getInfo.php?workbook=14_13.xlsx&amp;sheet=U0&amp;row=1838&amp;col=6&amp;number=4.4&amp;sourceID=14","4.4")</f>
        <v>4.4</v>
      </c>
      <c r="G1838" s="4" t="str">
        <f>HYPERLINK("http://141.218.60.56/~jnz1568/getInfo.php?workbook=14_13.xlsx&amp;sheet=U0&amp;row=1838&amp;col=7&amp;number=1.31&amp;sourceID=14","1.31")</f>
        <v>1.31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HYPERLINK("http://141.218.60.56/~jnz1568/getInfo.php?workbook=14_13.xlsx&amp;sheet=U0&amp;row=1839&amp;col=6&amp;number=4.5&amp;sourceID=14","4.5")</f>
        <v>4.5</v>
      </c>
      <c r="G1839" s="4" t="str">
        <f>HYPERLINK("http://141.218.60.56/~jnz1568/getInfo.php?workbook=14_13.xlsx&amp;sheet=U0&amp;row=1839&amp;col=7&amp;number=1.25&amp;sourceID=14","1.25")</f>
        <v>1.25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HYPERLINK("http://141.218.60.56/~jnz1568/getInfo.php?workbook=14_13.xlsx&amp;sheet=U0&amp;row=1840&amp;col=6&amp;number=4.6&amp;sourceID=14","4.6")</f>
        <v>4.6</v>
      </c>
      <c r="G1840" s="4" t="str">
        <f>HYPERLINK("http://141.218.60.56/~jnz1568/getInfo.php?workbook=14_13.xlsx&amp;sheet=U0&amp;row=1840&amp;col=7&amp;number=1.18&amp;sourceID=14","1.18")</f>
        <v>1.18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HYPERLINK("http://141.218.60.56/~jnz1568/getInfo.php?workbook=14_13.xlsx&amp;sheet=U0&amp;row=1841&amp;col=6&amp;number=4.7&amp;sourceID=14","4.7")</f>
        <v>4.7</v>
      </c>
      <c r="G1841" s="4" t="str">
        <f>HYPERLINK("http://141.218.60.56/~jnz1568/getInfo.php?workbook=14_13.xlsx&amp;sheet=U0&amp;row=1841&amp;col=7&amp;number=1.1&amp;sourceID=14","1.1")</f>
        <v>1.1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HYPERLINK("http://141.218.60.56/~jnz1568/getInfo.php?workbook=14_13.xlsx&amp;sheet=U0&amp;row=1842&amp;col=6&amp;number=4.8&amp;sourceID=14","4.8")</f>
        <v>4.8</v>
      </c>
      <c r="G1842" s="4" t="str">
        <f>HYPERLINK("http://141.218.60.56/~jnz1568/getInfo.php?workbook=14_13.xlsx&amp;sheet=U0&amp;row=1842&amp;col=7&amp;number=1.01&amp;sourceID=14","1.01")</f>
        <v>1.01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HYPERLINK("http://141.218.60.56/~jnz1568/getInfo.php?workbook=14_13.xlsx&amp;sheet=U0&amp;row=1843&amp;col=6&amp;number=4.9&amp;sourceID=14","4.9")</f>
        <v>4.9</v>
      </c>
      <c r="G1843" s="4" t="str">
        <f>HYPERLINK("http://141.218.60.56/~jnz1568/getInfo.php?workbook=14_13.xlsx&amp;sheet=U0&amp;row=1843&amp;col=7&amp;number=0.913&amp;sourceID=14","0.913")</f>
        <v>0.913</v>
      </c>
    </row>
    <row r="1844" spans="1:7">
      <c r="A1844" s="3">
        <v>14</v>
      </c>
      <c r="B1844" s="3">
        <v>13</v>
      </c>
      <c r="C1844" s="3">
        <v>4</v>
      </c>
      <c r="D1844" s="3">
        <v>16</v>
      </c>
      <c r="E1844" s="3">
        <v>1</v>
      </c>
      <c r="F1844" s="4" t="str">
        <f>HYPERLINK("http://141.218.60.56/~jnz1568/getInfo.php?workbook=14_13.xlsx&amp;sheet=U0&amp;row=1844&amp;col=6&amp;number=3&amp;sourceID=14","3")</f>
        <v>3</v>
      </c>
      <c r="G1844" s="4" t="str">
        <f>HYPERLINK("http://141.218.60.56/~jnz1568/getInfo.php?workbook=14_13.xlsx&amp;sheet=U0&amp;row=1844&amp;col=7&amp;number=0.0141&amp;sourceID=14","0.0141")</f>
        <v>0.0141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HYPERLINK("http://141.218.60.56/~jnz1568/getInfo.php?workbook=14_13.xlsx&amp;sheet=U0&amp;row=1845&amp;col=6&amp;number=3.1&amp;sourceID=14","3.1")</f>
        <v>3.1</v>
      </c>
      <c r="G1845" s="4" t="str">
        <f>HYPERLINK("http://141.218.60.56/~jnz1568/getInfo.php?workbook=14_13.xlsx&amp;sheet=U0&amp;row=1845&amp;col=7&amp;number=0.0143&amp;sourceID=14","0.0143")</f>
        <v>0.0143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HYPERLINK("http://141.218.60.56/~jnz1568/getInfo.php?workbook=14_13.xlsx&amp;sheet=U0&amp;row=1846&amp;col=6&amp;number=3.2&amp;sourceID=14","3.2")</f>
        <v>3.2</v>
      </c>
      <c r="G1846" s="4" t="str">
        <f>HYPERLINK("http://141.218.60.56/~jnz1568/getInfo.php?workbook=14_13.xlsx&amp;sheet=U0&amp;row=1846&amp;col=7&amp;number=0.0146&amp;sourceID=14","0.0146")</f>
        <v>0.0146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HYPERLINK("http://141.218.60.56/~jnz1568/getInfo.php?workbook=14_13.xlsx&amp;sheet=U0&amp;row=1847&amp;col=6&amp;number=3.3&amp;sourceID=14","3.3")</f>
        <v>3.3</v>
      </c>
      <c r="G1847" s="4" t="str">
        <f>HYPERLINK("http://141.218.60.56/~jnz1568/getInfo.php?workbook=14_13.xlsx&amp;sheet=U0&amp;row=1847&amp;col=7&amp;number=0.0149&amp;sourceID=14","0.0149")</f>
        <v>0.0149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HYPERLINK("http://141.218.60.56/~jnz1568/getInfo.php?workbook=14_13.xlsx&amp;sheet=U0&amp;row=1848&amp;col=6&amp;number=3.4&amp;sourceID=14","3.4")</f>
        <v>3.4</v>
      </c>
      <c r="G1848" s="4" t="str">
        <f>HYPERLINK("http://141.218.60.56/~jnz1568/getInfo.php?workbook=14_13.xlsx&amp;sheet=U0&amp;row=1848&amp;col=7&amp;number=0.0151&amp;sourceID=14","0.0151")</f>
        <v>0.0151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HYPERLINK("http://141.218.60.56/~jnz1568/getInfo.php?workbook=14_13.xlsx&amp;sheet=U0&amp;row=1849&amp;col=6&amp;number=3.5&amp;sourceID=14","3.5")</f>
        <v>3.5</v>
      </c>
      <c r="G1849" s="4" t="str">
        <f>HYPERLINK("http://141.218.60.56/~jnz1568/getInfo.php?workbook=14_13.xlsx&amp;sheet=U0&amp;row=1849&amp;col=7&amp;number=0.0153&amp;sourceID=14","0.0153")</f>
        <v>0.0153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HYPERLINK("http://141.218.60.56/~jnz1568/getInfo.php?workbook=14_13.xlsx&amp;sheet=U0&amp;row=1850&amp;col=6&amp;number=3.6&amp;sourceID=14","3.6")</f>
        <v>3.6</v>
      </c>
      <c r="G1850" s="4" t="str">
        <f>HYPERLINK("http://141.218.60.56/~jnz1568/getInfo.php?workbook=14_13.xlsx&amp;sheet=U0&amp;row=1850&amp;col=7&amp;number=0.0153&amp;sourceID=14","0.0153")</f>
        <v>0.0153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HYPERLINK("http://141.218.60.56/~jnz1568/getInfo.php?workbook=14_13.xlsx&amp;sheet=U0&amp;row=1851&amp;col=6&amp;number=3.7&amp;sourceID=14","3.7")</f>
        <v>3.7</v>
      </c>
      <c r="G1851" s="4" t="str">
        <f>HYPERLINK("http://141.218.60.56/~jnz1568/getInfo.php?workbook=14_13.xlsx&amp;sheet=U0&amp;row=1851&amp;col=7&amp;number=0.015&amp;sourceID=14","0.015")</f>
        <v>0.015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HYPERLINK("http://141.218.60.56/~jnz1568/getInfo.php?workbook=14_13.xlsx&amp;sheet=U0&amp;row=1852&amp;col=6&amp;number=3.8&amp;sourceID=14","3.8")</f>
        <v>3.8</v>
      </c>
      <c r="G1852" s="4" t="str">
        <f>HYPERLINK("http://141.218.60.56/~jnz1568/getInfo.php?workbook=14_13.xlsx&amp;sheet=U0&amp;row=1852&amp;col=7&amp;number=0.0144&amp;sourceID=14","0.0144")</f>
        <v>0.0144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HYPERLINK("http://141.218.60.56/~jnz1568/getInfo.php?workbook=14_13.xlsx&amp;sheet=U0&amp;row=1853&amp;col=6&amp;number=3.9&amp;sourceID=14","3.9")</f>
        <v>3.9</v>
      </c>
      <c r="G1853" s="4" t="str">
        <f>HYPERLINK("http://141.218.60.56/~jnz1568/getInfo.php?workbook=14_13.xlsx&amp;sheet=U0&amp;row=1853&amp;col=7&amp;number=0.0137&amp;sourceID=14","0.0137")</f>
        <v>0.0137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HYPERLINK("http://141.218.60.56/~jnz1568/getInfo.php?workbook=14_13.xlsx&amp;sheet=U0&amp;row=1854&amp;col=6&amp;number=4&amp;sourceID=14","4")</f>
        <v>4</v>
      </c>
      <c r="G1854" s="4" t="str">
        <f>HYPERLINK("http://141.218.60.56/~jnz1568/getInfo.php?workbook=14_13.xlsx&amp;sheet=U0&amp;row=1854&amp;col=7&amp;number=0.013&amp;sourceID=14","0.013")</f>
        <v>0.013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HYPERLINK("http://141.218.60.56/~jnz1568/getInfo.php?workbook=14_13.xlsx&amp;sheet=U0&amp;row=1855&amp;col=6&amp;number=4.1&amp;sourceID=14","4.1")</f>
        <v>4.1</v>
      </c>
      <c r="G1855" s="4" t="str">
        <f>HYPERLINK("http://141.218.60.56/~jnz1568/getInfo.php?workbook=14_13.xlsx&amp;sheet=U0&amp;row=1855&amp;col=7&amp;number=0.0123&amp;sourceID=14","0.0123")</f>
        <v>0.0123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HYPERLINK("http://141.218.60.56/~jnz1568/getInfo.php?workbook=14_13.xlsx&amp;sheet=U0&amp;row=1856&amp;col=6&amp;number=4.2&amp;sourceID=14","4.2")</f>
        <v>4.2</v>
      </c>
      <c r="G1856" s="4" t="str">
        <f>HYPERLINK("http://141.218.60.56/~jnz1568/getInfo.php?workbook=14_13.xlsx&amp;sheet=U0&amp;row=1856&amp;col=7&amp;number=0.0116&amp;sourceID=14","0.0116")</f>
        <v>0.0116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HYPERLINK("http://141.218.60.56/~jnz1568/getInfo.php?workbook=14_13.xlsx&amp;sheet=U0&amp;row=1857&amp;col=6&amp;number=4.3&amp;sourceID=14","4.3")</f>
        <v>4.3</v>
      </c>
      <c r="G1857" s="4" t="str">
        <f>HYPERLINK("http://141.218.60.56/~jnz1568/getInfo.php?workbook=14_13.xlsx&amp;sheet=U0&amp;row=1857&amp;col=7&amp;number=0.0109&amp;sourceID=14","0.0109")</f>
        <v>0.0109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HYPERLINK("http://141.218.60.56/~jnz1568/getInfo.php?workbook=14_13.xlsx&amp;sheet=U0&amp;row=1858&amp;col=6&amp;number=4.4&amp;sourceID=14","4.4")</f>
        <v>4.4</v>
      </c>
      <c r="G1858" s="4" t="str">
        <f>HYPERLINK("http://141.218.60.56/~jnz1568/getInfo.php?workbook=14_13.xlsx&amp;sheet=U0&amp;row=1858&amp;col=7&amp;number=0.0103&amp;sourceID=14","0.0103")</f>
        <v>0.0103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HYPERLINK("http://141.218.60.56/~jnz1568/getInfo.php?workbook=14_13.xlsx&amp;sheet=U0&amp;row=1859&amp;col=6&amp;number=4.5&amp;sourceID=14","4.5")</f>
        <v>4.5</v>
      </c>
      <c r="G1859" s="4" t="str">
        <f>HYPERLINK("http://141.218.60.56/~jnz1568/getInfo.php?workbook=14_13.xlsx&amp;sheet=U0&amp;row=1859&amp;col=7&amp;number=0.0097&amp;sourceID=14","0.0097")</f>
        <v>0.0097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HYPERLINK("http://141.218.60.56/~jnz1568/getInfo.php?workbook=14_13.xlsx&amp;sheet=U0&amp;row=1860&amp;col=6&amp;number=4.6&amp;sourceID=14","4.6")</f>
        <v>4.6</v>
      </c>
      <c r="G1860" s="4" t="str">
        <f>HYPERLINK("http://141.218.60.56/~jnz1568/getInfo.php?workbook=14_13.xlsx&amp;sheet=U0&amp;row=1860&amp;col=7&amp;number=0.00917&amp;sourceID=14","0.00917")</f>
        <v>0.00917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HYPERLINK("http://141.218.60.56/~jnz1568/getInfo.php?workbook=14_13.xlsx&amp;sheet=U0&amp;row=1861&amp;col=6&amp;number=4.7&amp;sourceID=14","4.7")</f>
        <v>4.7</v>
      </c>
      <c r="G1861" s="4" t="str">
        <f>HYPERLINK("http://141.218.60.56/~jnz1568/getInfo.php?workbook=14_13.xlsx&amp;sheet=U0&amp;row=1861&amp;col=7&amp;number=0.00865&amp;sourceID=14","0.00865")</f>
        <v>0.00865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HYPERLINK("http://141.218.60.56/~jnz1568/getInfo.php?workbook=14_13.xlsx&amp;sheet=U0&amp;row=1862&amp;col=6&amp;number=4.8&amp;sourceID=14","4.8")</f>
        <v>4.8</v>
      </c>
      <c r="G1862" s="4" t="str">
        <f>HYPERLINK("http://141.218.60.56/~jnz1568/getInfo.php?workbook=14_13.xlsx&amp;sheet=U0&amp;row=1862&amp;col=7&amp;number=0.00811&amp;sourceID=14","0.00811")</f>
        <v>0.00811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HYPERLINK("http://141.218.60.56/~jnz1568/getInfo.php?workbook=14_13.xlsx&amp;sheet=U0&amp;row=1863&amp;col=6&amp;number=4.9&amp;sourceID=14","4.9")</f>
        <v>4.9</v>
      </c>
      <c r="G1863" s="4" t="str">
        <f>HYPERLINK("http://141.218.60.56/~jnz1568/getInfo.php?workbook=14_13.xlsx&amp;sheet=U0&amp;row=1863&amp;col=7&amp;number=0.00755&amp;sourceID=14","0.00755")</f>
        <v>0.00755</v>
      </c>
    </row>
    <row r="1864" spans="1:7">
      <c r="A1864" s="3">
        <v>14</v>
      </c>
      <c r="B1864" s="3">
        <v>13</v>
      </c>
      <c r="C1864" s="3">
        <v>4</v>
      </c>
      <c r="D1864" s="3">
        <v>17</v>
      </c>
      <c r="E1864" s="3">
        <v>1</v>
      </c>
      <c r="F1864" s="4" t="str">
        <f>HYPERLINK("http://141.218.60.56/~jnz1568/getInfo.php?workbook=14_13.xlsx&amp;sheet=U0&amp;row=1864&amp;col=6&amp;number=3&amp;sourceID=14","3")</f>
        <v>3</v>
      </c>
      <c r="G1864" s="4" t="str">
        <f>HYPERLINK("http://141.218.60.56/~jnz1568/getInfo.php?workbook=14_13.xlsx&amp;sheet=U0&amp;row=1864&amp;col=7&amp;number=0.0816&amp;sourceID=14","0.0816")</f>
        <v>0.0816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HYPERLINK("http://141.218.60.56/~jnz1568/getInfo.php?workbook=14_13.xlsx&amp;sheet=U0&amp;row=1865&amp;col=6&amp;number=3.1&amp;sourceID=14","3.1")</f>
        <v>3.1</v>
      </c>
      <c r="G1865" s="4" t="str">
        <f>HYPERLINK("http://141.218.60.56/~jnz1568/getInfo.php?workbook=14_13.xlsx&amp;sheet=U0&amp;row=1865&amp;col=7&amp;number=0.0814&amp;sourceID=14","0.0814")</f>
        <v>0.0814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HYPERLINK("http://141.218.60.56/~jnz1568/getInfo.php?workbook=14_13.xlsx&amp;sheet=U0&amp;row=1866&amp;col=6&amp;number=3.2&amp;sourceID=14","3.2")</f>
        <v>3.2</v>
      </c>
      <c r="G1866" s="4" t="str">
        <f>HYPERLINK("http://141.218.60.56/~jnz1568/getInfo.php?workbook=14_13.xlsx&amp;sheet=U0&amp;row=1866&amp;col=7&amp;number=0.0812&amp;sourceID=14","0.0812")</f>
        <v>0.0812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HYPERLINK("http://141.218.60.56/~jnz1568/getInfo.php?workbook=14_13.xlsx&amp;sheet=U0&amp;row=1867&amp;col=6&amp;number=3.3&amp;sourceID=14","3.3")</f>
        <v>3.3</v>
      </c>
      <c r="G1867" s="4" t="str">
        <f>HYPERLINK("http://141.218.60.56/~jnz1568/getInfo.php?workbook=14_13.xlsx&amp;sheet=U0&amp;row=1867&amp;col=7&amp;number=0.0808&amp;sourceID=14","0.0808")</f>
        <v>0.0808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HYPERLINK("http://141.218.60.56/~jnz1568/getInfo.php?workbook=14_13.xlsx&amp;sheet=U0&amp;row=1868&amp;col=6&amp;number=3.4&amp;sourceID=14","3.4")</f>
        <v>3.4</v>
      </c>
      <c r="G1868" s="4" t="str">
        <f>HYPERLINK("http://141.218.60.56/~jnz1568/getInfo.php?workbook=14_13.xlsx&amp;sheet=U0&amp;row=1868&amp;col=7&amp;number=0.0803&amp;sourceID=14","0.0803")</f>
        <v>0.0803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HYPERLINK("http://141.218.60.56/~jnz1568/getInfo.php?workbook=14_13.xlsx&amp;sheet=U0&amp;row=1869&amp;col=6&amp;number=3.5&amp;sourceID=14","3.5")</f>
        <v>3.5</v>
      </c>
      <c r="G1869" s="4" t="str">
        <f>HYPERLINK("http://141.218.60.56/~jnz1568/getInfo.php?workbook=14_13.xlsx&amp;sheet=U0&amp;row=1869&amp;col=7&amp;number=0.0796&amp;sourceID=14","0.0796")</f>
        <v>0.0796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HYPERLINK("http://141.218.60.56/~jnz1568/getInfo.php?workbook=14_13.xlsx&amp;sheet=U0&amp;row=1870&amp;col=6&amp;number=3.6&amp;sourceID=14","3.6")</f>
        <v>3.6</v>
      </c>
      <c r="G1870" s="4" t="str">
        <f>HYPERLINK("http://141.218.60.56/~jnz1568/getInfo.php?workbook=14_13.xlsx&amp;sheet=U0&amp;row=1870&amp;col=7&amp;number=0.0786&amp;sourceID=14","0.0786")</f>
        <v>0.0786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HYPERLINK("http://141.218.60.56/~jnz1568/getInfo.php?workbook=14_13.xlsx&amp;sheet=U0&amp;row=1871&amp;col=6&amp;number=3.7&amp;sourceID=14","3.7")</f>
        <v>3.7</v>
      </c>
      <c r="G1871" s="4" t="str">
        <f>HYPERLINK("http://141.218.60.56/~jnz1568/getInfo.php?workbook=14_13.xlsx&amp;sheet=U0&amp;row=1871&amp;col=7&amp;number=0.0771&amp;sourceID=14","0.0771")</f>
        <v>0.0771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HYPERLINK("http://141.218.60.56/~jnz1568/getInfo.php?workbook=14_13.xlsx&amp;sheet=U0&amp;row=1872&amp;col=6&amp;number=3.8&amp;sourceID=14","3.8")</f>
        <v>3.8</v>
      </c>
      <c r="G1872" s="4" t="str">
        <f>HYPERLINK("http://141.218.60.56/~jnz1568/getInfo.php?workbook=14_13.xlsx&amp;sheet=U0&amp;row=1872&amp;col=7&amp;number=0.075&amp;sourceID=14","0.075")</f>
        <v>0.075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HYPERLINK("http://141.218.60.56/~jnz1568/getInfo.php?workbook=14_13.xlsx&amp;sheet=U0&amp;row=1873&amp;col=6&amp;number=3.9&amp;sourceID=14","3.9")</f>
        <v>3.9</v>
      </c>
      <c r="G1873" s="4" t="str">
        <f>HYPERLINK("http://141.218.60.56/~jnz1568/getInfo.php?workbook=14_13.xlsx&amp;sheet=U0&amp;row=1873&amp;col=7&amp;number=0.0723&amp;sourceID=14","0.0723")</f>
        <v>0.0723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HYPERLINK("http://141.218.60.56/~jnz1568/getInfo.php?workbook=14_13.xlsx&amp;sheet=U0&amp;row=1874&amp;col=6&amp;number=4&amp;sourceID=14","4")</f>
        <v>4</v>
      </c>
      <c r="G1874" s="4" t="str">
        <f>HYPERLINK("http://141.218.60.56/~jnz1568/getInfo.php?workbook=14_13.xlsx&amp;sheet=U0&amp;row=1874&amp;col=7&amp;number=0.0693&amp;sourceID=14","0.0693")</f>
        <v>0.0693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HYPERLINK("http://141.218.60.56/~jnz1568/getInfo.php?workbook=14_13.xlsx&amp;sheet=U0&amp;row=1875&amp;col=6&amp;number=4.1&amp;sourceID=14","4.1")</f>
        <v>4.1</v>
      </c>
      <c r="G1875" s="4" t="str">
        <f>HYPERLINK("http://141.218.60.56/~jnz1568/getInfo.php?workbook=14_13.xlsx&amp;sheet=U0&amp;row=1875&amp;col=7&amp;number=0.0662&amp;sourceID=14","0.0662")</f>
        <v>0.0662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HYPERLINK("http://141.218.60.56/~jnz1568/getInfo.php?workbook=14_13.xlsx&amp;sheet=U0&amp;row=1876&amp;col=6&amp;number=4.2&amp;sourceID=14","4.2")</f>
        <v>4.2</v>
      </c>
      <c r="G1876" s="4" t="str">
        <f>HYPERLINK("http://141.218.60.56/~jnz1568/getInfo.php?workbook=14_13.xlsx&amp;sheet=U0&amp;row=1876&amp;col=7&amp;number=0.0631&amp;sourceID=14","0.0631")</f>
        <v>0.0631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HYPERLINK("http://141.218.60.56/~jnz1568/getInfo.php?workbook=14_13.xlsx&amp;sheet=U0&amp;row=1877&amp;col=6&amp;number=4.3&amp;sourceID=14","4.3")</f>
        <v>4.3</v>
      </c>
      <c r="G1877" s="4" t="str">
        <f>HYPERLINK("http://141.218.60.56/~jnz1568/getInfo.php?workbook=14_13.xlsx&amp;sheet=U0&amp;row=1877&amp;col=7&amp;number=0.0601&amp;sourceID=14","0.0601")</f>
        <v>0.0601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HYPERLINK("http://141.218.60.56/~jnz1568/getInfo.php?workbook=14_13.xlsx&amp;sheet=U0&amp;row=1878&amp;col=6&amp;number=4.4&amp;sourceID=14","4.4")</f>
        <v>4.4</v>
      </c>
      <c r="G1878" s="4" t="str">
        <f>HYPERLINK("http://141.218.60.56/~jnz1568/getInfo.php?workbook=14_13.xlsx&amp;sheet=U0&amp;row=1878&amp;col=7&amp;number=0.0573&amp;sourceID=14","0.0573")</f>
        <v>0.0573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HYPERLINK("http://141.218.60.56/~jnz1568/getInfo.php?workbook=14_13.xlsx&amp;sheet=U0&amp;row=1879&amp;col=6&amp;number=4.5&amp;sourceID=14","4.5")</f>
        <v>4.5</v>
      </c>
      <c r="G1879" s="4" t="str">
        <f>HYPERLINK("http://141.218.60.56/~jnz1568/getInfo.php?workbook=14_13.xlsx&amp;sheet=U0&amp;row=1879&amp;col=7&amp;number=0.0547&amp;sourceID=14","0.0547")</f>
        <v>0.0547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HYPERLINK("http://141.218.60.56/~jnz1568/getInfo.php?workbook=14_13.xlsx&amp;sheet=U0&amp;row=1880&amp;col=6&amp;number=4.6&amp;sourceID=14","4.6")</f>
        <v>4.6</v>
      </c>
      <c r="G1880" s="4" t="str">
        <f>HYPERLINK("http://141.218.60.56/~jnz1568/getInfo.php?workbook=14_13.xlsx&amp;sheet=U0&amp;row=1880&amp;col=7&amp;number=0.0523&amp;sourceID=14","0.0523")</f>
        <v>0.0523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HYPERLINK("http://141.218.60.56/~jnz1568/getInfo.php?workbook=14_13.xlsx&amp;sheet=U0&amp;row=1881&amp;col=6&amp;number=4.7&amp;sourceID=14","4.7")</f>
        <v>4.7</v>
      </c>
      <c r="G1881" s="4" t="str">
        <f>HYPERLINK("http://141.218.60.56/~jnz1568/getInfo.php?workbook=14_13.xlsx&amp;sheet=U0&amp;row=1881&amp;col=7&amp;number=0.0501&amp;sourceID=14","0.0501")</f>
        <v>0.0501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HYPERLINK("http://141.218.60.56/~jnz1568/getInfo.php?workbook=14_13.xlsx&amp;sheet=U0&amp;row=1882&amp;col=6&amp;number=4.8&amp;sourceID=14","4.8")</f>
        <v>4.8</v>
      </c>
      <c r="G1882" s="4" t="str">
        <f>HYPERLINK("http://141.218.60.56/~jnz1568/getInfo.php?workbook=14_13.xlsx&amp;sheet=U0&amp;row=1882&amp;col=7&amp;number=0.0478&amp;sourceID=14","0.0478")</f>
        <v>0.0478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HYPERLINK("http://141.218.60.56/~jnz1568/getInfo.php?workbook=14_13.xlsx&amp;sheet=U0&amp;row=1883&amp;col=6&amp;number=4.9&amp;sourceID=14","4.9")</f>
        <v>4.9</v>
      </c>
      <c r="G1883" s="4" t="str">
        <f>HYPERLINK("http://141.218.60.56/~jnz1568/getInfo.php?workbook=14_13.xlsx&amp;sheet=U0&amp;row=1883&amp;col=7&amp;number=0.0453&amp;sourceID=14","0.0453")</f>
        <v>0.0453</v>
      </c>
    </row>
    <row r="1884" spans="1:7">
      <c r="A1884" s="3">
        <v>14</v>
      </c>
      <c r="B1884" s="3">
        <v>13</v>
      </c>
      <c r="C1884" s="3">
        <v>4</v>
      </c>
      <c r="D1884" s="3">
        <v>18</v>
      </c>
      <c r="E1884" s="3">
        <v>1</v>
      </c>
      <c r="F1884" s="4" t="str">
        <f>HYPERLINK("http://141.218.60.56/~jnz1568/getInfo.php?workbook=14_13.xlsx&amp;sheet=U0&amp;row=1884&amp;col=6&amp;number=3&amp;sourceID=14","3")</f>
        <v>3</v>
      </c>
      <c r="G1884" s="4" t="str">
        <f>HYPERLINK("http://141.218.60.56/~jnz1568/getInfo.php?workbook=14_13.xlsx&amp;sheet=U0&amp;row=1884&amp;col=7&amp;number=0.0941&amp;sourceID=14","0.0941")</f>
        <v>0.0941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HYPERLINK("http://141.218.60.56/~jnz1568/getInfo.php?workbook=14_13.xlsx&amp;sheet=U0&amp;row=1885&amp;col=6&amp;number=3.1&amp;sourceID=14","3.1")</f>
        <v>3.1</v>
      </c>
      <c r="G1885" s="4" t="str">
        <f>HYPERLINK("http://141.218.60.56/~jnz1568/getInfo.php?workbook=14_13.xlsx&amp;sheet=U0&amp;row=1885&amp;col=7&amp;number=0.0937&amp;sourceID=14","0.0937")</f>
        <v>0.0937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HYPERLINK("http://141.218.60.56/~jnz1568/getInfo.php?workbook=14_13.xlsx&amp;sheet=U0&amp;row=1886&amp;col=6&amp;number=3.2&amp;sourceID=14","3.2")</f>
        <v>3.2</v>
      </c>
      <c r="G1886" s="4" t="str">
        <f>HYPERLINK("http://141.218.60.56/~jnz1568/getInfo.php?workbook=14_13.xlsx&amp;sheet=U0&amp;row=1886&amp;col=7&amp;number=0.0933&amp;sourceID=14","0.0933")</f>
        <v>0.0933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HYPERLINK("http://141.218.60.56/~jnz1568/getInfo.php?workbook=14_13.xlsx&amp;sheet=U0&amp;row=1887&amp;col=6&amp;number=3.3&amp;sourceID=14","3.3")</f>
        <v>3.3</v>
      </c>
      <c r="G1887" s="4" t="str">
        <f>HYPERLINK("http://141.218.60.56/~jnz1568/getInfo.php?workbook=14_13.xlsx&amp;sheet=U0&amp;row=1887&amp;col=7&amp;number=0.0928&amp;sourceID=14","0.0928")</f>
        <v>0.0928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HYPERLINK("http://141.218.60.56/~jnz1568/getInfo.php?workbook=14_13.xlsx&amp;sheet=U0&amp;row=1888&amp;col=6&amp;number=3.4&amp;sourceID=14","3.4")</f>
        <v>3.4</v>
      </c>
      <c r="G1888" s="4" t="str">
        <f>HYPERLINK("http://141.218.60.56/~jnz1568/getInfo.php?workbook=14_13.xlsx&amp;sheet=U0&amp;row=1888&amp;col=7&amp;number=0.0921&amp;sourceID=14","0.0921")</f>
        <v>0.0921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HYPERLINK("http://141.218.60.56/~jnz1568/getInfo.php?workbook=14_13.xlsx&amp;sheet=U0&amp;row=1889&amp;col=6&amp;number=3.5&amp;sourceID=14","3.5")</f>
        <v>3.5</v>
      </c>
      <c r="G1889" s="4" t="str">
        <f>HYPERLINK("http://141.218.60.56/~jnz1568/getInfo.php?workbook=14_13.xlsx&amp;sheet=U0&amp;row=1889&amp;col=7&amp;number=0.0911&amp;sourceID=14","0.0911")</f>
        <v>0.0911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HYPERLINK("http://141.218.60.56/~jnz1568/getInfo.php?workbook=14_13.xlsx&amp;sheet=U0&amp;row=1890&amp;col=6&amp;number=3.6&amp;sourceID=14","3.6")</f>
        <v>3.6</v>
      </c>
      <c r="G1890" s="4" t="str">
        <f>HYPERLINK("http://141.218.60.56/~jnz1568/getInfo.php?workbook=14_13.xlsx&amp;sheet=U0&amp;row=1890&amp;col=7&amp;number=0.0898&amp;sourceID=14","0.0898")</f>
        <v>0.0898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HYPERLINK("http://141.218.60.56/~jnz1568/getInfo.php?workbook=14_13.xlsx&amp;sheet=U0&amp;row=1891&amp;col=6&amp;number=3.7&amp;sourceID=14","3.7")</f>
        <v>3.7</v>
      </c>
      <c r="G1891" s="4" t="str">
        <f>HYPERLINK("http://141.218.60.56/~jnz1568/getInfo.php?workbook=14_13.xlsx&amp;sheet=U0&amp;row=1891&amp;col=7&amp;number=0.0878&amp;sourceID=14","0.0878")</f>
        <v>0.0878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HYPERLINK("http://141.218.60.56/~jnz1568/getInfo.php?workbook=14_13.xlsx&amp;sheet=U0&amp;row=1892&amp;col=6&amp;number=3.8&amp;sourceID=14","3.8")</f>
        <v>3.8</v>
      </c>
      <c r="G1892" s="4" t="str">
        <f>HYPERLINK("http://141.218.60.56/~jnz1568/getInfo.php?workbook=14_13.xlsx&amp;sheet=U0&amp;row=1892&amp;col=7&amp;number=0.0853&amp;sourceID=14","0.0853")</f>
        <v>0.0853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HYPERLINK("http://141.218.60.56/~jnz1568/getInfo.php?workbook=14_13.xlsx&amp;sheet=U0&amp;row=1893&amp;col=6&amp;number=3.9&amp;sourceID=14","3.9")</f>
        <v>3.9</v>
      </c>
      <c r="G1893" s="4" t="str">
        <f>HYPERLINK("http://141.218.60.56/~jnz1568/getInfo.php?workbook=14_13.xlsx&amp;sheet=U0&amp;row=1893&amp;col=7&amp;number=0.0823&amp;sourceID=14","0.0823")</f>
        <v>0.0823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HYPERLINK("http://141.218.60.56/~jnz1568/getInfo.php?workbook=14_13.xlsx&amp;sheet=U0&amp;row=1894&amp;col=6&amp;number=4&amp;sourceID=14","4")</f>
        <v>4</v>
      </c>
      <c r="G1894" s="4" t="str">
        <f>HYPERLINK("http://141.218.60.56/~jnz1568/getInfo.php?workbook=14_13.xlsx&amp;sheet=U0&amp;row=1894&amp;col=7&amp;number=0.079&amp;sourceID=14","0.079")</f>
        <v>0.079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HYPERLINK("http://141.218.60.56/~jnz1568/getInfo.php?workbook=14_13.xlsx&amp;sheet=U0&amp;row=1895&amp;col=6&amp;number=4.1&amp;sourceID=14","4.1")</f>
        <v>4.1</v>
      </c>
      <c r="G1895" s="4" t="str">
        <f>HYPERLINK("http://141.218.60.56/~jnz1568/getInfo.php?workbook=14_13.xlsx&amp;sheet=U0&amp;row=1895&amp;col=7&amp;number=0.0756&amp;sourceID=14","0.0756")</f>
        <v>0.0756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HYPERLINK("http://141.218.60.56/~jnz1568/getInfo.php?workbook=14_13.xlsx&amp;sheet=U0&amp;row=1896&amp;col=6&amp;number=4.2&amp;sourceID=14","4.2")</f>
        <v>4.2</v>
      </c>
      <c r="G1896" s="4" t="str">
        <f>HYPERLINK("http://141.218.60.56/~jnz1568/getInfo.php?workbook=14_13.xlsx&amp;sheet=U0&amp;row=1896&amp;col=7&amp;number=0.0722&amp;sourceID=14","0.0722")</f>
        <v>0.0722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HYPERLINK("http://141.218.60.56/~jnz1568/getInfo.php?workbook=14_13.xlsx&amp;sheet=U0&amp;row=1897&amp;col=6&amp;number=4.3&amp;sourceID=14","4.3")</f>
        <v>4.3</v>
      </c>
      <c r="G1897" s="4" t="str">
        <f>HYPERLINK("http://141.218.60.56/~jnz1568/getInfo.php?workbook=14_13.xlsx&amp;sheet=U0&amp;row=1897&amp;col=7&amp;number=0.0689&amp;sourceID=14","0.0689")</f>
        <v>0.0689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HYPERLINK("http://141.218.60.56/~jnz1568/getInfo.php?workbook=14_13.xlsx&amp;sheet=U0&amp;row=1898&amp;col=6&amp;number=4.4&amp;sourceID=14","4.4")</f>
        <v>4.4</v>
      </c>
      <c r="G1898" s="4" t="str">
        <f>HYPERLINK("http://141.218.60.56/~jnz1568/getInfo.php?workbook=14_13.xlsx&amp;sheet=U0&amp;row=1898&amp;col=7&amp;number=0.0657&amp;sourceID=14","0.0657")</f>
        <v>0.0657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HYPERLINK("http://141.218.60.56/~jnz1568/getInfo.php?workbook=14_13.xlsx&amp;sheet=U0&amp;row=1899&amp;col=6&amp;number=4.5&amp;sourceID=14","4.5")</f>
        <v>4.5</v>
      </c>
      <c r="G1899" s="4" t="str">
        <f>HYPERLINK("http://141.218.60.56/~jnz1568/getInfo.php?workbook=14_13.xlsx&amp;sheet=U0&amp;row=1899&amp;col=7&amp;number=0.0625&amp;sourceID=14","0.0625")</f>
        <v>0.0625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HYPERLINK("http://141.218.60.56/~jnz1568/getInfo.php?workbook=14_13.xlsx&amp;sheet=U0&amp;row=1900&amp;col=6&amp;number=4.6&amp;sourceID=14","4.6")</f>
        <v>4.6</v>
      </c>
      <c r="G1900" s="4" t="str">
        <f>HYPERLINK("http://141.218.60.56/~jnz1568/getInfo.php?workbook=14_13.xlsx&amp;sheet=U0&amp;row=1900&amp;col=7&amp;number=0.0593&amp;sourceID=14","0.0593")</f>
        <v>0.0593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HYPERLINK("http://141.218.60.56/~jnz1568/getInfo.php?workbook=14_13.xlsx&amp;sheet=U0&amp;row=1901&amp;col=6&amp;number=4.7&amp;sourceID=14","4.7")</f>
        <v>4.7</v>
      </c>
      <c r="G1901" s="4" t="str">
        <f>HYPERLINK("http://141.218.60.56/~jnz1568/getInfo.php?workbook=14_13.xlsx&amp;sheet=U0&amp;row=1901&amp;col=7&amp;number=0.056&amp;sourceID=14","0.056")</f>
        <v>0.056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HYPERLINK("http://141.218.60.56/~jnz1568/getInfo.php?workbook=14_13.xlsx&amp;sheet=U0&amp;row=1902&amp;col=6&amp;number=4.8&amp;sourceID=14","4.8")</f>
        <v>4.8</v>
      </c>
      <c r="G1902" s="4" t="str">
        <f>HYPERLINK("http://141.218.60.56/~jnz1568/getInfo.php?workbook=14_13.xlsx&amp;sheet=U0&amp;row=1902&amp;col=7&amp;number=0.0526&amp;sourceID=14","0.0526")</f>
        <v>0.0526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HYPERLINK("http://141.218.60.56/~jnz1568/getInfo.php?workbook=14_13.xlsx&amp;sheet=U0&amp;row=1903&amp;col=6&amp;number=4.9&amp;sourceID=14","4.9")</f>
        <v>4.9</v>
      </c>
      <c r="G1903" s="4" t="str">
        <f>HYPERLINK("http://141.218.60.56/~jnz1568/getInfo.php?workbook=14_13.xlsx&amp;sheet=U0&amp;row=1903&amp;col=7&amp;number=0.049&amp;sourceID=14","0.049")</f>
        <v>0.049</v>
      </c>
    </row>
    <row r="1904" spans="1:7">
      <c r="A1904" s="3">
        <v>14</v>
      </c>
      <c r="B1904" s="3">
        <v>13</v>
      </c>
      <c r="C1904" s="3">
        <v>4</v>
      </c>
      <c r="D1904" s="3">
        <v>19</v>
      </c>
      <c r="E1904" s="3">
        <v>1</v>
      </c>
      <c r="F1904" s="4" t="str">
        <f>HYPERLINK("http://141.218.60.56/~jnz1568/getInfo.php?workbook=14_13.xlsx&amp;sheet=U0&amp;row=1904&amp;col=6&amp;number=3&amp;sourceID=14","3")</f>
        <v>3</v>
      </c>
      <c r="G1904" s="4" t="str">
        <f>HYPERLINK("http://141.218.60.56/~jnz1568/getInfo.php?workbook=14_13.xlsx&amp;sheet=U0&amp;row=1904&amp;col=7&amp;number=0.018&amp;sourceID=14","0.018")</f>
        <v>0.018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HYPERLINK("http://141.218.60.56/~jnz1568/getInfo.php?workbook=14_13.xlsx&amp;sheet=U0&amp;row=1905&amp;col=6&amp;number=3.1&amp;sourceID=14","3.1")</f>
        <v>3.1</v>
      </c>
      <c r="G1905" s="4" t="str">
        <f>HYPERLINK("http://141.218.60.56/~jnz1568/getInfo.php?workbook=14_13.xlsx&amp;sheet=U0&amp;row=1905&amp;col=7&amp;number=0.0178&amp;sourceID=14","0.0178")</f>
        <v>0.0178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HYPERLINK("http://141.218.60.56/~jnz1568/getInfo.php?workbook=14_13.xlsx&amp;sheet=U0&amp;row=1906&amp;col=6&amp;number=3.2&amp;sourceID=14","3.2")</f>
        <v>3.2</v>
      </c>
      <c r="G1906" s="4" t="str">
        <f>HYPERLINK("http://141.218.60.56/~jnz1568/getInfo.php?workbook=14_13.xlsx&amp;sheet=U0&amp;row=1906&amp;col=7&amp;number=0.0176&amp;sourceID=14","0.0176")</f>
        <v>0.0176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HYPERLINK("http://141.218.60.56/~jnz1568/getInfo.php?workbook=14_13.xlsx&amp;sheet=U0&amp;row=1907&amp;col=6&amp;number=3.3&amp;sourceID=14","3.3")</f>
        <v>3.3</v>
      </c>
      <c r="G1907" s="4" t="str">
        <f>HYPERLINK("http://141.218.60.56/~jnz1568/getInfo.php?workbook=14_13.xlsx&amp;sheet=U0&amp;row=1907&amp;col=7&amp;number=0.0174&amp;sourceID=14","0.0174")</f>
        <v>0.0174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HYPERLINK("http://141.218.60.56/~jnz1568/getInfo.php?workbook=14_13.xlsx&amp;sheet=U0&amp;row=1908&amp;col=6&amp;number=3.4&amp;sourceID=14","3.4")</f>
        <v>3.4</v>
      </c>
      <c r="G1908" s="4" t="str">
        <f>HYPERLINK("http://141.218.60.56/~jnz1568/getInfo.php?workbook=14_13.xlsx&amp;sheet=U0&amp;row=1908&amp;col=7&amp;number=0.0172&amp;sourceID=14","0.0172")</f>
        <v>0.0172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HYPERLINK("http://141.218.60.56/~jnz1568/getInfo.php?workbook=14_13.xlsx&amp;sheet=U0&amp;row=1909&amp;col=6&amp;number=3.5&amp;sourceID=14","3.5")</f>
        <v>3.5</v>
      </c>
      <c r="G1909" s="4" t="str">
        <f>HYPERLINK("http://141.218.60.56/~jnz1568/getInfo.php?workbook=14_13.xlsx&amp;sheet=U0&amp;row=1909&amp;col=7&amp;number=0.017&amp;sourceID=14","0.017")</f>
        <v>0.017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HYPERLINK("http://141.218.60.56/~jnz1568/getInfo.php?workbook=14_13.xlsx&amp;sheet=U0&amp;row=1910&amp;col=6&amp;number=3.6&amp;sourceID=14","3.6")</f>
        <v>3.6</v>
      </c>
      <c r="G1910" s="4" t="str">
        <f>HYPERLINK("http://141.218.60.56/~jnz1568/getInfo.php?workbook=14_13.xlsx&amp;sheet=U0&amp;row=1910&amp;col=7&amp;number=0.0168&amp;sourceID=14","0.0168")</f>
        <v>0.0168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HYPERLINK("http://141.218.60.56/~jnz1568/getInfo.php?workbook=14_13.xlsx&amp;sheet=U0&amp;row=1911&amp;col=6&amp;number=3.7&amp;sourceID=14","3.7")</f>
        <v>3.7</v>
      </c>
      <c r="G1911" s="4" t="str">
        <f>HYPERLINK("http://141.218.60.56/~jnz1568/getInfo.php?workbook=14_13.xlsx&amp;sheet=U0&amp;row=1911&amp;col=7&amp;number=0.0167&amp;sourceID=14","0.0167")</f>
        <v>0.0167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HYPERLINK("http://141.218.60.56/~jnz1568/getInfo.php?workbook=14_13.xlsx&amp;sheet=U0&amp;row=1912&amp;col=6&amp;number=3.8&amp;sourceID=14","3.8")</f>
        <v>3.8</v>
      </c>
      <c r="G1912" s="4" t="str">
        <f>HYPERLINK("http://141.218.60.56/~jnz1568/getInfo.php?workbook=14_13.xlsx&amp;sheet=U0&amp;row=1912&amp;col=7&amp;number=0.0165&amp;sourceID=14","0.0165")</f>
        <v>0.0165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HYPERLINK("http://141.218.60.56/~jnz1568/getInfo.php?workbook=14_13.xlsx&amp;sheet=U0&amp;row=1913&amp;col=6&amp;number=3.9&amp;sourceID=14","3.9")</f>
        <v>3.9</v>
      </c>
      <c r="G1913" s="4" t="str">
        <f>HYPERLINK("http://141.218.60.56/~jnz1568/getInfo.php?workbook=14_13.xlsx&amp;sheet=U0&amp;row=1913&amp;col=7&amp;number=0.0162&amp;sourceID=14","0.0162")</f>
        <v>0.0162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HYPERLINK("http://141.218.60.56/~jnz1568/getInfo.php?workbook=14_13.xlsx&amp;sheet=U0&amp;row=1914&amp;col=6&amp;number=4&amp;sourceID=14","4")</f>
        <v>4</v>
      </c>
      <c r="G1914" s="4" t="str">
        <f>HYPERLINK("http://141.218.60.56/~jnz1568/getInfo.php?workbook=14_13.xlsx&amp;sheet=U0&amp;row=1914&amp;col=7&amp;number=0.0159&amp;sourceID=14","0.0159")</f>
        <v>0.0159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HYPERLINK("http://141.218.60.56/~jnz1568/getInfo.php?workbook=14_13.xlsx&amp;sheet=U0&amp;row=1915&amp;col=6&amp;number=4.1&amp;sourceID=14","4.1")</f>
        <v>4.1</v>
      </c>
      <c r="G1915" s="4" t="str">
        <f>HYPERLINK("http://141.218.60.56/~jnz1568/getInfo.php?workbook=14_13.xlsx&amp;sheet=U0&amp;row=1915&amp;col=7&amp;number=0.0157&amp;sourceID=14","0.0157")</f>
        <v>0.0157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HYPERLINK("http://141.218.60.56/~jnz1568/getInfo.php?workbook=14_13.xlsx&amp;sheet=U0&amp;row=1916&amp;col=6&amp;number=4.2&amp;sourceID=14","4.2")</f>
        <v>4.2</v>
      </c>
      <c r="G1916" s="4" t="str">
        <f>HYPERLINK("http://141.218.60.56/~jnz1568/getInfo.php?workbook=14_13.xlsx&amp;sheet=U0&amp;row=1916&amp;col=7&amp;number=0.0154&amp;sourceID=14","0.0154")</f>
        <v>0.0154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HYPERLINK("http://141.218.60.56/~jnz1568/getInfo.php?workbook=14_13.xlsx&amp;sheet=U0&amp;row=1917&amp;col=6&amp;number=4.3&amp;sourceID=14","4.3")</f>
        <v>4.3</v>
      </c>
      <c r="G1917" s="4" t="str">
        <f>HYPERLINK("http://141.218.60.56/~jnz1568/getInfo.php?workbook=14_13.xlsx&amp;sheet=U0&amp;row=1917&amp;col=7&amp;number=0.0153&amp;sourceID=14","0.0153")</f>
        <v>0.0153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HYPERLINK("http://141.218.60.56/~jnz1568/getInfo.php?workbook=14_13.xlsx&amp;sheet=U0&amp;row=1918&amp;col=6&amp;number=4.4&amp;sourceID=14","4.4")</f>
        <v>4.4</v>
      </c>
      <c r="G1918" s="4" t="str">
        <f>HYPERLINK("http://141.218.60.56/~jnz1568/getInfo.php?workbook=14_13.xlsx&amp;sheet=U0&amp;row=1918&amp;col=7&amp;number=0.0151&amp;sourceID=14","0.0151")</f>
        <v>0.0151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HYPERLINK("http://141.218.60.56/~jnz1568/getInfo.php?workbook=14_13.xlsx&amp;sheet=U0&amp;row=1919&amp;col=6&amp;number=4.5&amp;sourceID=14","4.5")</f>
        <v>4.5</v>
      </c>
      <c r="G1919" s="4" t="str">
        <f>HYPERLINK("http://141.218.60.56/~jnz1568/getInfo.php?workbook=14_13.xlsx&amp;sheet=U0&amp;row=1919&amp;col=7&amp;number=0.0149&amp;sourceID=14","0.0149")</f>
        <v>0.0149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HYPERLINK("http://141.218.60.56/~jnz1568/getInfo.php?workbook=14_13.xlsx&amp;sheet=U0&amp;row=1920&amp;col=6&amp;number=4.6&amp;sourceID=14","4.6")</f>
        <v>4.6</v>
      </c>
      <c r="G1920" s="4" t="str">
        <f>HYPERLINK("http://141.218.60.56/~jnz1568/getInfo.php?workbook=14_13.xlsx&amp;sheet=U0&amp;row=1920&amp;col=7&amp;number=0.0147&amp;sourceID=14","0.0147")</f>
        <v>0.0147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HYPERLINK("http://141.218.60.56/~jnz1568/getInfo.php?workbook=14_13.xlsx&amp;sheet=U0&amp;row=1921&amp;col=6&amp;number=4.7&amp;sourceID=14","4.7")</f>
        <v>4.7</v>
      </c>
      <c r="G1921" s="4" t="str">
        <f>HYPERLINK("http://141.218.60.56/~jnz1568/getInfo.php?workbook=14_13.xlsx&amp;sheet=U0&amp;row=1921&amp;col=7&amp;number=0.0144&amp;sourceID=14","0.0144")</f>
        <v>0.0144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HYPERLINK("http://141.218.60.56/~jnz1568/getInfo.php?workbook=14_13.xlsx&amp;sheet=U0&amp;row=1922&amp;col=6&amp;number=4.8&amp;sourceID=14","4.8")</f>
        <v>4.8</v>
      </c>
      <c r="G1922" s="4" t="str">
        <f>HYPERLINK("http://141.218.60.56/~jnz1568/getInfo.php?workbook=14_13.xlsx&amp;sheet=U0&amp;row=1922&amp;col=7&amp;number=0.0142&amp;sourceID=14","0.0142")</f>
        <v>0.0142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HYPERLINK("http://141.218.60.56/~jnz1568/getInfo.php?workbook=14_13.xlsx&amp;sheet=U0&amp;row=1923&amp;col=6&amp;number=4.9&amp;sourceID=14","4.9")</f>
        <v>4.9</v>
      </c>
      <c r="G1923" s="4" t="str">
        <f>HYPERLINK("http://141.218.60.56/~jnz1568/getInfo.php?workbook=14_13.xlsx&amp;sheet=U0&amp;row=1923&amp;col=7&amp;number=0.0138&amp;sourceID=14","0.0138")</f>
        <v>0.0138</v>
      </c>
    </row>
    <row r="1924" spans="1:7">
      <c r="A1924" s="3">
        <v>14</v>
      </c>
      <c r="B1924" s="3">
        <v>13</v>
      </c>
      <c r="C1924" s="3">
        <v>4</v>
      </c>
      <c r="D1924" s="3">
        <v>20</v>
      </c>
      <c r="E1924" s="3">
        <v>1</v>
      </c>
      <c r="F1924" s="4" t="str">
        <f>HYPERLINK("http://141.218.60.56/~jnz1568/getInfo.php?workbook=14_13.xlsx&amp;sheet=U0&amp;row=1924&amp;col=6&amp;number=3&amp;sourceID=14","3")</f>
        <v>3</v>
      </c>
      <c r="G1924" s="4" t="str">
        <f>HYPERLINK("http://141.218.60.56/~jnz1568/getInfo.php?workbook=14_13.xlsx&amp;sheet=U0&amp;row=1924&amp;col=7&amp;number=0.0241&amp;sourceID=14","0.0241")</f>
        <v>0.0241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HYPERLINK("http://141.218.60.56/~jnz1568/getInfo.php?workbook=14_13.xlsx&amp;sheet=U0&amp;row=1925&amp;col=6&amp;number=3.1&amp;sourceID=14","3.1")</f>
        <v>3.1</v>
      </c>
      <c r="G1925" s="4" t="str">
        <f>HYPERLINK("http://141.218.60.56/~jnz1568/getInfo.php?workbook=14_13.xlsx&amp;sheet=U0&amp;row=1925&amp;col=7&amp;number=0.0244&amp;sourceID=14","0.0244")</f>
        <v>0.0244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HYPERLINK("http://141.218.60.56/~jnz1568/getInfo.php?workbook=14_13.xlsx&amp;sheet=U0&amp;row=1926&amp;col=6&amp;number=3.2&amp;sourceID=14","3.2")</f>
        <v>3.2</v>
      </c>
      <c r="G1926" s="4" t="str">
        <f>HYPERLINK("http://141.218.60.56/~jnz1568/getInfo.php?workbook=14_13.xlsx&amp;sheet=U0&amp;row=1926&amp;col=7&amp;number=0.0247&amp;sourceID=14","0.0247")</f>
        <v>0.0247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HYPERLINK("http://141.218.60.56/~jnz1568/getInfo.php?workbook=14_13.xlsx&amp;sheet=U0&amp;row=1927&amp;col=6&amp;number=3.3&amp;sourceID=14","3.3")</f>
        <v>3.3</v>
      </c>
      <c r="G1927" s="4" t="str">
        <f>HYPERLINK("http://141.218.60.56/~jnz1568/getInfo.php?workbook=14_13.xlsx&amp;sheet=U0&amp;row=1927&amp;col=7&amp;number=0.0251&amp;sourceID=14","0.0251")</f>
        <v>0.0251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HYPERLINK("http://141.218.60.56/~jnz1568/getInfo.php?workbook=14_13.xlsx&amp;sheet=U0&amp;row=1928&amp;col=6&amp;number=3.4&amp;sourceID=14","3.4")</f>
        <v>3.4</v>
      </c>
      <c r="G1928" s="4" t="str">
        <f>HYPERLINK("http://141.218.60.56/~jnz1568/getInfo.php?workbook=14_13.xlsx&amp;sheet=U0&amp;row=1928&amp;col=7&amp;number=0.0254&amp;sourceID=14","0.0254")</f>
        <v>0.0254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HYPERLINK("http://141.218.60.56/~jnz1568/getInfo.php?workbook=14_13.xlsx&amp;sheet=U0&amp;row=1929&amp;col=6&amp;number=3.5&amp;sourceID=14","3.5")</f>
        <v>3.5</v>
      </c>
      <c r="G1929" s="4" t="str">
        <f>HYPERLINK("http://141.218.60.56/~jnz1568/getInfo.php?workbook=14_13.xlsx&amp;sheet=U0&amp;row=1929&amp;col=7&amp;number=0.0257&amp;sourceID=14","0.0257")</f>
        <v>0.0257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HYPERLINK("http://141.218.60.56/~jnz1568/getInfo.php?workbook=14_13.xlsx&amp;sheet=U0&amp;row=1930&amp;col=6&amp;number=3.6&amp;sourceID=14","3.6")</f>
        <v>3.6</v>
      </c>
      <c r="G1930" s="4" t="str">
        <f>HYPERLINK("http://141.218.60.56/~jnz1568/getInfo.php?workbook=14_13.xlsx&amp;sheet=U0&amp;row=1930&amp;col=7&amp;number=0.0258&amp;sourceID=14","0.0258")</f>
        <v>0.0258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HYPERLINK("http://141.218.60.56/~jnz1568/getInfo.php?workbook=14_13.xlsx&amp;sheet=U0&amp;row=1931&amp;col=6&amp;number=3.7&amp;sourceID=14","3.7")</f>
        <v>3.7</v>
      </c>
      <c r="G1931" s="4" t="str">
        <f>HYPERLINK("http://141.218.60.56/~jnz1568/getInfo.php?workbook=14_13.xlsx&amp;sheet=U0&amp;row=1931&amp;col=7&amp;number=0.0256&amp;sourceID=14","0.0256")</f>
        <v>0.0256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HYPERLINK("http://141.218.60.56/~jnz1568/getInfo.php?workbook=14_13.xlsx&amp;sheet=U0&amp;row=1932&amp;col=6&amp;number=3.8&amp;sourceID=14","3.8")</f>
        <v>3.8</v>
      </c>
      <c r="G1932" s="4" t="str">
        <f>HYPERLINK("http://141.218.60.56/~jnz1568/getInfo.php?workbook=14_13.xlsx&amp;sheet=U0&amp;row=1932&amp;col=7&amp;number=0.0251&amp;sourceID=14","0.0251")</f>
        <v>0.0251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HYPERLINK("http://141.218.60.56/~jnz1568/getInfo.php?workbook=14_13.xlsx&amp;sheet=U0&amp;row=1933&amp;col=6&amp;number=3.9&amp;sourceID=14","3.9")</f>
        <v>3.9</v>
      </c>
      <c r="G1933" s="4" t="str">
        <f>HYPERLINK("http://141.218.60.56/~jnz1568/getInfo.php?workbook=14_13.xlsx&amp;sheet=U0&amp;row=1933&amp;col=7&amp;number=0.0245&amp;sourceID=14","0.0245")</f>
        <v>0.0245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HYPERLINK("http://141.218.60.56/~jnz1568/getInfo.php?workbook=14_13.xlsx&amp;sheet=U0&amp;row=1934&amp;col=6&amp;number=4&amp;sourceID=14","4")</f>
        <v>4</v>
      </c>
      <c r="G1934" s="4" t="str">
        <f>HYPERLINK("http://141.218.60.56/~jnz1568/getInfo.php?workbook=14_13.xlsx&amp;sheet=U0&amp;row=1934&amp;col=7&amp;number=0.0238&amp;sourceID=14","0.0238")</f>
        <v>0.0238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HYPERLINK("http://141.218.60.56/~jnz1568/getInfo.php?workbook=14_13.xlsx&amp;sheet=U0&amp;row=1935&amp;col=6&amp;number=4.1&amp;sourceID=14","4.1")</f>
        <v>4.1</v>
      </c>
      <c r="G1935" s="4" t="str">
        <f>HYPERLINK("http://141.218.60.56/~jnz1568/getInfo.php?workbook=14_13.xlsx&amp;sheet=U0&amp;row=1935&amp;col=7&amp;number=0.0231&amp;sourceID=14","0.0231")</f>
        <v>0.0231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HYPERLINK("http://141.218.60.56/~jnz1568/getInfo.php?workbook=14_13.xlsx&amp;sheet=U0&amp;row=1936&amp;col=6&amp;number=4.2&amp;sourceID=14","4.2")</f>
        <v>4.2</v>
      </c>
      <c r="G1936" s="4" t="str">
        <f>HYPERLINK("http://141.218.60.56/~jnz1568/getInfo.php?workbook=14_13.xlsx&amp;sheet=U0&amp;row=1936&amp;col=7&amp;number=0.0224&amp;sourceID=14","0.0224")</f>
        <v>0.0224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HYPERLINK("http://141.218.60.56/~jnz1568/getInfo.php?workbook=14_13.xlsx&amp;sheet=U0&amp;row=1937&amp;col=6&amp;number=4.3&amp;sourceID=14","4.3")</f>
        <v>4.3</v>
      </c>
      <c r="G1937" s="4" t="str">
        <f>HYPERLINK("http://141.218.60.56/~jnz1568/getInfo.php?workbook=14_13.xlsx&amp;sheet=U0&amp;row=1937&amp;col=7&amp;number=0.0217&amp;sourceID=14","0.0217")</f>
        <v>0.0217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HYPERLINK("http://141.218.60.56/~jnz1568/getInfo.php?workbook=14_13.xlsx&amp;sheet=U0&amp;row=1938&amp;col=6&amp;number=4.4&amp;sourceID=14","4.4")</f>
        <v>4.4</v>
      </c>
      <c r="G1938" s="4" t="str">
        <f>HYPERLINK("http://141.218.60.56/~jnz1568/getInfo.php?workbook=14_13.xlsx&amp;sheet=U0&amp;row=1938&amp;col=7&amp;number=0.021&amp;sourceID=14","0.021")</f>
        <v>0.021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HYPERLINK("http://141.218.60.56/~jnz1568/getInfo.php?workbook=14_13.xlsx&amp;sheet=U0&amp;row=1939&amp;col=6&amp;number=4.5&amp;sourceID=14","4.5")</f>
        <v>4.5</v>
      </c>
      <c r="G1939" s="4" t="str">
        <f>HYPERLINK("http://141.218.60.56/~jnz1568/getInfo.php?workbook=14_13.xlsx&amp;sheet=U0&amp;row=1939&amp;col=7&amp;number=0.0203&amp;sourceID=14","0.0203")</f>
        <v>0.0203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HYPERLINK("http://141.218.60.56/~jnz1568/getInfo.php?workbook=14_13.xlsx&amp;sheet=U0&amp;row=1940&amp;col=6&amp;number=4.6&amp;sourceID=14","4.6")</f>
        <v>4.6</v>
      </c>
      <c r="G1940" s="4" t="str">
        <f>HYPERLINK("http://141.218.60.56/~jnz1568/getInfo.php?workbook=14_13.xlsx&amp;sheet=U0&amp;row=1940&amp;col=7&amp;number=0.0196&amp;sourceID=14","0.0196")</f>
        <v>0.0196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HYPERLINK("http://141.218.60.56/~jnz1568/getInfo.php?workbook=14_13.xlsx&amp;sheet=U0&amp;row=1941&amp;col=6&amp;number=4.7&amp;sourceID=14","4.7")</f>
        <v>4.7</v>
      </c>
      <c r="G1941" s="4" t="str">
        <f>HYPERLINK("http://141.218.60.56/~jnz1568/getInfo.php?workbook=14_13.xlsx&amp;sheet=U0&amp;row=1941&amp;col=7&amp;number=0.0189&amp;sourceID=14","0.0189")</f>
        <v>0.0189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HYPERLINK("http://141.218.60.56/~jnz1568/getInfo.php?workbook=14_13.xlsx&amp;sheet=U0&amp;row=1942&amp;col=6&amp;number=4.8&amp;sourceID=14","4.8")</f>
        <v>4.8</v>
      </c>
      <c r="G1942" s="4" t="str">
        <f>HYPERLINK("http://141.218.60.56/~jnz1568/getInfo.php?workbook=14_13.xlsx&amp;sheet=U0&amp;row=1942&amp;col=7&amp;number=0.0181&amp;sourceID=14","0.0181")</f>
        <v>0.0181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HYPERLINK("http://141.218.60.56/~jnz1568/getInfo.php?workbook=14_13.xlsx&amp;sheet=U0&amp;row=1943&amp;col=6&amp;number=4.9&amp;sourceID=14","4.9")</f>
        <v>4.9</v>
      </c>
      <c r="G1943" s="4" t="str">
        <f>HYPERLINK("http://141.218.60.56/~jnz1568/getInfo.php?workbook=14_13.xlsx&amp;sheet=U0&amp;row=1943&amp;col=7&amp;number=0.0171&amp;sourceID=14","0.0171")</f>
        <v>0.0171</v>
      </c>
    </row>
    <row r="1944" spans="1:7">
      <c r="A1944" s="3">
        <v>14</v>
      </c>
      <c r="B1944" s="3">
        <v>13</v>
      </c>
      <c r="C1944" s="3">
        <v>4</v>
      </c>
      <c r="D1944" s="3">
        <v>21</v>
      </c>
      <c r="E1944" s="3">
        <v>1</v>
      </c>
      <c r="F1944" s="4" t="str">
        <f>HYPERLINK("http://141.218.60.56/~jnz1568/getInfo.php?workbook=14_13.xlsx&amp;sheet=U0&amp;row=1944&amp;col=6&amp;number=3&amp;sourceID=14","3")</f>
        <v>3</v>
      </c>
      <c r="G1944" s="4" t="str">
        <f>HYPERLINK("http://141.218.60.56/~jnz1568/getInfo.php?workbook=14_13.xlsx&amp;sheet=U0&amp;row=1944&amp;col=7&amp;number=0.0147&amp;sourceID=14","0.0147")</f>
        <v>0.0147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HYPERLINK("http://141.218.60.56/~jnz1568/getInfo.php?workbook=14_13.xlsx&amp;sheet=U0&amp;row=1945&amp;col=6&amp;number=3.1&amp;sourceID=14","3.1")</f>
        <v>3.1</v>
      </c>
      <c r="G1945" s="4" t="str">
        <f>HYPERLINK("http://141.218.60.56/~jnz1568/getInfo.php?workbook=14_13.xlsx&amp;sheet=U0&amp;row=1945&amp;col=7&amp;number=0.0154&amp;sourceID=14","0.0154")</f>
        <v>0.0154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HYPERLINK("http://141.218.60.56/~jnz1568/getInfo.php?workbook=14_13.xlsx&amp;sheet=U0&amp;row=1946&amp;col=6&amp;number=3.2&amp;sourceID=14","3.2")</f>
        <v>3.2</v>
      </c>
      <c r="G1946" s="4" t="str">
        <f>HYPERLINK("http://141.218.60.56/~jnz1568/getInfo.php?workbook=14_13.xlsx&amp;sheet=U0&amp;row=1946&amp;col=7&amp;number=0.0161&amp;sourceID=14","0.0161")</f>
        <v>0.0161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HYPERLINK("http://141.218.60.56/~jnz1568/getInfo.php?workbook=14_13.xlsx&amp;sheet=U0&amp;row=1947&amp;col=6&amp;number=3.3&amp;sourceID=14","3.3")</f>
        <v>3.3</v>
      </c>
      <c r="G1947" s="4" t="str">
        <f>HYPERLINK("http://141.218.60.56/~jnz1568/getInfo.php?workbook=14_13.xlsx&amp;sheet=U0&amp;row=1947&amp;col=7&amp;number=0.0169&amp;sourceID=14","0.0169")</f>
        <v>0.0169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HYPERLINK("http://141.218.60.56/~jnz1568/getInfo.php?workbook=14_13.xlsx&amp;sheet=U0&amp;row=1948&amp;col=6&amp;number=3.4&amp;sourceID=14","3.4")</f>
        <v>3.4</v>
      </c>
      <c r="G1948" s="4" t="str">
        <f>HYPERLINK("http://141.218.60.56/~jnz1568/getInfo.php?workbook=14_13.xlsx&amp;sheet=U0&amp;row=1948&amp;col=7&amp;number=0.0176&amp;sourceID=14","0.0176")</f>
        <v>0.0176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HYPERLINK("http://141.218.60.56/~jnz1568/getInfo.php?workbook=14_13.xlsx&amp;sheet=U0&amp;row=1949&amp;col=6&amp;number=3.5&amp;sourceID=14","3.5")</f>
        <v>3.5</v>
      </c>
      <c r="G1949" s="4" t="str">
        <f>HYPERLINK("http://141.218.60.56/~jnz1568/getInfo.php?workbook=14_13.xlsx&amp;sheet=U0&amp;row=1949&amp;col=7&amp;number=0.0181&amp;sourceID=14","0.0181")</f>
        <v>0.0181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HYPERLINK("http://141.218.60.56/~jnz1568/getInfo.php?workbook=14_13.xlsx&amp;sheet=U0&amp;row=1950&amp;col=6&amp;number=3.6&amp;sourceID=14","3.6")</f>
        <v>3.6</v>
      </c>
      <c r="G1950" s="4" t="str">
        <f>HYPERLINK("http://141.218.60.56/~jnz1568/getInfo.php?workbook=14_13.xlsx&amp;sheet=U0&amp;row=1950&amp;col=7&amp;number=0.0183&amp;sourceID=14","0.0183")</f>
        <v>0.0183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HYPERLINK("http://141.218.60.56/~jnz1568/getInfo.php?workbook=14_13.xlsx&amp;sheet=U0&amp;row=1951&amp;col=6&amp;number=3.7&amp;sourceID=14","3.7")</f>
        <v>3.7</v>
      </c>
      <c r="G1951" s="4" t="str">
        <f>HYPERLINK("http://141.218.60.56/~jnz1568/getInfo.php?workbook=14_13.xlsx&amp;sheet=U0&amp;row=1951&amp;col=7&amp;number=0.018&amp;sourceID=14","0.018")</f>
        <v>0.018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HYPERLINK("http://141.218.60.56/~jnz1568/getInfo.php?workbook=14_13.xlsx&amp;sheet=U0&amp;row=1952&amp;col=6&amp;number=3.8&amp;sourceID=14","3.8")</f>
        <v>3.8</v>
      </c>
      <c r="G1952" s="4" t="str">
        <f>HYPERLINK("http://141.218.60.56/~jnz1568/getInfo.php?workbook=14_13.xlsx&amp;sheet=U0&amp;row=1952&amp;col=7&amp;number=0.0175&amp;sourceID=14","0.0175")</f>
        <v>0.0175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HYPERLINK("http://141.218.60.56/~jnz1568/getInfo.php?workbook=14_13.xlsx&amp;sheet=U0&amp;row=1953&amp;col=6&amp;number=3.9&amp;sourceID=14","3.9")</f>
        <v>3.9</v>
      </c>
      <c r="G1953" s="4" t="str">
        <f>HYPERLINK("http://141.218.60.56/~jnz1568/getInfo.php?workbook=14_13.xlsx&amp;sheet=U0&amp;row=1953&amp;col=7&amp;number=0.017&amp;sourceID=14","0.017")</f>
        <v>0.017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HYPERLINK("http://141.218.60.56/~jnz1568/getInfo.php?workbook=14_13.xlsx&amp;sheet=U0&amp;row=1954&amp;col=6&amp;number=4&amp;sourceID=14","4")</f>
        <v>4</v>
      </c>
      <c r="G1954" s="4" t="str">
        <f>HYPERLINK("http://141.218.60.56/~jnz1568/getInfo.php?workbook=14_13.xlsx&amp;sheet=U0&amp;row=1954&amp;col=7&amp;number=0.0164&amp;sourceID=14","0.0164")</f>
        <v>0.0164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HYPERLINK("http://141.218.60.56/~jnz1568/getInfo.php?workbook=14_13.xlsx&amp;sheet=U0&amp;row=1955&amp;col=6&amp;number=4.1&amp;sourceID=14","4.1")</f>
        <v>4.1</v>
      </c>
      <c r="G1955" s="4" t="str">
        <f>HYPERLINK("http://141.218.60.56/~jnz1568/getInfo.php?workbook=14_13.xlsx&amp;sheet=U0&amp;row=1955&amp;col=7&amp;number=0.0157&amp;sourceID=14","0.0157")</f>
        <v>0.0157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HYPERLINK("http://141.218.60.56/~jnz1568/getInfo.php?workbook=14_13.xlsx&amp;sheet=U0&amp;row=1956&amp;col=6&amp;number=4.2&amp;sourceID=14","4.2")</f>
        <v>4.2</v>
      </c>
      <c r="G1956" s="4" t="str">
        <f>HYPERLINK("http://141.218.60.56/~jnz1568/getInfo.php?workbook=14_13.xlsx&amp;sheet=U0&amp;row=1956&amp;col=7&amp;number=0.0147&amp;sourceID=14","0.0147")</f>
        <v>0.0147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HYPERLINK("http://141.218.60.56/~jnz1568/getInfo.php?workbook=14_13.xlsx&amp;sheet=U0&amp;row=1957&amp;col=6&amp;number=4.3&amp;sourceID=14","4.3")</f>
        <v>4.3</v>
      </c>
      <c r="G1957" s="4" t="str">
        <f>HYPERLINK("http://141.218.60.56/~jnz1568/getInfo.php?workbook=14_13.xlsx&amp;sheet=U0&amp;row=1957&amp;col=7&amp;number=0.0135&amp;sourceID=14","0.0135")</f>
        <v>0.0135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HYPERLINK("http://141.218.60.56/~jnz1568/getInfo.php?workbook=14_13.xlsx&amp;sheet=U0&amp;row=1958&amp;col=6&amp;number=4.4&amp;sourceID=14","4.4")</f>
        <v>4.4</v>
      </c>
      <c r="G1958" s="4" t="str">
        <f>HYPERLINK("http://141.218.60.56/~jnz1568/getInfo.php?workbook=14_13.xlsx&amp;sheet=U0&amp;row=1958&amp;col=7&amp;number=0.0126&amp;sourceID=14","0.0126")</f>
        <v>0.0126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HYPERLINK("http://141.218.60.56/~jnz1568/getInfo.php?workbook=14_13.xlsx&amp;sheet=U0&amp;row=1959&amp;col=6&amp;number=4.5&amp;sourceID=14","4.5")</f>
        <v>4.5</v>
      </c>
      <c r="G1959" s="4" t="str">
        <f>HYPERLINK("http://141.218.60.56/~jnz1568/getInfo.php?workbook=14_13.xlsx&amp;sheet=U0&amp;row=1959&amp;col=7&amp;number=0.0117&amp;sourceID=14","0.0117")</f>
        <v>0.0117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HYPERLINK("http://141.218.60.56/~jnz1568/getInfo.php?workbook=14_13.xlsx&amp;sheet=U0&amp;row=1960&amp;col=6&amp;number=4.6&amp;sourceID=14","4.6")</f>
        <v>4.6</v>
      </c>
      <c r="G1960" s="4" t="str">
        <f>HYPERLINK("http://141.218.60.56/~jnz1568/getInfo.php?workbook=14_13.xlsx&amp;sheet=U0&amp;row=1960&amp;col=7&amp;number=0.0109&amp;sourceID=14","0.0109")</f>
        <v>0.0109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HYPERLINK("http://141.218.60.56/~jnz1568/getInfo.php?workbook=14_13.xlsx&amp;sheet=U0&amp;row=1961&amp;col=6&amp;number=4.7&amp;sourceID=14","4.7")</f>
        <v>4.7</v>
      </c>
      <c r="G1961" s="4" t="str">
        <f>HYPERLINK("http://141.218.60.56/~jnz1568/getInfo.php?workbook=14_13.xlsx&amp;sheet=U0&amp;row=1961&amp;col=7&amp;number=0.0101&amp;sourceID=14","0.0101")</f>
        <v>0.0101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HYPERLINK("http://141.218.60.56/~jnz1568/getInfo.php?workbook=14_13.xlsx&amp;sheet=U0&amp;row=1962&amp;col=6&amp;number=4.8&amp;sourceID=14","4.8")</f>
        <v>4.8</v>
      </c>
      <c r="G1962" s="4" t="str">
        <f>HYPERLINK("http://141.218.60.56/~jnz1568/getInfo.php?workbook=14_13.xlsx&amp;sheet=U0&amp;row=1962&amp;col=7&amp;number=0.00946&amp;sourceID=14","0.00946")</f>
        <v>0.00946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HYPERLINK("http://141.218.60.56/~jnz1568/getInfo.php?workbook=14_13.xlsx&amp;sheet=U0&amp;row=1963&amp;col=6&amp;number=4.9&amp;sourceID=14","4.9")</f>
        <v>4.9</v>
      </c>
      <c r="G1963" s="4" t="str">
        <f>HYPERLINK("http://141.218.60.56/~jnz1568/getInfo.php?workbook=14_13.xlsx&amp;sheet=U0&amp;row=1963&amp;col=7&amp;number=0.00884&amp;sourceID=14","0.00884")</f>
        <v>0.00884</v>
      </c>
    </row>
    <row r="1964" spans="1:7">
      <c r="A1964" s="3">
        <v>14</v>
      </c>
      <c r="B1964" s="3">
        <v>13</v>
      </c>
      <c r="C1964" s="3">
        <v>4</v>
      </c>
      <c r="D1964" s="3">
        <v>22</v>
      </c>
      <c r="E1964" s="3">
        <v>1</v>
      </c>
      <c r="F1964" s="4" t="str">
        <f>HYPERLINK("http://141.218.60.56/~jnz1568/getInfo.php?workbook=14_13.xlsx&amp;sheet=U0&amp;row=1964&amp;col=6&amp;number=3&amp;sourceID=14","3")</f>
        <v>3</v>
      </c>
      <c r="G1964" s="4" t="str">
        <f>HYPERLINK("http://141.218.60.56/~jnz1568/getInfo.php?workbook=14_13.xlsx&amp;sheet=U0&amp;row=1964&amp;col=7&amp;number=0.0156&amp;sourceID=14","0.0156")</f>
        <v>0.0156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HYPERLINK("http://141.218.60.56/~jnz1568/getInfo.php?workbook=14_13.xlsx&amp;sheet=U0&amp;row=1965&amp;col=6&amp;number=3.1&amp;sourceID=14","3.1")</f>
        <v>3.1</v>
      </c>
      <c r="G1965" s="4" t="str">
        <f>HYPERLINK("http://141.218.60.56/~jnz1568/getInfo.php?workbook=14_13.xlsx&amp;sheet=U0&amp;row=1965&amp;col=7&amp;number=0.0158&amp;sourceID=14","0.0158")</f>
        <v>0.0158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HYPERLINK("http://141.218.60.56/~jnz1568/getInfo.php?workbook=14_13.xlsx&amp;sheet=U0&amp;row=1966&amp;col=6&amp;number=3.2&amp;sourceID=14","3.2")</f>
        <v>3.2</v>
      </c>
      <c r="G1966" s="4" t="str">
        <f>HYPERLINK("http://141.218.60.56/~jnz1568/getInfo.php?workbook=14_13.xlsx&amp;sheet=U0&amp;row=1966&amp;col=7&amp;number=0.0161&amp;sourceID=14","0.0161")</f>
        <v>0.0161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HYPERLINK("http://141.218.60.56/~jnz1568/getInfo.php?workbook=14_13.xlsx&amp;sheet=U0&amp;row=1967&amp;col=6&amp;number=3.3&amp;sourceID=14","3.3")</f>
        <v>3.3</v>
      </c>
      <c r="G1967" s="4" t="str">
        <f>HYPERLINK("http://141.218.60.56/~jnz1568/getInfo.php?workbook=14_13.xlsx&amp;sheet=U0&amp;row=1967&amp;col=7&amp;number=0.0165&amp;sourceID=14","0.0165")</f>
        <v>0.0165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HYPERLINK("http://141.218.60.56/~jnz1568/getInfo.php?workbook=14_13.xlsx&amp;sheet=U0&amp;row=1968&amp;col=6&amp;number=3.4&amp;sourceID=14","3.4")</f>
        <v>3.4</v>
      </c>
      <c r="G1968" s="4" t="str">
        <f>HYPERLINK("http://141.218.60.56/~jnz1568/getInfo.php?workbook=14_13.xlsx&amp;sheet=U0&amp;row=1968&amp;col=7&amp;number=0.0169&amp;sourceID=14","0.0169")</f>
        <v>0.0169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HYPERLINK("http://141.218.60.56/~jnz1568/getInfo.php?workbook=14_13.xlsx&amp;sheet=U0&amp;row=1969&amp;col=6&amp;number=3.5&amp;sourceID=14","3.5")</f>
        <v>3.5</v>
      </c>
      <c r="G1969" s="4" t="str">
        <f>HYPERLINK("http://141.218.60.56/~jnz1568/getInfo.php?workbook=14_13.xlsx&amp;sheet=U0&amp;row=1969&amp;col=7&amp;number=0.0173&amp;sourceID=14","0.0173")</f>
        <v>0.0173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HYPERLINK("http://141.218.60.56/~jnz1568/getInfo.php?workbook=14_13.xlsx&amp;sheet=U0&amp;row=1970&amp;col=6&amp;number=3.6&amp;sourceID=14","3.6")</f>
        <v>3.6</v>
      </c>
      <c r="G1970" s="4" t="str">
        <f>HYPERLINK("http://141.218.60.56/~jnz1568/getInfo.php?workbook=14_13.xlsx&amp;sheet=U0&amp;row=1970&amp;col=7&amp;number=0.0175&amp;sourceID=14","0.0175")</f>
        <v>0.0175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HYPERLINK("http://141.218.60.56/~jnz1568/getInfo.php?workbook=14_13.xlsx&amp;sheet=U0&amp;row=1971&amp;col=6&amp;number=3.7&amp;sourceID=14","3.7")</f>
        <v>3.7</v>
      </c>
      <c r="G1971" s="4" t="str">
        <f>HYPERLINK("http://141.218.60.56/~jnz1568/getInfo.php?workbook=14_13.xlsx&amp;sheet=U0&amp;row=1971&amp;col=7&amp;number=0.0175&amp;sourceID=14","0.0175")</f>
        <v>0.0175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HYPERLINK("http://141.218.60.56/~jnz1568/getInfo.php?workbook=14_13.xlsx&amp;sheet=U0&amp;row=1972&amp;col=6&amp;number=3.8&amp;sourceID=14","3.8")</f>
        <v>3.8</v>
      </c>
      <c r="G1972" s="4" t="str">
        <f>HYPERLINK("http://141.218.60.56/~jnz1568/getInfo.php?workbook=14_13.xlsx&amp;sheet=U0&amp;row=1972&amp;col=7&amp;number=0.0173&amp;sourceID=14","0.0173")</f>
        <v>0.0173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HYPERLINK("http://141.218.60.56/~jnz1568/getInfo.php?workbook=14_13.xlsx&amp;sheet=U0&amp;row=1973&amp;col=6&amp;number=3.9&amp;sourceID=14","3.9")</f>
        <v>3.9</v>
      </c>
      <c r="G1973" s="4" t="str">
        <f>HYPERLINK("http://141.218.60.56/~jnz1568/getInfo.php?workbook=14_13.xlsx&amp;sheet=U0&amp;row=1973&amp;col=7&amp;number=0.0167&amp;sourceID=14","0.0167")</f>
        <v>0.0167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HYPERLINK("http://141.218.60.56/~jnz1568/getInfo.php?workbook=14_13.xlsx&amp;sheet=U0&amp;row=1974&amp;col=6&amp;number=4&amp;sourceID=14","4")</f>
        <v>4</v>
      </c>
      <c r="G1974" s="4" t="str">
        <f>HYPERLINK("http://141.218.60.56/~jnz1568/getInfo.php?workbook=14_13.xlsx&amp;sheet=U0&amp;row=1974&amp;col=7&amp;number=0.016&amp;sourceID=14","0.016")</f>
        <v>0.016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HYPERLINK("http://141.218.60.56/~jnz1568/getInfo.php?workbook=14_13.xlsx&amp;sheet=U0&amp;row=1975&amp;col=6&amp;number=4.1&amp;sourceID=14","4.1")</f>
        <v>4.1</v>
      </c>
      <c r="G1975" s="4" t="str">
        <f>HYPERLINK("http://141.218.60.56/~jnz1568/getInfo.php?workbook=14_13.xlsx&amp;sheet=U0&amp;row=1975&amp;col=7&amp;number=0.0151&amp;sourceID=14","0.0151")</f>
        <v>0.0151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HYPERLINK("http://141.218.60.56/~jnz1568/getInfo.php?workbook=14_13.xlsx&amp;sheet=U0&amp;row=1976&amp;col=6&amp;number=4.2&amp;sourceID=14","4.2")</f>
        <v>4.2</v>
      </c>
      <c r="G1976" s="4" t="str">
        <f>HYPERLINK("http://141.218.60.56/~jnz1568/getInfo.php?workbook=14_13.xlsx&amp;sheet=U0&amp;row=1976&amp;col=7&amp;number=0.0142&amp;sourceID=14","0.0142")</f>
        <v>0.0142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HYPERLINK("http://141.218.60.56/~jnz1568/getInfo.php?workbook=14_13.xlsx&amp;sheet=U0&amp;row=1977&amp;col=6&amp;number=4.3&amp;sourceID=14","4.3")</f>
        <v>4.3</v>
      </c>
      <c r="G1977" s="4" t="str">
        <f>HYPERLINK("http://141.218.60.56/~jnz1568/getInfo.php?workbook=14_13.xlsx&amp;sheet=U0&amp;row=1977&amp;col=7&amp;number=0.0132&amp;sourceID=14","0.0132")</f>
        <v>0.0132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HYPERLINK("http://141.218.60.56/~jnz1568/getInfo.php?workbook=14_13.xlsx&amp;sheet=U0&amp;row=1978&amp;col=6&amp;number=4.4&amp;sourceID=14","4.4")</f>
        <v>4.4</v>
      </c>
      <c r="G1978" s="4" t="str">
        <f>HYPERLINK("http://141.218.60.56/~jnz1568/getInfo.php?workbook=14_13.xlsx&amp;sheet=U0&amp;row=1978&amp;col=7&amp;number=0.0123&amp;sourceID=14","0.0123")</f>
        <v>0.0123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HYPERLINK("http://141.218.60.56/~jnz1568/getInfo.php?workbook=14_13.xlsx&amp;sheet=U0&amp;row=1979&amp;col=6&amp;number=4.5&amp;sourceID=14","4.5")</f>
        <v>4.5</v>
      </c>
      <c r="G1979" s="4" t="str">
        <f>HYPERLINK("http://141.218.60.56/~jnz1568/getInfo.php?workbook=14_13.xlsx&amp;sheet=U0&amp;row=1979&amp;col=7&amp;number=0.0115&amp;sourceID=14","0.0115")</f>
        <v>0.0115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HYPERLINK("http://141.218.60.56/~jnz1568/getInfo.php?workbook=14_13.xlsx&amp;sheet=U0&amp;row=1980&amp;col=6&amp;number=4.6&amp;sourceID=14","4.6")</f>
        <v>4.6</v>
      </c>
      <c r="G1980" s="4" t="str">
        <f>HYPERLINK("http://141.218.60.56/~jnz1568/getInfo.php?workbook=14_13.xlsx&amp;sheet=U0&amp;row=1980&amp;col=7&amp;number=0.0107&amp;sourceID=14","0.0107")</f>
        <v>0.0107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HYPERLINK("http://141.218.60.56/~jnz1568/getInfo.php?workbook=14_13.xlsx&amp;sheet=U0&amp;row=1981&amp;col=6&amp;number=4.7&amp;sourceID=14","4.7")</f>
        <v>4.7</v>
      </c>
      <c r="G1981" s="4" t="str">
        <f>HYPERLINK("http://141.218.60.56/~jnz1568/getInfo.php?workbook=14_13.xlsx&amp;sheet=U0&amp;row=1981&amp;col=7&amp;number=0.00997&amp;sourceID=14","0.00997")</f>
        <v>0.00997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HYPERLINK("http://141.218.60.56/~jnz1568/getInfo.php?workbook=14_13.xlsx&amp;sheet=U0&amp;row=1982&amp;col=6&amp;number=4.8&amp;sourceID=14","4.8")</f>
        <v>4.8</v>
      </c>
      <c r="G1982" s="4" t="str">
        <f>HYPERLINK("http://141.218.60.56/~jnz1568/getInfo.php?workbook=14_13.xlsx&amp;sheet=U0&amp;row=1982&amp;col=7&amp;number=0.00926&amp;sourceID=14","0.00926")</f>
        <v>0.00926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HYPERLINK("http://141.218.60.56/~jnz1568/getInfo.php?workbook=14_13.xlsx&amp;sheet=U0&amp;row=1983&amp;col=6&amp;number=4.9&amp;sourceID=14","4.9")</f>
        <v>4.9</v>
      </c>
      <c r="G1983" s="4" t="str">
        <f>HYPERLINK("http://141.218.60.56/~jnz1568/getInfo.php?workbook=14_13.xlsx&amp;sheet=U0&amp;row=1983&amp;col=7&amp;number=0.00855&amp;sourceID=14","0.00855")</f>
        <v>0.00855</v>
      </c>
    </row>
    <row r="1984" spans="1:7">
      <c r="A1984" s="3">
        <v>14</v>
      </c>
      <c r="B1984" s="3">
        <v>13</v>
      </c>
      <c r="C1984" s="3">
        <v>4</v>
      </c>
      <c r="D1984" s="3">
        <v>23</v>
      </c>
      <c r="E1984" s="3">
        <v>1</v>
      </c>
      <c r="F1984" s="4" t="str">
        <f>HYPERLINK("http://141.218.60.56/~jnz1568/getInfo.php?workbook=14_13.xlsx&amp;sheet=U0&amp;row=1984&amp;col=6&amp;number=3&amp;sourceID=14","3")</f>
        <v>3</v>
      </c>
      <c r="G1984" s="4" t="str">
        <f>HYPERLINK("http://141.218.60.56/~jnz1568/getInfo.php?workbook=14_13.xlsx&amp;sheet=U0&amp;row=1984&amp;col=7&amp;number=2.52&amp;sourceID=14","2.52")</f>
        <v>2.52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HYPERLINK("http://141.218.60.56/~jnz1568/getInfo.php?workbook=14_13.xlsx&amp;sheet=U0&amp;row=1985&amp;col=6&amp;number=3.1&amp;sourceID=14","3.1")</f>
        <v>3.1</v>
      </c>
      <c r="G1985" s="4" t="str">
        <f>HYPERLINK("http://141.218.60.56/~jnz1568/getInfo.php?workbook=14_13.xlsx&amp;sheet=U0&amp;row=1985&amp;col=7&amp;number=2.51&amp;sourceID=14","2.51")</f>
        <v>2.51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HYPERLINK("http://141.218.60.56/~jnz1568/getInfo.php?workbook=14_13.xlsx&amp;sheet=U0&amp;row=1986&amp;col=6&amp;number=3.2&amp;sourceID=14","3.2")</f>
        <v>3.2</v>
      </c>
      <c r="G1986" s="4" t="str">
        <f>HYPERLINK("http://141.218.60.56/~jnz1568/getInfo.php?workbook=14_13.xlsx&amp;sheet=U0&amp;row=1986&amp;col=7&amp;number=2.5&amp;sourceID=14","2.5")</f>
        <v>2.5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HYPERLINK("http://141.218.60.56/~jnz1568/getInfo.php?workbook=14_13.xlsx&amp;sheet=U0&amp;row=1987&amp;col=6&amp;number=3.3&amp;sourceID=14","3.3")</f>
        <v>3.3</v>
      </c>
      <c r="G1987" s="4" t="str">
        <f>HYPERLINK("http://141.218.60.56/~jnz1568/getInfo.php?workbook=14_13.xlsx&amp;sheet=U0&amp;row=1987&amp;col=7&amp;number=2.49&amp;sourceID=14","2.49")</f>
        <v>2.49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HYPERLINK("http://141.218.60.56/~jnz1568/getInfo.php?workbook=14_13.xlsx&amp;sheet=U0&amp;row=1988&amp;col=6&amp;number=3.4&amp;sourceID=14","3.4")</f>
        <v>3.4</v>
      </c>
      <c r="G1988" s="4" t="str">
        <f>HYPERLINK("http://141.218.60.56/~jnz1568/getInfo.php?workbook=14_13.xlsx&amp;sheet=U0&amp;row=1988&amp;col=7&amp;number=2.48&amp;sourceID=14","2.48")</f>
        <v>2.48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HYPERLINK("http://141.218.60.56/~jnz1568/getInfo.php?workbook=14_13.xlsx&amp;sheet=U0&amp;row=1989&amp;col=6&amp;number=3.5&amp;sourceID=14","3.5")</f>
        <v>3.5</v>
      </c>
      <c r="G1989" s="4" t="str">
        <f>HYPERLINK("http://141.218.60.56/~jnz1568/getInfo.php?workbook=14_13.xlsx&amp;sheet=U0&amp;row=1989&amp;col=7&amp;number=2.47&amp;sourceID=14","2.47")</f>
        <v>2.47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HYPERLINK("http://141.218.60.56/~jnz1568/getInfo.php?workbook=14_13.xlsx&amp;sheet=U0&amp;row=1990&amp;col=6&amp;number=3.6&amp;sourceID=14","3.6")</f>
        <v>3.6</v>
      </c>
      <c r="G1990" s="4" t="str">
        <f>HYPERLINK("http://141.218.60.56/~jnz1568/getInfo.php?workbook=14_13.xlsx&amp;sheet=U0&amp;row=1990&amp;col=7&amp;number=2.45&amp;sourceID=14","2.45")</f>
        <v>2.45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HYPERLINK("http://141.218.60.56/~jnz1568/getInfo.php?workbook=14_13.xlsx&amp;sheet=U0&amp;row=1991&amp;col=6&amp;number=3.7&amp;sourceID=14","3.7")</f>
        <v>3.7</v>
      </c>
      <c r="G1991" s="4" t="str">
        <f>HYPERLINK("http://141.218.60.56/~jnz1568/getInfo.php?workbook=14_13.xlsx&amp;sheet=U0&amp;row=1991&amp;col=7&amp;number=2.42&amp;sourceID=14","2.42")</f>
        <v>2.42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HYPERLINK("http://141.218.60.56/~jnz1568/getInfo.php?workbook=14_13.xlsx&amp;sheet=U0&amp;row=1992&amp;col=6&amp;number=3.8&amp;sourceID=14","3.8")</f>
        <v>3.8</v>
      </c>
      <c r="G1992" s="4" t="str">
        <f>HYPERLINK("http://141.218.60.56/~jnz1568/getInfo.php?workbook=14_13.xlsx&amp;sheet=U0&amp;row=1992&amp;col=7&amp;number=2.39&amp;sourceID=14","2.39")</f>
        <v>2.39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HYPERLINK("http://141.218.60.56/~jnz1568/getInfo.php?workbook=14_13.xlsx&amp;sheet=U0&amp;row=1993&amp;col=6&amp;number=3.9&amp;sourceID=14","3.9")</f>
        <v>3.9</v>
      </c>
      <c r="G1993" s="4" t="str">
        <f>HYPERLINK("http://141.218.60.56/~jnz1568/getInfo.php?workbook=14_13.xlsx&amp;sheet=U0&amp;row=1993&amp;col=7&amp;number=2.36&amp;sourceID=14","2.36")</f>
        <v>2.36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HYPERLINK("http://141.218.60.56/~jnz1568/getInfo.php?workbook=14_13.xlsx&amp;sheet=U0&amp;row=1994&amp;col=6&amp;number=4&amp;sourceID=14","4")</f>
        <v>4</v>
      </c>
      <c r="G1994" s="4" t="str">
        <f>HYPERLINK("http://141.218.60.56/~jnz1568/getInfo.php?workbook=14_13.xlsx&amp;sheet=U0&amp;row=1994&amp;col=7&amp;number=2.32&amp;sourceID=14","2.32")</f>
        <v>2.32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HYPERLINK("http://141.218.60.56/~jnz1568/getInfo.php?workbook=14_13.xlsx&amp;sheet=U0&amp;row=1995&amp;col=6&amp;number=4.1&amp;sourceID=14","4.1")</f>
        <v>4.1</v>
      </c>
      <c r="G1995" s="4" t="str">
        <f>HYPERLINK("http://141.218.60.56/~jnz1568/getInfo.php?workbook=14_13.xlsx&amp;sheet=U0&amp;row=1995&amp;col=7&amp;number=2.27&amp;sourceID=14","2.27")</f>
        <v>2.27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HYPERLINK("http://141.218.60.56/~jnz1568/getInfo.php?workbook=14_13.xlsx&amp;sheet=U0&amp;row=1996&amp;col=6&amp;number=4.2&amp;sourceID=14","4.2")</f>
        <v>4.2</v>
      </c>
      <c r="G1996" s="4" t="str">
        <f>HYPERLINK("http://141.218.60.56/~jnz1568/getInfo.php?workbook=14_13.xlsx&amp;sheet=U0&amp;row=1996&amp;col=7&amp;number=2.22&amp;sourceID=14","2.22")</f>
        <v>2.22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HYPERLINK("http://141.218.60.56/~jnz1568/getInfo.php?workbook=14_13.xlsx&amp;sheet=U0&amp;row=1997&amp;col=6&amp;number=4.3&amp;sourceID=14","4.3")</f>
        <v>4.3</v>
      </c>
      <c r="G1997" s="4" t="str">
        <f>HYPERLINK("http://141.218.60.56/~jnz1568/getInfo.php?workbook=14_13.xlsx&amp;sheet=U0&amp;row=1997&amp;col=7&amp;number=2.16&amp;sourceID=14","2.16")</f>
        <v>2.16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HYPERLINK("http://141.218.60.56/~jnz1568/getInfo.php?workbook=14_13.xlsx&amp;sheet=U0&amp;row=1998&amp;col=6&amp;number=4.4&amp;sourceID=14","4.4")</f>
        <v>4.4</v>
      </c>
      <c r="G1998" s="4" t="str">
        <f>HYPERLINK("http://141.218.60.56/~jnz1568/getInfo.php?workbook=14_13.xlsx&amp;sheet=U0&amp;row=1998&amp;col=7&amp;number=2.08&amp;sourceID=14","2.08")</f>
        <v>2.08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HYPERLINK("http://141.218.60.56/~jnz1568/getInfo.php?workbook=14_13.xlsx&amp;sheet=U0&amp;row=1999&amp;col=6&amp;number=4.5&amp;sourceID=14","4.5")</f>
        <v>4.5</v>
      </c>
      <c r="G1999" s="4" t="str">
        <f>HYPERLINK("http://141.218.60.56/~jnz1568/getInfo.php?workbook=14_13.xlsx&amp;sheet=U0&amp;row=1999&amp;col=7&amp;number=2&amp;sourceID=14","2")</f>
        <v>2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HYPERLINK("http://141.218.60.56/~jnz1568/getInfo.php?workbook=14_13.xlsx&amp;sheet=U0&amp;row=2000&amp;col=6&amp;number=4.6&amp;sourceID=14","4.6")</f>
        <v>4.6</v>
      </c>
      <c r="G2000" s="4" t="str">
        <f>HYPERLINK("http://141.218.60.56/~jnz1568/getInfo.php?workbook=14_13.xlsx&amp;sheet=U0&amp;row=2000&amp;col=7&amp;number=1.91&amp;sourceID=14","1.91")</f>
        <v>1.91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HYPERLINK("http://141.218.60.56/~jnz1568/getInfo.php?workbook=14_13.xlsx&amp;sheet=U0&amp;row=2001&amp;col=6&amp;number=4.7&amp;sourceID=14","4.7")</f>
        <v>4.7</v>
      </c>
      <c r="G2001" s="4" t="str">
        <f>HYPERLINK("http://141.218.60.56/~jnz1568/getInfo.php?workbook=14_13.xlsx&amp;sheet=U0&amp;row=2001&amp;col=7&amp;number=1.82&amp;sourceID=14","1.82")</f>
        <v>1.82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HYPERLINK("http://141.218.60.56/~jnz1568/getInfo.php?workbook=14_13.xlsx&amp;sheet=U0&amp;row=2002&amp;col=6&amp;number=4.8&amp;sourceID=14","4.8")</f>
        <v>4.8</v>
      </c>
      <c r="G2002" s="4" t="str">
        <f>HYPERLINK("http://141.218.60.56/~jnz1568/getInfo.php?workbook=14_13.xlsx&amp;sheet=U0&amp;row=2002&amp;col=7&amp;number=1.71&amp;sourceID=14","1.71")</f>
        <v>1.71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HYPERLINK("http://141.218.60.56/~jnz1568/getInfo.php?workbook=14_13.xlsx&amp;sheet=U0&amp;row=2003&amp;col=6&amp;number=4.9&amp;sourceID=14","4.9")</f>
        <v>4.9</v>
      </c>
      <c r="G2003" s="4" t="str">
        <f>HYPERLINK("http://141.218.60.56/~jnz1568/getInfo.php?workbook=14_13.xlsx&amp;sheet=U0&amp;row=2003&amp;col=7&amp;number=1.59&amp;sourceID=14","1.59")</f>
        <v>1.59</v>
      </c>
    </row>
    <row r="2004" spans="1:7">
      <c r="A2004" s="3">
        <v>14</v>
      </c>
      <c r="B2004" s="3">
        <v>13</v>
      </c>
      <c r="C2004" s="3">
        <v>4</v>
      </c>
      <c r="D2004" s="3">
        <v>24</v>
      </c>
      <c r="E2004" s="3">
        <v>1</v>
      </c>
      <c r="F2004" s="4" t="str">
        <f>HYPERLINK("http://141.218.60.56/~jnz1568/getInfo.php?workbook=14_13.xlsx&amp;sheet=U0&amp;row=2004&amp;col=6&amp;number=3&amp;sourceID=14","3")</f>
        <v>3</v>
      </c>
      <c r="G2004" s="4" t="str">
        <f>HYPERLINK("http://141.218.60.56/~jnz1568/getInfo.php?workbook=14_13.xlsx&amp;sheet=U0&amp;row=2004&amp;col=7&amp;number=2&amp;sourceID=14","2")</f>
        <v>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HYPERLINK("http://141.218.60.56/~jnz1568/getInfo.php?workbook=14_13.xlsx&amp;sheet=U0&amp;row=2005&amp;col=6&amp;number=3.1&amp;sourceID=14","3.1")</f>
        <v>3.1</v>
      </c>
      <c r="G2005" s="4" t="str">
        <f>HYPERLINK("http://141.218.60.56/~jnz1568/getInfo.php?workbook=14_13.xlsx&amp;sheet=U0&amp;row=2005&amp;col=7&amp;number=2&amp;sourceID=14","2")</f>
        <v>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HYPERLINK("http://141.218.60.56/~jnz1568/getInfo.php?workbook=14_13.xlsx&amp;sheet=U0&amp;row=2006&amp;col=6&amp;number=3.2&amp;sourceID=14","3.2")</f>
        <v>3.2</v>
      </c>
      <c r="G2006" s="4" t="str">
        <f>HYPERLINK("http://141.218.60.56/~jnz1568/getInfo.php?workbook=14_13.xlsx&amp;sheet=U0&amp;row=2006&amp;col=7&amp;number=1.99&amp;sourceID=14","1.99")</f>
        <v>1.99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HYPERLINK("http://141.218.60.56/~jnz1568/getInfo.php?workbook=14_13.xlsx&amp;sheet=U0&amp;row=2007&amp;col=6&amp;number=3.3&amp;sourceID=14","3.3")</f>
        <v>3.3</v>
      </c>
      <c r="G2007" s="4" t="str">
        <f>HYPERLINK("http://141.218.60.56/~jnz1568/getInfo.php?workbook=14_13.xlsx&amp;sheet=U0&amp;row=2007&amp;col=7&amp;number=1.99&amp;sourceID=14","1.99")</f>
        <v>1.99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HYPERLINK("http://141.218.60.56/~jnz1568/getInfo.php?workbook=14_13.xlsx&amp;sheet=U0&amp;row=2008&amp;col=6&amp;number=3.4&amp;sourceID=14","3.4")</f>
        <v>3.4</v>
      </c>
      <c r="G2008" s="4" t="str">
        <f>HYPERLINK("http://141.218.60.56/~jnz1568/getInfo.php?workbook=14_13.xlsx&amp;sheet=U0&amp;row=2008&amp;col=7&amp;number=1.98&amp;sourceID=14","1.98")</f>
        <v>1.98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HYPERLINK("http://141.218.60.56/~jnz1568/getInfo.php?workbook=14_13.xlsx&amp;sheet=U0&amp;row=2009&amp;col=6&amp;number=3.5&amp;sourceID=14","3.5")</f>
        <v>3.5</v>
      </c>
      <c r="G2009" s="4" t="str">
        <f>HYPERLINK("http://141.218.60.56/~jnz1568/getInfo.php?workbook=14_13.xlsx&amp;sheet=U0&amp;row=2009&amp;col=7&amp;number=1.97&amp;sourceID=14","1.97")</f>
        <v>1.97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HYPERLINK("http://141.218.60.56/~jnz1568/getInfo.php?workbook=14_13.xlsx&amp;sheet=U0&amp;row=2010&amp;col=6&amp;number=3.6&amp;sourceID=14","3.6")</f>
        <v>3.6</v>
      </c>
      <c r="G2010" s="4" t="str">
        <f>HYPERLINK("http://141.218.60.56/~jnz1568/getInfo.php?workbook=14_13.xlsx&amp;sheet=U0&amp;row=2010&amp;col=7&amp;number=1.95&amp;sourceID=14","1.95")</f>
        <v>1.95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HYPERLINK("http://141.218.60.56/~jnz1568/getInfo.php?workbook=14_13.xlsx&amp;sheet=U0&amp;row=2011&amp;col=6&amp;number=3.7&amp;sourceID=14","3.7")</f>
        <v>3.7</v>
      </c>
      <c r="G2011" s="4" t="str">
        <f>HYPERLINK("http://141.218.60.56/~jnz1568/getInfo.php?workbook=14_13.xlsx&amp;sheet=U0&amp;row=2011&amp;col=7&amp;number=1.94&amp;sourceID=14","1.94")</f>
        <v>1.94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HYPERLINK("http://141.218.60.56/~jnz1568/getInfo.php?workbook=14_13.xlsx&amp;sheet=U0&amp;row=2012&amp;col=6&amp;number=3.8&amp;sourceID=14","3.8")</f>
        <v>3.8</v>
      </c>
      <c r="G2012" s="4" t="str">
        <f>HYPERLINK("http://141.218.60.56/~jnz1568/getInfo.php?workbook=14_13.xlsx&amp;sheet=U0&amp;row=2012&amp;col=7&amp;number=1.92&amp;sourceID=14","1.92")</f>
        <v>1.92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HYPERLINK("http://141.218.60.56/~jnz1568/getInfo.php?workbook=14_13.xlsx&amp;sheet=U0&amp;row=2013&amp;col=6&amp;number=3.9&amp;sourceID=14","3.9")</f>
        <v>3.9</v>
      </c>
      <c r="G2013" s="4" t="str">
        <f>HYPERLINK("http://141.218.60.56/~jnz1568/getInfo.php?workbook=14_13.xlsx&amp;sheet=U0&amp;row=2013&amp;col=7&amp;number=1.89&amp;sourceID=14","1.89")</f>
        <v>1.89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HYPERLINK("http://141.218.60.56/~jnz1568/getInfo.php?workbook=14_13.xlsx&amp;sheet=U0&amp;row=2014&amp;col=6&amp;number=4&amp;sourceID=14","4")</f>
        <v>4</v>
      </c>
      <c r="G2014" s="4" t="str">
        <f>HYPERLINK("http://141.218.60.56/~jnz1568/getInfo.php?workbook=14_13.xlsx&amp;sheet=U0&amp;row=2014&amp;col=7&amp;number=1.86&amp;sourceID=14","1.86")</f>
        <v>1.86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HYPERLINK("http://141.218.60.56/~jnz1568/getInfo.php?workbook=14_13.xlsx&amp;sheet=U0&amp;row=2015&amp;col=6&amp;number=4.1&amp;sourceID=14","4.1")</f>
        <v>4.1</v>
      </c>
      <c r="G2015" s="4" t="str">
        <f>HYPERLINK("http://141.218.60.56/~jnz1568/getInfo.php?workbook=14_13.xlsx&amp;sheet=U0&amp;row=2015&amp;col=7&amp;number=1.83&amp;sourceID=14","1.83")</f>
        <v>1.83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HYPERLINK("http://141.218.60.56/~jnz1568/getInfo.php?workbook=14_13.xlsx&amp;sheet=U0&amp;row=2016&amp;col=6&amp;number=4.2&amp;sourceID=14","4.2")</f>
        <v>4.2</v>
      </c>
      <c r="G2016" s="4" t="str">
        <f>HYPERLINK("http://141.218.60.56/~jnz1568/getInfo.php?workbook=14_13.xlsx&amp;sheet=U0&amp;row=2016&amp;col=7&amp;number=1.79&amp;sourceID=14","1.79")</f>
        <v>1.79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HYPERLINK("http://141.218.60.56/~jnz1568/getInfo.php?workbook=14_13.xlsx&amp;sheet=U0&amp;row=2017&amp;col=6&amp;number=4.3&amp;sourceID=14","4.3")</f>
        <v>4.3</v>
      </c>
      <c r="G2017" s="4" t="str">
        <f>HYPERLINK("http://141.218.60.56/~jnz1568/getInfo.php?workbook=14_13.xlsx&amp;sheet=U0&amp;row=2017&amp;col=7&amp;number=1.74&amp;sourceID=14","1.74")</f>
        <v>1.74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HYPERLINK("http://141.218.60.56/~jnz1568/getInfo.php?workbook=14_13.xlsx&amp;sheet=U0&amp;row=2018&amp;col=6&amp;number=4.4&amp;sourceID=14","4.4")</f>
        <v>4.4</v>
      </c>
      <c r="G2018" s="4" t="str">
        <f>HYPERLINK("http://141.218.60.56/~jnz1568/getInfo.php?workbook=14_13.xlsx&amp;sheet=U0&amp;row=2018&amp;col=7&amp;number=1.68&amp;sourceID=14","1.68")</f>
        <v>1.68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HYPERLINK("http://141.218.60.56/~jnz1568/getInfo.php?workbook=14_13.xlsx&amp;sheet=U0&amp;row=2019&amp;col=6&amp;number=4.5&amp;sourceID=14","4.5")</f>
        <v>4.5</v>
      </c>
      <c r="G2019" s="4" t="str">
        <f>HYPERLINK("http://141.218.60.56/~jnz1568/getInfo.php?workbook=14_13.xlsx&amp;sheet=U0&amp;row=2019&amp;col=7&amp;number=1.62&amp;sourceID=14","1.62")</f>
        <v>1.62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HYPERLINK("http://141.218.60.56/~jnz1568/getInfo.php?workbook=14_13.xlsx&amp;sheet=U0&amp;row=2020&amp;col=6&amp;number=4.6&amp;sourceID=14","4.6")</f>
        <v>4.6</v>
      </c>
      <c r="G2020" s="4" t="str">
        <f>HYPERLINK("http://141.218.60.56/~jnz1568/getInfo.php?workbook=14_13.xlsx&amp;sheet=U0&amp;row=2020&amp;col=7&amp;number=1.56&amp;sourceID=14","1.56")</f>
        <v>1.56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HYPERLINK("http://141.218.60.56/~jnz1568/getInfo.php?workbook=14_13.xlsx&amp;sheet=U0&amp;row=2021&amp;col=6&amp;number=4.7&amp;sourceID=14","4.7")</f>
        <v>4.7</v>
      </c>
      <c r="G2021" s="4" t="str">
        <f>HYPERLINK("http://141.218.60.56/~jnz1568/getInfo.php?workbook=14_13.xlsx&amp;sheet=U0&amp;row=2021&amp;col=7&amp;number=1.48&amp;sourceID=14","1.48")</f>
        <v>1.48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HYPERLINK("http://141.218.60.56/~jnz1568/getInfo.php?workbook=14_13.xlsx&amp;sheet=U0&amp;row=2022&amp;col=6&amp;number=4.8&amp;sourceID=14","4.8")</f>
        <v>4.8</v>
      </c>
      <c r="G2022" s="4" t="str">
        <f>HYPERLINK("http://141.218.60.56/~jnz1568/getInfo.php?workbook=14_13.xlsx&amp;sheet=U0&amp;row=2022&amp;col=7&amp;number=1.4&amp;sourceID=14","1.4")</f>
        <v>1.4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HYPERLINK("http://141.218.60.56/~jnz1568/getInfo.php?workbook=14_13.xlsx&amp;sheet=U0&amp;row=2023&amp;col=6&amp;number=4.9&amp;sourceID=14","4.9")</f>
        <v>4.9</v>
      </c>
      <c r="G2023" s="4" t="str">
        <f>HYPERLINK("http://141.218.60.56/~jnz1568/getInfo.php?workbook=14_13.xlsx&amp;sheet=U0&amp;row=2023&amp;col=7&amp;number=1.31&amp;sourceID=14","1.31")</f>
        <v>1.31</v>
      </c>
    </row>
    <row r="2024" spans="1:7">
      <c r="A2024" s="3">
        <v>14</v>
      </c>
      <c r="B2024" s="3">
        <v>13</v>
      </c>
      <c r="C2024" s="3">
        <v>4</v>
      </c>
      <c r="D2024" s="3">
        <v>25</v>
      </c>
      <c r="E2024" s="3">
        <v>1</v>
      </c>
      <c r="F2024" s="4" t="str">
        <f>HYPERLINK("http://141.218.60.56/~jnz1568/getInfo.php?workbook=14_13.xlsx&amp;sheet=U0&amp;row=2024&amp;col=6&amp;number=3&amp;sourceID=14","3")</f>
        <v>3</v>
      </c>
      <c r="G2024" s="4" t="str">
        <f>HYPERLINK("http://141.218.60.56/~jnz1568/getInfo.php?workbook=14_13.xlsx&amp;sheet=U0&amp;row=2024&amp;col=7&amp;number=0.003&amp;sourceID=14","0.003")</f>
        <v>0.003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HYPERLINK("http://141.218.60.56/~jnz1568/getInfo.php?workbook=14_13.xlsx&amp;sheet=U0&amp;row=2025&amp;col=6&amp;number=3.1&amp;sourceID=14","3.1")</f>
        <v>3.1</v>
      </c>
      <c r="G2025" s="4" t="str">
        <f>HYPERLINK("http://141.218.60.56/~jnz1568/getInfo.php?workbook=14_13.xlsx&amp;sheet=U0&amp;row=2025&amp;col=7&amp;number=0.00305&amp;sourceID=14","0.00305")</f>
        <v>0.00305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HYPERLINK("http://141.218.60.56/~jnz1568/getInfo.php?workbook=14_13.xlsx&amp;sheet=U0&amp;row=2026&amp;col=6&amp;number=3.2&amp;sourceID=14","3.2")</f>
        <v>3.2</v>
      </c>
      <c r="G2026" s="4" t="str">
        <f>HYPERLINK("http://141.218.60.56/~jnz1568/getInfo.php?workbook=14_13.xlsx&amp;sheet=U0&amp;row=2026&amp;col=7&amp;number=0.0031&amp;sourceID=14","0.0031")</f>
        <v>0.0031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HYPERLINK("http://141.218.60.56/~jnz1568/getInfo.php?workbook=14_13.xlsx&amp;sheet=U0&amp;row=2027&amp;col=6&amp;number=3.3&amp;sourceID=14","3.3")</f>
        <v>3.3</v>
      </c>
      <c r="G2027" s="4" t="str">
        <f>HYPERLINK("http://141.218.60.56/~jnz1568/getInfo.php?workbook=14_13.xlsx&amp;sheet=U0&amp;row=2027&amp;col=7&amp;number=0.00316&amp;sourceID=14","0.00316")</f>
        <v>0.00316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HYPERLINK("http://141.218.60.56/~jnz1568/getInfo.php?workbook=14_13.xlsx&amp;sheet=U0&amp;row=2028&amp;col=6&amp;number=3.4&amp;sourceID=14","3.4")</f>
        <v>3.4</v>
      </c>
      <c r="G2028" s="4" t="str">
        <f>HYPERLINK("http://141.218.60.56/~jnz1568/getInfo.php?workbook=14_13.xlsx&amp;sheet=U0&amp;row=2028&amp;col=7&amp;number=0.00323&amp;sourceID=14","0.00323")</f>
        <v>0.00323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HYPERLINK("http://141.218.60.56/~jnz1568/getInfo.php?workbook=14_13.xlsx&amp;sheet=U0&amp;row=2029&amp;col=6&amp;number=3.5&amp;sourceID=14","3.5")</f>
        <v>3.5</v>
      </c>
      <c r="G2029" s="4" t="str">
        <f>HYPERLINK("http://141.218.60.56/~jnz1568/getInfo.php?workbook=14_13.xlsx&amp;sheet=U0&amp;row=2029&amp;col=7&amp;number=0.0033&amp;sourceID=14","0.0033")</f>
        <v>0.0033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HYPERLINK("http://141.218.60.56/~jnz1568/getInfo.php?workbook=14_13.xlsx&amp;sheet=U0&amp;row=2030&amp;col=6&amp;number=3.6&amp;sourceID=14","3.6")</f>
        <v>3.6</v>
      </c>
      <c r="G2030" s="4" t="str">
        <f>HYPERLINK("http://141.218.60.56/~jnz1568/getInfo.php?workbook=14_13.xlsx&amp;sheet=U0&amp;row=2030&amp;col=7&amp;number=0.00337&amp;sourceID=14","0.00337")</f>
        <v>0.00337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HYPERLINK("http://141.218.60.56/~jnz1568/getInfo.php?workbook=14_13.xlsx&amp;sheet=U0&amp;row=2031&amp;col=6&amp;number=3.7&amp;sourceID=14","3.7")</f>
        <v>3.7</v>
      </c>
      <c r="G2031" s="4" t="str">
        <f>HYPERLINK("http://141.218.60.56/~jnz1568/getInfo.php?workbook=14_13.xlsx&amp;sheet=U0&amp;row=2031&amp;col=7&amp;number=0.00342&amp;sourceID=14","0.00342")</f>
        <v>0.00342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HYPERLINK("http://141.218.60.56/~jnz1568/getInfo.php?workbook=14_13.xlsx&amp;sheet=U0&amp;row=2032&amp;col=6&amp;number=3.8&amp;sourceID=14","3.8")</f>
        <v>3.8</v>
      </c>
      <c r="G2032" s="4" t="str">
        <f>HYPERLINK("http://141.218.60.56/~jnz1568/getInfo.php?workbook=14_13.xlsx&amp;sheet=U0&amp;row=2032&amp;col=7&amp;number=0.00345&amp;sourceID=14","0.00345")</f>
        <v>0.00345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HYPERLINK("http://141.218.60.56/~jnz1568/getInfo.php?workbook=14_13.xlsx&amp;sheet=U0&amp;row=2033&amp;col=6&amp;number=3.9&amp;sourceID=14","3.9")</f>
        <v>3.9</v>
      </c>
      <c r="G2033" s="4" t="str">
        <f>HYPERLINK("http://141.218.60.56/~jnz1568/getInfo.php?workbook=14_13.xlsx&amp;sheet=U0&amp;row=2033&amp;col=7&amp;number=0.00347&amp;sourceID=14","0.00347")</f>
        <v>0.00347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HYPERLINK("http://141.218.60.56/~jnz1568/getInfo.php?workbook=14_13.xlsx&amp;sheet=U0&amp;row=2034&amp;col=6&amp;number=4&amp;sourceID=14","4")</f>
        <v>4</v>
      </c>
      <c r="G2034" s="4" t="str">
        <f>HYPERLINK("http://141.218.60.56/~jnz1568/getInfo.php?workbook=14_13.xlsx&amp;sheet=U0&amp;row=2034&amp;col=7&amp;number=0.00349&amp;sourceID=14","0.00349")</f>
        <v>0.00349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HYPERLINK("http://141.218.60.56/~jnz1568/getInfo.php?workbook=14_13.xlsx&amp;sheet=U0&amp;row=2035&amp;col=6&amp;number=4.1&amp;sourceID=14","4.1")</f>
        <v>4.1</v>
      </c>
      <c r="G2035" s="4" t="str">
        <f>HYPERLINK("http://141.218.60.56/~jnz1568/getInfo.php?workbook=14_13.xlsx&amp;sheet=U0&amp;row=2035&amp;col=7&amp;number=0.00349&amp;sourceID=14","0.00349")</f>
        <v>0.00349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HYPERLINK("http://141.218.60.56/~jnz1568/getInfo.php?workbook=14_13.xlsx&amp;sheet=U0&amp;row=2036&amp;col=6&amp;number=4.2&amp;sourceID=14","4.2")</f>
        <v>4.2</v>
      </c>
      <c r="G2036" s="4" t="str">
        <f>HYPERLINK("http://141.218.60.56/~jnz1568/getInfo.php?workbook=14_13.xlsx&amp;sheet=U0&amp;row=2036&amp;col=7&amp;number=0.00348&amp;sourceID=14","0.00348")</f>
        <v>0.00348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HYPERLINK("http://141.218.60.56/~jnz1568/getInfo.php?workbook=14_13.xlsx&amp;sheet=U0&amp;row=2037&amp;col=6&amp;number=4.3&amp;sourceID=14","4.3")</f>
        <v>4.3</v>
      </c>
      <c r="G2037" s="4" t="str">
        <f>HYPERLINK("http://141.218.60.56/~jnz1568/getInfo.php?workbook=14_13.xlsx&amp;sheet=U0&amp;row=2037&amp;col=7&amp;number=0.00345&amp;sourceID=14","0.00345")</f>
        <v>0.00345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HYPERLINK("http://141.218.60.56/~jnz1568/getInfo.php?workbook=14_13.xlsx&amp;sheet=U0&amp;row=2038&amp;col=6&amp;number=4.4&amp;sourceID=14","4.4")</f>
        <v>4.4</v>
      </c>
      <c r="G2038" s="4" t="str">
        <f>HYPERLINK("http://141.218.60.56/~jnz1568/getInfo.php?workbook=14_13.xlsx&amp;sheet=U0&amp;row=2038&amp;col=7&amp;number=0.00342&amp;sourceID=14","0.00342")</f>
        <v>0.00342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HYPERLINK("http://141.218.60.56/~jnz1568/getInfo.php?workbook=14_13.xlsx&amp;sheet=U0&amp;row=2039&amp;col=6&amp;number=4.5&amp;sourceID=14","4.5")</f>
        <v>4.5</v>
      </c>
      <c r="G2039" s="4" t="str">
        <f>HYPERLINK("http://141.218.60.56/~jnz1568/getInfo.php?workbook=14_13.xlsx&amp;sheet=U0&amp;row=2039&amp;col=7&amp;number=0.00337&amp;sourceID=14","0.00337")</f>
        <v>0.00337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HYPERLINK("http://141.218.60.56/~jnz1568/getInfo.php?workbook=14_13.xlsx&amp;sheet=U0&amp;row=2040&amp;col=6&amp;number=4.6&amp;sourceID=14","4.6")</f>
        <v>4.6</v>
      </c>
      <c r="G2040" s="4" t="str">
        <f>HYPERLINK("http://141.218.60.56/~jnz1568/getInfo.php?workbook=14_13.xlsx&amp;sheet=U0&amp;row=2040&amp;col=7&amp;number=0.00331&amp;sourceID=14","0.00331")</f>
        <v>0.00331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HYPERLINK("http://141.218.60.56/~jnz1568/getInfo.php?workbook=14_13.xlsx&amp;sheet=U0&amp;row=2041&amp;col=6&amp;number=4.7&amp;sourceID=14","4.7")</f>
        <v>4.7</v>
      </c>
      <c r="G2041" s="4" t="str">
        <f>HYPERLINK("http://141.218.60.56/~jnz1568/getInfo.php?workbook=14_13.xlsx&amp;sheet=U0&amp;row=2041&amp;col=7&amp;number=0.00322&amp;sourceID=14","0.00322")</f>
        <v>0.00322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HYPERLINK("http://141.218.60.56/~jnz1568/getInfo.php?workbook=14_13.xlsx&amp;sheet=U0&amp;row=2042&amp;col=6&amp;number=4.8&amp;sourceID=14","4.8")</f>
        <v>4.8</v>
      </c>
      <c r="G2042" s="4" t="str">
        <f>HYPERLINK("http://141.218.60.56/~jnz1568/getInfo.php?workbook=14_13.xlsx&amp;sheet=U0&amp;row=2042&amp;col=7&amp;number=0.0031&amp;sourceID=14","0.0031")</f>
        <v>0.0031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HYPERLINK("http://141.218.60.56/~jnz1568/getInfo.php?workbook=14_13.xlsx&amp;sheet=U0&amp;row=2043&amp;col=6&amp;number=4.9&amp;sourceID=14","4.9")</f>
        <v>4.9</v>
      </c>
      <c r="G2043" s="4" t="str">
        <f>HYPERLINK("http://141.218.60.56/~jnz1568/getInfo.php?workbook=14_13.xlsx&amp;sheet=U0&amp;row=2043&amp;col=7&amp;number=0.00295&amp;sourceID=14","0.00295")</f>
        <v>0.00295</v>
      </c>
    </row>
    <row r="2044" spans="1:7">
      <c r="A2044" s="3">
        <v>14</v>
      </c>
      <c r="B2044" s="3">
        <v>13</v>
      </c>
      <c r="C2044" s="3">
        <v>4</v>
      </c>
      <c r="D2044" s="3">
        <v>26</v>
      </c>
      <c r="E2044" s="3">
        <v>1</v>
      </c>
      <c r="F2044" s="4" t="str">
        <f>HYPERLINK("http://141.218.60.56/~jnz1568/getInfo.php?workbook=14_13.xlsx&amp;sheet=U0&amp;row=2044&amp;col=6&amp;number=3&amp;sourceID=14","3")</f>
        <v>3</v>
      </c>
      <c r="G2044" s="4" t="str">
        <f>HYPERLINK("http://141.218.60.56/~jnz1568/getInfo.php?workbook=14_13.xlsx&amp;sheet=U0&amp;row=2044&amp;col=7&amp;number=0.026&amp;sourceID=14","0.026")</f>
        <v>0.026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HYPERLINK("http://141.218.60.56/~jnz1568/getInfo.php?workbook=14_13.xlsx&amp;sheet=U0&amp;row=2045&amp;col=6&amp;number=3.1&amp;sourceID=14","3.1")</f>
        <v>3.1</v>
      </c>
      <c r="G2045" s="4" t="str">
        <f>HYPERLINK("http://141.218.60.56/~jnz1568/getInfo.php?workbook=14_13.xlsx&amp;sheet=U0&amp;row=2045&amp;col=7&amp;number=0.026&amp;sourceID=14","0.026")</f>
        <v>0.026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HYPERLINK("http://141.218.60.56/~jnz1568/getInfo.php?workbook=14_13.xlsx&amp;sheet=U0&amp;row=2046&amp;col=6&amp;number=3.2&amp;sourceID=14","3.2")</f>
        <v>3.2</v>
      </c>
      <c r="G2046" s="4" t="str">
        <f>HYPERLINK("http://141.218.60.56/~jnz1568/getInfo.php?workbook=14_13.xlsx&amp;sheet=U0&amp;row=2046&amp;col=7&amp;number=0.0259&amp;sourceID=14","0.0259")</f>
        <v>0.0259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HYPERLINK("http://141.218.60.56/~jnz1568/getInfo.php?workbook=14_13.xlsx&amp;sheet=U0&amp;row=2047&amp;col=6&amp;number=3.3&amp;sourceID=14","3.3")</f>
        <v>3.3</v>
      </c>
      <c r="G2047" s="4" t="str">
        <f>HYPERLINK("http://141.218.60.56/~jnz1568/getInfo.php?workbook=14_13.xlsx&amp;sheet=U0&amp;row=2047&amp;col=7&amp;number=0.0259&amp;sourceID=14","0.0259")</f>
        <v>0.0259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HYPERLINK("http://141.218.60.56/~jnz1568/getInfo.php?workbook=14_13.xlsx&amp;sheet=U0&amp;row=2048&amp;col=6&amp;number=3.4&amp;sourceID=14","3.4")</f>
        <v>3.4</v>
      </c>
      <c r="G2048" s="4" t="str">
        <f>HYPERLINK("http://141.218.60.56/~jnz1568/getInfo.php?workbook=14_13.xlsx&amp;sheet=U0&amp;row=2048&amp;col=7&amp;number=0.0259&amp;sourceID=14","0.0259")</f>
        <v>0.0259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HYPERLINK("http://141.218.60.56/~jnz1568/getInfo.php?workbook=14_13.xlsx&amp;sheet=U0&amp;row=2049&amp;col=6&amp;number=3.5&amp;sourceID=14","3.5")</f>
        <v>3.5</v>
      </c>
      <c r="G2049" s="4" t="str">
        <f>HYPERLINK("http://141.218.60.56/~jnz1568/getInfo.php?workbook=14_13.xlsx&amp;sheet=U0&amp;row=2049&amp;col=7&amp;number=0.0259&amp;sourceID=14","0.0259")</f>
        <v>0.0259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HYPERLINK("http://141.218.60.56/~jnz1568/getInfo.php?workbook=14_13.xlsx&amp;sheet=U0&amp;row=2050&amp;col=6&amp;number=3.6&amp;sourceID=14","3.6")</f>
        <v>3.6</v>
      </c>
      <c r="G2050" s="4" t="str">
        <f>HYPERLINK("http://141.218.60.56/~jnz1568/getInfo.php?workbook=14_13.xlsx&amp;sheet=U0&amp;row=2050&amp;col=7&amp;number=0.0259&amp;sourceID=14","0.0259")</f>
        <v>0.0259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HYPERLINK("http://141.218.60.56/~jnz1568/getInfo.php?workbook=14_13.xlsx&amp;sheet=U0&amp;row=2051&amp;col=6&amp;number=3.7&amp;sourceID=14","3.7")</f>
        <v>3.7</v>
      </c>
      <c r="G2051" s="4" t="str">
        <f>HYPERLINK("http://141.218.60.56/~jnz1568/getInfo.php?workbook=14_13.xlsx&amp;sheet=U0&amp;row=2051&amp;col=7&amp;number=0.0258&amp;sourceID=14","0.0258")</f>
        <v>0.0258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HYPERLINK("http://141.218.60.56/~jnz1568/getInfo.php?workbook=14_13.xlsx&amp;sheet=U0&amp;row=2052&amp;col=6&amp;number=3.8&amp;sourceID=14","3.8")</f>
        <v>3.8</v>
      </c>
      <c r="G2052" s="4" t="str">
        <f>HYPERLINK("http://141.218.60.56/~jnz1568/getInfo.php?workbook=14_13.xlsx&amp;sheet=U0&amp;row=2052&amp;col=7&amp;number=0.0258&amp;sourceID=14","0.0258")</f>
        <v>0.0258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HYPERLINK("http://141.218.60.56/~jnz1568/getInfo.php?workbook=14_13.xlsx&amp;sheet=U0&amp;row=2053&amp;col=6&amp;number=3.9&amp;sourceID=14","3.9")</f>
        <v>3.9</v>
      </c>
      <c r="G2053" s="4" t="str">
        <f>HYPERLINK("http://141.218.60.56/~jnz1568/getInfo.php?workbook=14_13.xlsx&amp;sheet=U0&amp;row=2053&amp;col=7&amp;number=0.0258&amp;sourceID=14","0.0258")</f>
        <v>0.0258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HYPERLINK("http://141.218.60.56/~jnz1568/getInfo.php?workbook=14_13.xlsx&amp;sheet=U0&amp;row=2054&amp;col=6&amp;number=4&amp;sourceID=14","4")</f>
        <v>4</v>
      </c>
      <c r="G2054" s="4" t="str">
        <f>HYPERLINK("http://141.218.60.56/~jnz1568/getInfo.php?workbook=14_13.xlsx&amp;sheet=U0&amp;row=2054&amp;col=7&amp;number=0.0257&amp;sourceID=14","0.0257")</f>
        <v>0.0257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HYPERLINK("http://141.218.60.56/~jnz1568/getInfo.php?workbook=14_13.xlsx&amp;sheet=U0&amp;row=2055&amp;col=6&amp;number=4.1&amp;sourceID=14","4.1")</f>
        <v>4.1</v>
      </c>
      <c r="G2055" s="4" t="str">
        <f>HYPERLINK("http://141.218.60.56/~jnz1568/getInfo.php?workbook=14_13.xlsx&amp;sheet=U0&amp;row=2055&amp;col=7&amp;number=0.0257&amp;sourceID=14","0.0257")</f>
        <v>0.0257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HYPERLINK("http://141.218.60.56/~jnz1568/getInfo.php?workbook=14_13.xlsx&amp;sheet=U0&amp;row=2056&amp;col=6&amp;number=4.2&amp;sourceID=14","4.2")</f>
        <v>4.2</v>
      </c>
      <c r="G2056" s="4" t="str">
        <f>HYPERLINK("http://141.218.60.56/~jnz1568/getInfo.php?workbook=14_13.xlsx&amp;sheet=U0&amp;row=2056&amp;col=7&amp;number=0.0256&amp;sourceID=14","0.0256")</f>
        <v>0.0256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HYPERLINK("http://141.218.60.56/~jnz1568/getInfo.php?workbook=14_13.xlsx&amp;sheet=U0&amp;row=2057&amp;col=6&amp;number=4.3&amp;sourceID=14","4.3")</f>
        <v>4.3</v>
      </c>
      <c r="G2057" s="4" t="str">
        <f>HYPERLINK("http://141.218.60.56/~jnz1568/getInfo.php?workbook=14_13.xlsx&amp;sheet=U0&amp;row=2057&amp;col=7&amp;number=0.0255&amp;sourceID=14","0.0255")</f>
        <v>0.0255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HYPERLINK("http://141.218.60.56/~jnz1568/getInfo.php?workbook=14_13.xlsx&amp;sheet=U0&amp;row=2058&amp;col=6&amp;number=4.4&amp;sourceID=14","4.4")</f>
        <v>4.4</v>
      </c>
      <c r="G2058" s="4" t="str">
        <f>HYPERLINK("http://141.218.60.56/~jnz1568/getInfo.php?workbook=14_13.xlsx&amp;sheet=U0&amp;row=2058&amp;col=7&amp;number=0.0254&amp;sourceID=14","0.0254")</f>
        <v>0.0254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HYPERLINK("http://141.218.60.56/~jnz1568/getInfo.php?workbook=14_13.xlsx&amp;sheet=U0&amp;row=2059&amp;col=6&amp;number=4.5&amp;sourceID=14","4.5")</f>
        <v>4.5</v>
      </c>
      <c r="G2059" s="4" t="str">
        <f>HYPERLINK("http://141.218.60.56/~jnz1568/getInfo.php?workbook=14_13.xlsx&amp;sheet=U0&amp;row=2059&amp;col=7&amp;number=0.0253&amp;sourceID=14","0.0253")</f>
        <v>0.0253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HYPERLINK("http://141.218.60.56/~jnz1568/getInfo.php?workbook=14_13.xlsx&amp;sheet=U0&amp;row=2060&amp;col=6&amp;number=4.6&amp;sourceID=14","4.6")</f>
        <v>4.6</v>
      </c>
      <c r="G2060" s="4" t="str">
        <f>HYPERLINK("http://141.218.60.56/~jnz1568/getInfo.php?workbook=14_13.xlsx&amp;sheet=U0&amp;row=2060&amp;col=7&amp;number=0.0252&amp;sourceID=14","0.0252")</f>
        <v>0.0252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HYPERLINK("http://141.218.60.56/~jnz1568/getInfo.php?workbook=14_13.xlsx&amp;sheet=U0&amp;row=2061&amp;col=6&amp;number=4.7&amp;sourceID=14","4.7")</f>
        <v>4.7</v>
      </c>
      <c r="G2061" s="4" t="str">
        <f>HYPERLINK("http://141.218.60.56/~jnz1568/getInfo.php?workbook=14_13.xlsx&amp;sheet=U0&amp;row=2061&amp;col=7&amp;number=0.0249&amp;sourceID=14","0.0249")</f>
        <v>0.0249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HYPERLINK("http://141.218.60.56/~jnz1568/getInfo.php?workbook=14_13.xlsx&amp;sheet=U0&amp;row=2062&amp;col=6&amp;number=4.8&amp;sourceID=14","4.8")</f>
        <v>4.8</v>
      </c>
      <c r="G2062" s="4" t="str">
        <f>HYPERLINK("http://141.218.60.56/~jnz1568/getInfo.php?workbook=14_13.xlsx&amp;sheet=U0&amp;row=2062&amp;col=7&amp;number=0.0244&amp;sourceID=14","0.0244")</f>
        <v>0.0244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HYPERLINK("http://141.218.60.56/~jnz1568/getInfo.php?workbook=14_13.xlsx&amp;sheet=U0&amp;row=2063&amp;col=6&amp;number=4.9&amp;sourceID=14","4.9")</f>
        <v>4.9</v>
      </c>
      <c r="G2063" s="4" t="str">
        <f>HYPERLINK("http://141.218.60.56/~jnz1568/getInfo.php?workbook=14_13.xlsx&amp;sheet=U0&amp;row=2063&amp;col=7&amp;number=0.0235&amp;sourceID=14","0.0235")</f>
        <v>0.0235</v>
      </c>
    </row>
    <row r="2064" spans="1:7">
      <c r="A2064" s="3">
        <v>14</v>
      </c>
      <c r="B2064" s="3">
        <v>13</v>
      </c>
      <c r="C2064" s="3">
        <v>4</v>
      </c>
      <c r="D2064" s="3">
        <v>27</v>
      </c>
      <c r="E2064" s="3">
        <v>1</v>
      </c>
      <c r="F2064" s="4" t="str">
        <f>HYPERLINK("http://141.218.60.56/~jnz1568/getInfo.php?workbook=14_13.xlsx&amp;sheet=U0&amp;row=2064&amp;col=6&amp;number=3&amp;sourceID=14","3")</f>
        <v>3</v>
      </c>
      <c r="G2064" s="4" t="str">
        <f>HYPERLINK("http://141.218.60.56/~jnz1568/getInfo.php?workbook=14_13.xlsx&amp;sheet=U0&amp;row=2064&amp;col=7&amp;number=0.0282&amp;sourceID=14","0.0282")</f>
        <v>0.0282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HYPERLINK("http://141.218.60.56/~jnz1568/getInfo.php?workbook=14_13.xlsx&amp;sheet=U0&amp;row=2065&amp;col=6&amp;number=3.1&amp;sourceID=14","3.1")</f>
        <v>3.1</v>
      </c>
      <c r="G2065" s="4" t="str">
        <f>HYPERLINK("http://141.218.60.56/~jnz1568/getInfo.php?workbook=14_13.xlsx&amp;sheet=U0&amp;row=2065&amp;col=7&amp;number=0.0282&amp;sourceID=14","0.0282")</f>
        <v>0.0282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HYPERLINK("http://141.218.60.56/~jnz1568/getInfo.php?workbook=14_13.xlsx&amp;sheet=U0&amp;row=2066&amp;col=6&amp;number=3.2&amp;sourceID=14","3.2")</f>
        <v>3.2</v>
      </c>
      <c r="G2066" s="4" t="str">
        <f>HYPERLINK("http://141.218.60.56/~jnz1568/getInfo.php?workbook=14_13.xlsx&amp;sheet=U0&amp;row=2066&amp;col=7&amp;number=0.0281&amp;sourceID=14","0.0281")</f>
        <v>0.0281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HYPERLINK("http://141.218.60.56/~jnz1568/getInfo.php?workbook=14_13.xlsx&amp;sheet=U0&amp;row=2067&amp;col=6&amp;number=3.3&amp;sourceID=14","3.3")</f>
        <v>3.3</v>
      </c>
      <c r="G2067" s="4" t="str">
        <f>HYPERLINK("http://141.218.60.56/~jnz1568/getInfo.php?workbook=14_13.xlsx&amp;sheet=U0&amp;row=2067&amp;col=7&amp;number=0.0281&amp;sourceID=14","0.0281")</f>
        <v>0.0281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HYPERLINK("http://141.218.60.56/~jnz1568/getInfo.php?workbook=14_13.xlsx&amp;sheet=U0&amp;row=2068&amp;col=6&amp;number=3.4&amp;sourceID=14","3.4")</f>
        <v>3.4</v>
      </c>
      <c r="G2068" s="4" t="str">
        <f>HYPERLINK("http://141.218.60.56/~jnz1568/getInfo.php?workbook=14_13.xlsx&amp;sheet=U0&amp;row=2068&amp;col=7&amp;number=0.028&amp;sourceID=14","0.028")</f>
        <v>0.028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HYPERLINK("http://141.218.60.56/~jnz1568/getInfo.php?workbook=14_13.xlsx&amp;sheet=U0&amp;row=2069&amp;col=6&amp;number=3.5&amp;sourceID=14","3.5")</f>
        <v>3.5</v>
      </c>
      <c r="G2069" s="4" t="str">
        <f>HYPERLINK("http://141.218.60.56/~jnz1568/getInfo.php?workbook=14_13.xlsx&amp;sheet=U0&amp;row=2069&amp;col=7&amp;number=0.0279&amp;sourceID=14","0.0279")</f>
        <v>0.0279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HYPERLINK("http://141.218.60.56/~jnz1568/getInfo.php?workbook=14_13.xlsx&amp;sheet=U0&amp;row=2070&amp;col=6&amp;number=3.6&amp;sourceID=14","3.6")</f>
        <v>3.6</v>
      </c>
      <c r="G2070" s="4" t="str">
        <f>HYPERLINK("http://141.218.60.56/~jnz1568/getInfo.php?workbook=14_13.xlsx&amp;sheet=U0&amp;row=2070&amp;col=7&amp;number=0.0279&amp;sourceID=14","0.0279")</f>
        <v>0.0279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HYPERLINK("http://141.218.60.56/~jnz1568/getInfo.php?workbook=14_13.xlsx&amp;sheet=U0&amp;row=2071&amp;col=6&amp;number=3.7&amp;sourceID=14","3.7")</f>
        <v>3.7</v>
      </c>
      <c r="G2071" s="4" t="str">
        <f>HYPERLINK("http://141.218.60.56/~jnz1568/getInfo.php?workbook=14_13.xlsx&amp;sheet=U0&amp;row=2071&amp;col=7&amp;number=0.0278&amp;sourceID=14","0.0278")</f>
        <v>0.0278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HYPERLINK("http://141.218.60.56/~jnz1568/getInfo.php?workbook=14_13.xlsx&amp;sheet=U0&amp;row=2072&amp;col=6&amp;number=3.8&amp;sourceID=14","3.8")</f>
        <v>3.8</v>
      </c>
      <c r="G2072" s="4" t="str">
        <f>HYPERLINK("http://141.218.60.56/~jnz1568/getInfo.php?workbook=14_13.xlsx&amp;sheet=U0&amp;row=2072&amp;col=7&amp;number=0.0278&amp;sourceID=14","0.0278")</f>
        <v>0.0278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HYPERLINK("http://141.218.60.56/~jnz1568/getInfo.php?workbook=14_13.xlsx&amp;sheet=U0&amp;row=2073&amp;col=6&amp;number=3.9&amp;sourceID=14","3.9")</f>
        <v>3.9</v>
      </c>
      <c r="G2073" s="4" t="str">
        <f>HYPERLINK("http://141.218.60.56/~jnz1568/getInfo.php?workbook=14_13.xlsx&amp;sheet=U0&amp;row=2073&amp;col=7&amp;number=0.0278&amp;sourceID=14","0.0278")</f>
        <v>0.0278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HYPERLINK("http://141.218.60.56/~jnz1568/getInfo.php?workbook=14_13.xlsx&amp;sheet=U0&amp;row=2074&amp;col=6&amp;number=4&amp;sourceID=14","4")</f>
        <v>4</v>
      </c>
      <c r="G2074" s="4" t="str">
        <f>HYPERLINK("http://141.218.60.56/~jnz1568/getInfo.php?workbook=14_13.xlsx&amp;sheet=U0&amp;row=2074&amp;col=7&amp;number=0.0278&amp;sourceID=14","0.0278")</f>
        <v>0.0278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HYPERLINK("http://141.218.60.56/~jnz1568/getInfo.php?workbook=14_13.xlsx&amp;sheet=U0&amp;row=2075&amp;col=6&amp;number=4.1&amp;sourceID=14","4.1")</f>
        <v>4.1</v>
      </c>
      <c r="G2075" s="4" t="str">
        <f>HYPERLINK("http://141.218.60.56/~jnz1568/getInfo.php?workbook=14_13.xlsx&amp;sheet=U0&amp;row=2075&amp;col=7&amp;number=0.0277&amp;sourceID=14","0.0277")</f>
        <v>0.0277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HYPERLINK("http://141.218.60.56/~jnz1568/getInfo.php?workbook=14_13.xlsx&amp;sheet=U0&amp;row=2076&amp;col=6&amp;number=4.2&amp;sourceID=14","4.2")</f>
        <v>4.2</v>
      </c>
      <c r="G2076" s="4" t="str">
        <f>HYPERLINK("http://141.218.60.56/~jnz1568/getInfo.php?workbook=14_13.xlsx&amp;sheet=U0&amp;row=2076&amp;col=7&amp;number=0.0277&amp;sourceID=14","0.0277")</f>
        <v>0.0277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HYPERLINK("http://141.218.60.56/~jnz1568/getInfo.php?workbook=14_13.xlsx&amp;sheet=U0&amp;row=2077&amp;col=6&amp;number=4.3&amp;sourceID=14","4.3")</f>
        <v>4.3</v>
      </c>
      <c r="G2077" s="4" t="str">
        <f>HYPERLINK("http://141.218.60.56/~jnz1568/getInfo.php?workbook=14_13.xlsx&amp;sheet=U0&amp;row=2077&amp;col=7&amp;number=0.0276&amp;sourceID=14","0.0276")</f>
        <v>0.0276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HYPERLINK("http://141.218.60.56/~jnz1568/getInfo.php?workbook=14_13.xlsx&amp;sheet=U0&amp;row=2078&amp;col=6&amp;number=4.4&amp;sourceID=14","4.4")</f>
        <v>4.4</v>
      </c>
      <c r="G2078" s="4" t="str">
        <f>HYPERLINK("http://141.218.60.56/~jnz1568/getInfo.php?workbook=14_13.xlsx&amp;sheet=U0&amp;row=2078&amp;col=7&amp;number=0.0276&amp;sourceID=14","0.0276")</f>
        <v>0.0276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HYPERLINK("http://141.218.60.56/~jnz1568/getInfo.php?workbook=14_13.xlsx&amp;sheet=U0&amp;row=2079&amp;col=6&amp;number=4.5&amp;sourceID=14","4.5")</f>
        <v>4.5</v>
      </c>
      <c r="G2079" s="4" t="str">
        <f>HYPERLINK("http://141.218.60.56/~jnz1568/getInfo.php?workbook=14_13.xlsx&amp;sheet=U0&amp;row=2079&amp;col=7&amp;number=0.0274&amp;sourceID=14","0.0274")</f>
        <v>0.0274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HYPERLINK("http://141.218.60.56/~jnz1568/getInfo.php?workbook=14_13.xlsx&amp;sheet=U0&amp;row=2080&amp;col=6&amp;number=4.6&amp;sourceID=14","4.6")</f>
        <v>4.6</v>
      </c>
      <c r="G2080" s="4" t="str">
        <f>HYPERLINK("http://141.218.60.56/~jnz1568/getInfo.php?workbook=14_13.xlsx&amp;sheet=U0&amp;row=2080&amp;col=7&amp;number=0.0272&amp;sourceID=14","0.0272")</f>
        <v>0.0272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HYPERLINK("http://141.218.60.56/~jnz1568/getInfo.php?workbook=14_13.xlsx&amp;sheet=U0&amp;row=2081&amp;col=6&amp;number=4.7&amp;sourceID=14","4.7")</f>
        <v>4.7</v>
      </c>
      <c r="G2081" s="4" t="str">
        <f>HYPERLINK("http://141.218.60.56/~jnz1568/getInfo.php?workbook=14_13.xlsx&amp;sheet=U0&amp;row=2081&amp;col=7&amp;number=0.0269&amp;sourceID=14","0.0269")</f>
        <v>0.0269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HYPERLINK("http://141.218.60.56/~jnz1568/getInfo.php?workbook=14_13.xlsx&amp;sheet=U0&amp;row=2082&amp;col=6&amp;number=4.8&amp;sourceID=14","4.8")</f>
        <v>4.8</v>
      </c>
      <c r="G2082" s="4" t="str">
        <f>HYPERLINK("http://141.218.60.56/~jnz1568/getInfo.php?workbook=14_13.xlsx&amp;sheet=U0&amp;row=2082&amp;col=7&amp;number=0.0263&amp;sourceID=14","0.0263")</f>
        <v>0.0263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HYPERLINK("http://141.218.60.56/~jnz1568/getInfo.php?workbook=14_13.xlsx&amp;sheet=U0&amp;row=2083&amp;col=6&amp;number=4.9&amp;sourceID=14","4.9")</f>
        <v>4.9</v>
      </c>
      <c r="G2083" s="4" t="str">
        <f>HYPERLINK("http://141.218.60.56/~jnz1568/getInfo.php?workbook=14_13.xlsx&amp;sheet=U0&amp;row=2083&amp;col=7&amp;number=0.0254&amp;sourceID=14","0.0254")</f>
        <v>0.0254</v>
      </c>
    </row>
    <row r="2084" spans="1:7">
      <c r="A2084" s="3">
        <v>14</v>
      </c>
      <c r="B2084" s="3">
        <v>13</v>
      </c>
      <c r="C2084" s="3">
        <v>4</v>
      </c>
      <c r="D2084" s="3">
        <v>28</v>
      </c>
      <c r="E2084" s="3">
        <v>1</v>
      </c>
      <c r="F2084" s="4" t="str">
        <f>HYPERLINK("http://141.218.60.56/~jnz1568/getInfo.php?workbook=14_13.xlsx&amp;sheet=U0&amp;row=2084&amp;col=6&amp;number=3&amp;sourceID=14","3")</f>
        <v>3</v>
      </c>
      <c r="G2084" s="4" t="str">
        <f>HYPERLINK("http://141.218.60.56/~jnz1568/getInfo.php?workbook=14_13.xlsx&amp;sheet=U0&amp;row=2084&amp;col=7&amp;number=0.00633&amp;sourceID=14","0.00633")</f>
        <v>0.00633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HYPERLINK("http://141.218.60.56/~jnz1568/getInfo.php?workbook=14_13.xlsx&amp;sheet=U0&amp;row=2085&amp;col=6&amp;number=3.1&amp;sourceID=14","3.1")</f>
        <v>3.1</v>
      </c>
      <c r="G2085" s="4" t="str">
        <f>HYPERLINK("http://141.218.60.56/~jnz1568/getInfo.php?workbook=14_13.xlsx&amp;sheet=U0&amp;row=2085&amp;col=7&amp;number=0.00632&amp;sourceID=14","0.00632")</f>
        <v>0.00632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HYPERLINK("http://141.218.60.56/~jnz1568/getInfo.php?workbook=14_13.xlsx&amp;sheet=U0&amp;row=2086&amp;col=6&amp;number=3.2&amp;sourceID=14","3.2")</f>
        <v>3.2</v>
      </c>
      <c r="G2086" s="4" t="str">
        <f>HYPERLINK("http://141.218.60.56/~jnz1568/getInfo.php?workbook=14_13.xlsx&amp;sheet=U0&amp;row=2086&amp;col=7&amp;number=0.00632&amp;sourceID=14","0.00632")</f>
        <v>0.00632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HYPERLINK("http://141.218.60.56/~jnz1568/getInfo.php?workbook=14_13.xlsx&amp;sheet=U0&amp;row=2087&amp;col=6&amp;number=3.3&amp;sourceID=14","3.3")</f>
        <v>3.3</v>
      </c>
      <c r="G2087" s="4" t="str">
        <f>HYPERLINK("http://141.218.60.56/~jnz1568/getInfo.php?workbook=14_13.xlsx&amp;sheet=U0&amp;row=2087&amp;col=7&amp;number=0.00631&amp;sourceID=14","0.00631")</f>
        <v>0.00631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HYPERLINK("http://141.218.60.56/~jnz1568/getInfo.php?workbook=14_13.xlsx&amp;sheet=U0&amp;row=2088&amp;col=6&amp;number=3.4&amp;sourceID=14","3.4")</f>
        <v>3.4</v>
      </c>
      <c r="G2088" s="4" t="str">
        <f>HYPERLINK("http://141.218.60.56/~jnz1568/getInfo.php?workbook=14_13.xlsx&amp;sheet=U0&amp;row=2088&amp;col=7&amp;number=0.0063&amp;sourceID=14","0.0063")</f>
        <v>0.0063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HYPERLINK("http://141.218.60.56/~jnz1568/getInfo.php?workbook=14_13.xlsx&amp;sheet=U0&amp;row=2089&amp;col=6&amp;number=3.5&amp;sourceID=14","3.5")</f>
        <v>3.5</v>
      </c>
      <c r="G2089" s="4" t="str">
        <f>HYPERLINK("http://141.218.60.56/~jnz1568/getInfo.php?workbook=14_13.xlsx&amp;sheet=U0&amp;row=2089&amp;col=7&amp;number=0.00629&amp;sourceID=14","0.00629")</f>
        <v>0.00629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HYPERLINK("http://141.218.60.56/~jnz1568/getInfo.php?workbook=14_13.xlsx&amp;sheet=U0&amp;row=2090&amp;col=6&amp;number=3.6&amp;sourceID=14","3.6")</f>
        <v>3.6</v>
      </c>
      <c r="G2090" s="4" t="str">
        <f>HYPERLINK("http://141.218.60.56/~jnz1568/getInfo.php?workbook=14_13.xlsx&amp;sheet=U0&amp;row=2090&amp;col=7&amp;number=0.00628&amp;sourceID=14","0.00628")</f>
        <v>0.00628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HYPERLINK("http://141.218.60.56/~jnz1568/getInfo.php?workbook=14_13.xlsx&amp;sheet=U0&amp;row=2091&amp;col=6&amp;number=3.7&amp;sourceID=14","3.7")</f>
        <v>3.7</v>
      </c>
      <c r="G2091" s="4" t="str">
        <f>HYPERLINK("http://141.218.60.56/~jnz1568/getInfo.php?workbook=14_13.xlsx&amp;sheet=U0&amp;row=2091&amp;col=7&amp;number=0.00627&amp;sourceID=14","0.00627")</f>
        <v>0.00627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HYPERLINK("http://141.218.60.56/~jnz1568/getInfo.php?workbook=14_13.xlsx&amp;sheet=U0&amp;row=2092&amp;col=6&amp;number=3.8&amp;sourceID=14","3.8")</f>
        <v>3.8</v>
      </c>
      <c r="G2092" s="4" t="str">
        <f>HYPERLINK("http://141.218.60.56/~jnz1568/getInfo.php?workbook=14_13.xlsx&amp;sheet=U0&amp;row=2092&amp;col=7&amp;number=0.00626&amp;sourceID=14","0.00626")</f>
        <v>0.00626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HYPERLINK("http://141.218.60.56/~jnz1568/getInfo.php?workbook=14_13.xlsx&amp;sheet=U0&amp;row=2093&amp;col=6&amp;number=3.9&amp;sourceID=14","3.9")</f>
        <v>3.9</v>
      </c>
      <c r="G2093" s="4" t="str">
        <f>HYPERLINK("http://141.218.60.56/~jnz1568/getInfo.php?workbook=14_13.xlsx&amp;sheet=U0&amp;row=2093&amp;col=7&amp;number=0.00625&amp;sourceID=14","0.00625")</f>
        <v>0.00625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HYPERLINK("http://141.218.60.56/~jnz1568/getInfo.php?workbook=14_13.xlsx&amp;sheet=U0&amp;row=2094&amp;col=6&amp;number=4&amp;sourceID=14","4")</f>
        <v>4</v>
      </c>
      <c r="G2094" s="4" t="str">
        <f>HYPERLINK("http://141.218.60.56/~jnz1568/getInfo.php?workbook=14_13.xlsx&amp;sheet=U0&amp;row=2094&amp;col=7&amp;number=0.00625&amp;sourceID=14","0.00625")</f>
        <v>0.00625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HYPERLINK("http://141.218.60.56/~jnz1568/getInfo.php?workbook=14_13.xlsx&amp;sheet=U0&amp;row=2095&amp;col=6&amp;number=4.1&amp;sourceID=14","4.1")</f>
        <v>4.1</v>
      </c>
      <c r="G2095" s="4" t="str">
        <f>HYPERLINK("http://141.218.60.56/~jnz1568/getInfo.php?workbook=14_13.xlsx&amp;sheet=U0&amp;row=2095&amp;col=7&amp;number=0.00625&amp;sourceID=14","0.00625")</f>
        <v>0.00625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HYPERLINK("http://141.218.60.56/~jnz1568/getInfo.php?workbook=14_13.xlsx&amp;sheet=U0&amp;row=2096&amp;col=6&amp;number=4.2&amp;sourceID=14","4.2")</f>
        <v>4.2</v>
      </c>
      <c r="G2096" s="4" t="str">
        <f>HYPERLINK("http://141.218.60.56/~jnz1568/getInfo.php?workbook=14_13.xlsx&amp;sheet=U0&amp;row=2096&amp;col=7&amp;number=0.00624&amp;sourceID=14","0.00624")</f>
        <v>0.00624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HYPERLINK("http://141.218.60.56/~jnz1568/getInfo.php?workbook=14_13.xlsx&amp;sheet=U0&amp;row=2097&amp;col=6&amp;number=4.3&amp;sourceID=14","4.3")</f>
        <v>4.3</v>
      </c>
      <c r="G2097" s="4" t="str">
        <f>HYPERLINK("http://141.218.60.56/~jnz1568/getInfo.php?workbook=14_13.xlsx&amp;sheet=U0&amp;row=2097&amp;col=7&amp;number=0.00623&amp;sourceID=14","0.00623")</f>
        <v>0.00623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HYPERLINK("http://141.218.60.56/~jnz1568/getInfo.php?workbook=14_13.xlsx&amp;sheet=U0&amp;row=2098&amp;col=6&amp;number=4.4&amp;sourceID=14","4.4")</f>
        <v>4.4</v>
      </c>
      <c r="G2098" s="4" t="str">
        <f>HYPERLINK("http://141.218.60.56/~jnz1568/getInfo.php?workbook=14_13.xlsx&amp;sheet=U0&amp;row=2098&amp;col=7&amp;number=0.00622&amp;sourceID=14","0.00622")</f>
        <v>0.00622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HYPERLINK("http://141.218.60.56/~jnz1568/getInfo.php?workbook=14_13.xlsx&amp;sheet=U0&amp;row=2099&amp;col=6&amp;number=4.5&amp;sourceID=14","4.5")</f>
        <v>4.5</v>
      </c>
      <c r="G2099" s="4" t="str">
        <f>HYPERLINK("http://141.218.60.56/~jnz1568/getInfo.php?workbook=14_13.xlsx&amp;sheet=U0&amp;row=2099&amp;col=7&amp;number=0.00621&amp;sourceID=14","0.00621")</f>
        <v>0.00621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HYPERLINK("http://141.218.60.56/~jnz1568/getInfo.php?workbook=14_13.xlsx&amp;sheet=U0&amp;row=2100&amp;col=6&amp;number=4.6&amp;sourceID=14","4.6")</f>
        <v>4.6</v>
      </c>
      <c r="G2100" s="4" t="str">
        <f>HYPERLINK("http://141.218.60.56/~jnz1568/getInfo.php?workbook=14_13.xlsx&amp;sheet=U0&amp;row=2100&amp;col=7&amp;number=0.00618&amp;sourceID=14","0.00618")</f>
        <v>0.00618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HYPERLINK("http://141.218.60.56/~jnz1568/getInfo.php?workbook=14_13.xlsx&amp;sheet=U0&amp;row=2101&amp;col=6&amp;number=4.7&amp;sourceID=14","4.7")</f>
        <v>4.7</v>
      </c>
      <c r="G2101" s="4" t="str">
        <f>HYPERLINK("http://141.218.60.56/~jnz1568/getInfo.php?workbook=14_13.xlsx&amp;sheet=U0&amp;row=2101&amp;col=7&amp;number=0.00613&amp;sourceID=14","0.00613")</f>
        <v>0.00613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HYPERLINK("http://141.218.60.56/~jnz1568/getInfo.php?workbook=14_13.xlsx&amp;sheet=U0&amp;row=2102&amp;col=6&amp;number=4.8&amp;sourceID=14","4.8")</f>
        <v>4.8</v>
      </c>
      <c r="G2102" s="4" t="str">
        <f>HYPERLINK("http://141.218.60.56/~jnz1568/getInfo.php?workbook=14_13.xlsx&amp;sheet=U0&amp;row=2102&amp;col=7&amp;number=0.00605&amp;sourceID=14","0.00605")</f>
        <v>0.00605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HYPERLINK("http://141.218.60.56/~jnz1568/getInfo.php?workbook=14_13.xlsx&amp;sheet=U0&amp;row=2103&amp;col=6&amp;number=4.9&amp;sourceID=14","4.9")</f>
        <v>4.9</v>
      </c>
      <c r="G2103" s="4" t="str">
        <f>HYPERLINK("http://141.218.60.56/~jnz1568/getInfo.php?workbook=14_13.xlsx&amp;sheet=U0&amp;row=2103&amp;col=7&amp;number=0.00591&amp;sourceID=14","0.00591")</f>
        <v>0.00591</v>
      </c>
    </row>
    <row r="2104" spans="1:7">
      <c r="A2104" s="3">
        <v>14</v>
      </c>
      <c r="B2104" s="3">
        <v>13</v>
      </c>
      <c r="C2104" s="3">
        <v>4</v>
      </c>
      <c r="D2104" s="3">
        <v>29</v>
      </c>
      <c r="E2104" s="3">
        <v>1</v>
      </c>
      <c r="F2104" s="4" t="str">
        <f>HYPERLINK("http://141.218.60.56/~jnz1568/getInfo.php?workbook=14_13.xlsx&amp;sheet=U0&amp;row=2104&amp;col=6&amp;number=3&amp;sourceID=14","3")</f>
        <v>3</v>
      </c>
      <c r="G2104" s="4" t="str">
        <f>HYPERLINK("http://141.218.60.56/~jnz1568/getInfo.php?workbook=14_13.xlsx&amp;sheet=U0&amp;row=2104&amp;col=7&amp;number=0.0103&amp;sourceID=14","0.0103")</f>
        <v>0.0103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HYPERLINK("http://141.218.60.56/~jnz1568/getInfo.php?workbook=14_13.xlsx&amp;sheet=U0&amp;row=2105&amp;col=6&amp;number=3.1&amp;sourceID=14","3.1")</f>
        <v>3.1</v>
      </c>
      <c r="G2105" s="4" t="str">
        <f>HYPERLINK("http://141.218.60.56/~jnz1568/getInfo.php?workbook=14_13.xlsx&amp;sheet=U0&amp;row=2105&amp;col=7&amp;number=0.0103&amp;sourceID=14","0.0103")</f>
        <v>0.0103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HYPERLINK("http://141.218.60.56/~jnz1568/getInfo.php?workbook=14_13.xlsx&amp;sheet=U0&amp;row=2106&amp;col=6&amp;number=3.2&amp;sourceID=14","3.2")</f>
        <v>3.2</v>
      </c>
      <c r="G2106" s="4" t="str">
        <f>HYPERLINK("http://141.218.60.56/~jnz1568/getInfo.php?workbook=14_13.xlsx&amp;sheet=U0&amp;row=2106&amp;col=7&amp;number=0.0103&amp;sourceID=14","0.0103")</f>
        <v>0.0103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HYPERLINK("http://141.218.60.56/~jnz1568/getInfo.php?workbook=14_13.xlsx&amp;sheet=U0&amp;row=2107&amp;col=6&amp;number=3.3&amp;sourceID=14","3.3")</f>
        <v>3.3</v>
      </c>
      <c r="G2107" s="4" t="str">
        <f>HYPERLINK("http://141.218.60.56/~jnz1568/getInfo.php?workbook=14_13.xlsx&amp;sheet=U0&amp;row=2107&amp;col=7&amp;number=0.0103&amp;sourceID=14","0.0103")</f>
        <v>0.0103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HYPERLINK("http://141.218.60.56/~jnz1568/getInfo.php?workbook=14_13.xlsx&amp;sheet=U0&amp;row=2108&amp;col=6&amp;number=3.4&amp;sourceID=14","3.4")</f>
        <v>3.4</v>
      </c>
      <c r="G2108" s="4" t="str">
        <f>HYPERLINK("http://141.218.60.56/~jnz1568/getInfo.php?workbook=14_13.xlsx&amp;sheet=U0&amp;row=2108&amp;col=7&amp;number=0.0103&amp;sourceID=14","0.0103")</f>
        <v>0.0103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HYPERLINK("http://141.218.60.56/~jnz1568/getInfo.php?workbook=14_13.xlsx&amp;sheet=U0&amp;row=2109&amp;col=6&amp;number=3.5&amp;sourceID=14","3.5")</f>
        <v>3.5</v>
      </c>
      <c r="G2109" s="4" t="str">
        <f>HYPERLINK("http://141.218.60.56/~jnz1568/getInfo.php?workbook=14_13.xlsx&amp;sheet=U0&amp;row=2109&amp;col=7&amp;number=0.0103&amp;sourceID=14","0.0103")</f>
        <v>0.0103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HYPERLINK("http://141.218.60.56/~jnz1568/getInfo.php?workbook=14_13.xlsx&amp;sheet=U0&amp;row=2110&amp;col=6&amp;number=3.6&amp;sourceID=14","3.6")</f>
        <v>3.6</v>
      </c>
      <c r="G2110" s="4" t="str">
        <f>HYPERLINK("http://141.218.60.56/~jnz1568/getInfo.php?workbook=14_13.xlsx&amp;sheet=U0&amp;row=2110&amp;col=7&amp;number=0.0103&amp;sourceID=14","0.0103")</f>
        <v>0.0103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HYPERLINK("http://141.218.60.56/~jnz1568/getInfo.php?workbook=14_13.xlsx&amp;sheet=U0&amp;row=2111&amp;col=6&amp;number=3.7&amp;sourceID=14","3.7")</f>
        <v>3.7</v>
      </c>
      <c r="G2111" s="4" t="str">
        <f>HYPERLINK("http://141.218.60.56/~jnz1568/getInfo.php?workbook=14_13.xlsx&amp;sheet=U0&amp;row=2111&amp;col=7&amp;number=0.0103&amp;sourceID=14","0.0103")</f>
        <v>0.0103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HYPERLINK("http://141.218.60.56/~jnz1568/getInfo.php?workbook=14_13.xlsx&amp;sheet=U0&amp;row=2112&amp;col=6&amp;number=3.8&amp;sourceID=14","3.8")</f>
        <v>3.8</v>
      </c>
      <c r="G2112" s="4" t="str">
        <f>HYPERLINK("http://141.218.60.56/~jnz1568/getInfo.php?workbook=14_13.xlsx&amp;sheet=U0&amp;row=2112&amp;col=7&amp;number=0.0103&amp;sourceID=14","0.0103")</f>
        <v>0.0103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HYPERLINK("http://141.218.60.56/~jnz1568/getInfo.php?workbook=14_13.xlsx&amp;sheet=U0&amp;row=2113&amp;col=6&amp;number=3.9&amp;sourceID=14","3.9")</f>
        <v>3.9</v>
      </c>
      <c r="G2113" s="4" t="str">
        <f>HYPERLINK("http://141.218.60.56/~jnz1568/getInfo.php?workbook=14_13.xlsx&amp;sheet=U0&amp;row=2113&amp;col=7&amp;number=0.0103&amp;sourceID=14","0.0103")</f>
        <v>0.0103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HYPERLINK("http://141.218.60.56/~jnz1568/getInfo.php?workbook=14_13.xlsx&amp;sheet=U0&amp;row=2114&amp;col=6&amp;number=4&amp;sourceID=14","4")</f>
        <v>4</v>
      </c>
      <c r="G2114" s="4" t="str">
        <f>HYPERLINK("http://141.218.60.56/~jnz1568/getInfo.php?workbook=14_13.xlsx&amp;sheet=U0&amp;row=2114&amp;col=7&amp;number=0.0103&amp;sourceID=14","0.0103")</f>
        <v>0.0103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HYPERLINK("http://141.218.60.56/~jnz1568/getInfo.php?workbook=14_13.xlsx&amp;sheet=U0&amp;row=2115&amp;col=6&amp;number=4.1&amp;sourceID=14","4.1")</f>
        <v>4.1</v>
      </c>
      <c r="G2115" s="4" t="str">
        <f>HYPERLINK("http://141.218.60.56/~jnz1568/getInfo.php?workbook=14_13.xlsx&amp;sheet=U0&amp;row=2115&amp;col=7&amp;number=0.0103&amp;sourceID=14","0.0103")</f>
        <v>0.0103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HYPERLINK("http://141.218.60.56/~jnz1568/getInfo.php?workbook=14_13.xlsx&amp;sheet=U0&amp;row=2116&amp;col=6&amp;number=4.2&amp;sourceID=14","4.2")</f>
        <v>4.2</v>
      </c>
      <c r="G2116" s="4" t="str">
        <f>HYPERLINK("http://141.218.60.56/~jnz1568/getInfo.php?workbook=14_13.xlsx&amp;sheet=U0&amp;row=2116&amp;col=7&amp;number=0.0102&amp;sourceID=14","0.0102")</f>
        <v>0.0102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HYPERLINK("http://141.218.60.56/~jnz1568/getInfo.php?workbook=14_13.xlsx&amp;sheet=U0&amp;row=2117&amp;col=6&amp;number=4.3&amp;sourceID=14","4.3")</f>
        <v>4.3</v>
      </c>
      <c r="G2117" s="4" t="str">
        <f>HYPERLINK("http://141.218.60.56/~jnz1568/getInfo.php?workbook=14_13.xlsx&amp;sheet=U0&amp;row=2117&amp;col=7&amp;number=0.0102&amp;sourceID=14","0.0102")</f>
        <v>0.0102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HYPERLINK("http://141.218.60.56/~jnz1568/getInfo.php?workbook=14_13.xlsx&amp;sheet=U0&amp;row=2118&amp;col=6&amp;number=4.4&amp;sourceID=14","4.4")</f>
        <v>4.4</v>
      </c>
      <c r="G2118" s="4" t="str">
        <f>HYPERLINK("http://141.218.60.56/~jnz1568/getInfo.php?workbook=14_13.xlsx&amp;sheet=U0&amp;row=2118&amp;col=7&amp;number=0.0101&amp;sourceID=14","0.0101")</f>
        <v>0.0101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HYPERLINK("http://141.218.60.56/~jnz1568/getInfo.php?workbook=14_13.xlsx&amp;sheet=U0&amp;row=2119&amp;col=6&amp;number=4.5&amp;sourceID=14","4.5")</f>
        <v>4.5</v>
      </c>
      <c r="G2119" s="4" t="str">
        <f>HYPERLINK("http://141.218.60.56/~jnz1568/getInfo.php?workbook=14_13.xlsx&amp;sheet=U0&amp;row=2119&amp;col=7&amp;number=0.0101&amp;sourceID=14","0.0101")</f>
        <v>0.0101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HYPERLINK("http://141.218.60.56/~jnz1568/getInfo.php?workbook=14_13.xlsx&amp;sheet=U0&amp;row=2120&amp;col=6&amp;number=4.6&amp;sourceID=14","4.6")</f>
        <v>4.6</v>
      </c>
      <c r="G2120" s="4" t="str">
        <f>HYPERLINK("http://141.218.60.56/~jnz1568/getInfo.php?workbook=14_13.xlsx&amp;sheet=U0&amp;row=2120&amp;col=7&amp;number=0.01&amp;sourceID=14","0.01")</f>
        <v>0.01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HYPERLINK("http://141.218.60.56/~jnz1568/getInfo.php?workbook=14_13.xlsx&amp;sheet=U0&amp;row=2121&amp;col=6&amp;number=4.7&amp;sourceID=14","4.7")</f>
        <v>4.7</v>
      </c>
      <c r="G2121" s="4" t="str">
        <f>HYPERLINK("http://141.218.60.56/~jnz1568/getInfo.php?workbook=14_13.xlsx&amp;sheet=U0&amp;row=2121&amp;col=7&amp;number=0.00991&amp;sourceID=14","0.00991")</f>
        <v>0.00991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HYPERLINK("http://141.218.60.56/~jnz1568/getInfo.php?workbook=14_13.xlsx&amp;sheet=U0&amp;row=2122&amp;col=6&amp;number=4.8&amp;sourceID=14","4.8")</f>
        <v>4.8</v>
      </c>
      <c r="G2122" s="4" t="str">
        <f>HYPERLINK("http://141.218.60.56/~jnz1568/getInfo.php?workbook=14_13.xlsx&amp;sheet=U0&amp;row=2122&amp;col=7&amp;number=0.00976&amp;sourceID=14","0.00976")</f>
        <v>0.00976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HYPERLINK("http://141.218.60.56/~jnz1568/getInfo.php?workbook=14_13.xlsx&amp;sheet=U0&amp;row=2123&amp;col=6&amp;number=4.9&amp;sourceID=14","4.9")</f>
        <v>4.9</v>
      </c>
      <c r="G2123" s="4" t="str">
        <f>HYPERLINK("http://141.218.60.56/~jnz1568/getInfo.php?workbook=14_13.xlsx&amp;sheet=U0&amp;row=2123&amp;col=7&amp;number=0.00953&amp;sourceID=14","0.00953")</f>
        <v>0.00953</v>
      </c>
    </row>
    <row r="2124" spans="1:7">
      <c r="A2124" s="3">
        <v>14</v>
      </c>
      <c r="B2124" s="3">
        <v>13</v>
      </c>
      <c r="C2124" s="3">
        <v>5</v>
      </c>
      <c r="D2124" s="3">
        <v>6</v>
      </c>
      <c r="E2124" s="3">
        <v>1</v>
      </c>
      <c r="F2124" s="4" t="str">
        <f>HYPERLINK("http://141.218.60.56/~jnz1568/getInfo.php?workbook=14_13.xlsx&amp;sheet=U0&amp;row=2124&amp;col=6&amp;number=3&amp;sourceID=14","3")</f>
        <v>3</v>
      </c>
      <c r="G2124" s="4" t="str">
        <f>HYPERLINK("http://141.218.60.56/~jnz1568/getInfo.php?workbook=14_13.xlsx&amp;sheet=U0&amp;row=2124&amp;col=7&amp;number=1.2&amp;sourceID=14","1.2")</f>
        <v>1.2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HYPERLINK("http://141.218.60.56/~jnz1568/getInfo.php?workbook=14_13.xlsx&amp;sheet=U0&amp;row=2125&amp;col=6&amp;number=3.1&amp;sourceID=14","3.1")</f>
        <v>3.1</v>
      </c>
      <c r="G2125" s="4" t="str">
        <f>HYPERLINK("http://141.218.60.56/~jnz1568/getInfo.php?workbook=14_13.xlsx&amp;sheet=U0&amp;row=2125&amp;col=7&amp;number=1.24&amp;sourceID=14","1.24")</f>
        <v>1.24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HYPERLINK("http://141.218.60.56/~jnz1568/getInfo.php?workbook=14_13.xlsx&amp;sheet=U0&amp;row=2126&amp;col=6&amp;number=3.2&amp;sourceID=14","3.2")</f>
        <v>3.2</v>
      </c>
      <c r="G2126" s="4" t="str">
        <f>HYPERLINK("http://141.218.60.56/~jnz1568/getInfo.php?workbook=14_13.xlsx&amp;sheet=U0&amp;row=2126&amp;col=7&amp;number=1.29&amp;sourceID=14","1.29")</f>
        <v>1.29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HYPERLINK("http://141.218.60.56/~jnz1568/getInfo.php?workbook=14_13.xlsx&amp;sheet=U0&amp;row=2127&amp;col=6&amp;number=3.3&amp;sourceID=14","3.3")</f>
        <v>3.3</v>
      </c>
      <c r="G2127" s="4" t="str">
        <f>HYPERLINK("http://141.218.60.56/~jnz1568/getInfo.php?workbook=14_13.xlsx&amp;sheet=U0&amp;row=2127&amp;col=7&amp;number=1.34&amp;sourceID=14","1.34")</f>
        <v>1.34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HYPERLINK("http://141.218.60.56/~jnz1568/getInfo.php?workbook=14_13.xlsx&amp;sheet=U0&amp;row=2128&amp;col=6&amp;number=3.4&amp;sourceID=14","3.4")</f>
        <v>3.4</v>
      </c>
      <c r="G2128" s="4" t="str">
        <f>HYPERLINK("http://141.218.60.56/~jnz1568/getInfo.php?workbook=14_13.xlsx&amp;sheet=U0&amp;row=2128&amp;col=7&amp;number=1.39&amp;sourceID=14","1.39")</f>
        <v>1.39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HYPERLINK("http://141.218.60.56/~jnz1568/getInfo.php?workbook=14_13.xlsx&amp;sheet=U0&amp;row=2129&amp;col=6&amp;number=3.5&amp;sourceID=14","3.5")</f>
        <v>3.5</v>
      </c>
      <c r="G2129" s="4" t="str">
        <f>HYPERLINK("http://141.218.60.56/~jnz1568/getInfo.php?workbook=14_13.xlsx&amp;sheet=U0&amp;row=2129&amp;col=7&amp;number=1.44&amp;sourceID=14","1.44")</f>
        <v>1.44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HYPERLINK("http://141.218.60.56/~jnz1568/getInfo.php?workbook=14_13.xlsx&amp;sheet=U0&amp;row=2130&amp;col=6&amp;number=3.6&amp;sourceID=14","3.6")</f>
        <v>3.6</v>
      </c>
      <c r="G2130" s="4" t="str">
        <f>HYPERLINK("http://141.218.60.56/~jnz1568/getInfo.php?workbook=14_13.xlsx&amp;sheet=U0&amp;row=2130&amp;col=7&amp;number=1.48&amp;sourceID=14","1.48")</f>
        <v>1.48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HYPERLINK("http://141.218.60.56/~jnz1568/getInfo.php?workbook=14_13.xlsx&amp;sheet=U0&amp;row=2131&amp;col=6&amp;number=3.7&amp;sourceID=14","3.7")</f>
        <v>3.7</v>
      </c>
      <c r="G2131" s="4" t="str">
        <f>HYPERLINK("http://141.218.60.56/~jnz1568/getInfo.php?workbook=14_13.xlsx&amp;sheet=U0&amp;row=2131&amp;col=7&amp;number=1.5&amp;sourceID=14","1.5")</f>
        <v>1.5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HYPERLINK("http://141.218.60.56/~jnz1568/getInfo.php?workbook=14_13.xlsx&amp;sheet=U0&amp;row=2132&amp;col=6&amp;number=3.8&amp;sourceID=14","3.8")</f>
        <v>3.8</v>
      </c>
      <c r="G2132" s="4" t="str">
        <f>HYPERLINK("http://141.218.60.56/~jnz1568/getInfo.php?workbook=14_13.xlsx&amp;sheet=U0&amp;row=2132&amp;col=7&amp;number=1.51&amp;sourceID=14","1.51")</f>
        <v>1.51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HYPERLINK("http://141.218.60.56/~jnz1568/getInfo.php?workbook=14_13.xlsx&amp;sheet=U0&amp;row=2133&amp;col=6&amp;number=3.9&amp;sourceID=14","3.9")</f>
        <v>3.9</v>
      </c>
      <c r="G2133" s="4" t="str">
        <f>HYPERLINK("http://141.218.60.56/~jnz1568/getInfo.php?workbook=14_13.xlsx&amp;sheet=U0&amp;row=2133&amp;col=7&amp;number=1.5&amp;sourceID=14","1.5")</f>
        <v>1.5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HYPERLINK("http://141.218.60.56/~jnz1568/getInfo.php?workbook=14_13.xlsx&amp;sheet=U0&amp;row=2134&amp;col=6&amp;number=4&amp;sourceID=14","4")</f>
        <v>4</v>
      </c>
      <c r="G2134" s="4" t="str">
        <f>HYPERLINK("http://141.218.60.56/~jnz1568/getInfo.php?workbook=14_13.xlsx&amp;sheet=U0&amp;row=2134&amp;col=7&amp;number=1.49&amp;sourceID=14","1.49")</f>
        <v>1.49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HYPERLINK("http://141.218.60.56/~jnz1568/getInfo.php?workbook=14_13.xlsx&amp;sheet=U0&amp;row=2135&amp;col=6&amp;number=4.1&amp;sourceID=14","4.1")</f>
        <v>4.1</v>
      </c>
      <c r="G2135" s="4" t="str">
        <f>HYPERLINK("http://141.218.60.56/~jnz1568/getInfo.php?workbook=14_13.xlsx&amp;sheet=U0&amp;row=2135&amp;col=7&amp;number=1.47&amp;sourceID=14","1.47")</f>
        <v>1.47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HYPERLINK("http://141.218.60.56/~jnz1568/getInfo.php?workbook=14_13.xlsx&amp;sheet=U0&amp;row=2136&amp;col=6&amp;number=4.2&amp;sourceID=14","4.2")</f>
        <v>4.2</v>
      </c>
      <c r="G2136" s="4" t="str">
        <f>HYPERLINK("http://141.218.60.56/~jnz1568/getInfo.php?workbook=14_13.xlsx&amp;sheet=U0&amp;row=2136&amp;col=7&amp;number=1.43&amp;sourceID=14","1.43")</f>
        <v>1.43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HYPERLINK("http://141.218.60.56/~jnz1568/getInfo.php?workbook=14_13.xlsx&amp;sheet=U0&amp;row=2137&amp;col=6&amp;number=4.3&amp;sourceID=14","4.3")</f>
        <v>4.3</v>
      </c>
      <c r="G2137" s="4" t="str">
        <f>HYPERLINK("http://141.218.60.56/~jnz1568/getInfo.php?workbook=14_13.xlsx&amp;sheet=U0&amp;row=2137&amp;col=7&amp;number=1.39&amp;sourceID=14","1.39")</f>
        <v>1.39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HYPERLINK("http://141.218.60.56/~jnz1568/getInfo.php?workbook=14_13.xlsx&amp;sheet=U0&amp;row=2138&amp;col=6&amp;number=4.4&amp;sourceID=14","4.4")</f>
        <v>4.4</v>
      </c>
      <c r="G2138" s="4" t="str">
        <f>HYPERLINK("http://141.218.60.56/~jnz1568/getInfo.php?workbook=14_13.xlsx&amp;sheet=U0&amp;row=2138&amp;col=7&amp;number=1.34&amp;sourceID=14","1.34")</f>
        <v>1.34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HYPERLINK("http://141.218.60.56/~jnz1568/getInfo.php?workbook=14_13.xlsx&amp;sheet=U0&amp;row=2139&amp;col=6&amp;number=4.5&amp;sourceID=14","4.5")</f>
        <v>4.5</v>
      </c>
      <c r="G2139" s="4" t="str">
        <f>HYPERLINK("http://141.218.60.56/~jnz1568/getInfo.php?workbook=14_13.xlsx&amp;sheet=U0&amp;row=2139&amp;col=7&amp;number=1.29&amp;sourceID=14","1.29")</f>
        <v>1.29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HYPERLINK("http://141.218.60.56/~jnz1568/getInfo.php?workbook=14_13.xlsx&amp;sheet=U0&amp;row=2140&amp;col=6&amp;number=4.6&amp;sourceID=14","4.6")</f>
        <v>4.6</v>
      </c>
      <c r="G2140" s="4" t="str">
        <f>HYPERLINK("http://141.218.60.56/~jnz1568/getInfo.php?workbook=14_13.xlsx&amp;sheet=U0&amp;row=2140&amp;col=7&amp;number=1.23&amp;sourceID=14","1.23")</f>
        <v>1.23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HYPERLINK("http://141.218.60.56/~jnz1568/getInfo.php?workbook=14_13.xlsx&amp;sheet=U0&amp;row=2141&amp;col=6&amp;number=4.7&amp;sourceID=14","4.7")</f>
        <v>4.7</v>
      </c>
      <c r="G2141" s="4" t="str">
        <f>HYPERLINK("http://141.218.60.56/~jnz1568/getInfo.php?workbook=14_13.xlsx&amp;sheet=U0&amp;row=2141&amp;col=7&amp;number=1.16&amp;sourceID=14","1.16")</f>
        <v>1.16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HYPERLINK("http://141.218.60.56/~jnz1568/getInfo.php?workbook=14_13.xlsx&amp;sheet=U0&amp;row=2142&amp;col=6&amp;number=4.8&amp;sourceID=14","4.8")</f>
        <v>4.8</v>
      </c>
      <c r="G2142" s="4" t="str">
        <f>HYPERLINK("http://141.218.60.56/~jnz1568/getInfo.php?workbook=14_13.xlsx&amp;sheet=U0&amp;row=2142&amp;col=7&amp;number=1.09&amp;sourceID=14","1.09")</f>
        <v>1.09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HYPERLINK("http://141.218.60.56/~jnz1568/getInfo.php?workbook=14_13.xlsx&amp;sheet=U0&amp;row=2143&amp;col=6&amp;number=4.9&amp;sourceID=14","4.9")</f>
        <v>4.9</v>
      </c>
      <c r="G2143" s="4" t="str">
        <f>HYPERLINK("http://141.218.60.56/~jnz1568/getInfo.php?workbook=14_13.xlsx&amp;sheet=U0&amp;row=2143&amp;col=7&amp;number=1.02&amp;sourceID=14","1.02")</f>
        <v>1.02</v>
      </c>
    </row>
    <row r="2144" spans="1:7">
      <c r="A2144" s="3">
        <v>14</v>
      </c>
      <c r="B2144" s="3">
        <v>13</v>
      </c>
      <c r="C2144" s="3">
        <v>5</v>
      </c>
      <c r="D2144" s="3">
        <v>7</v>
      </c>
      <c r="E2144" s="3">
        <v>1</v>
      </c>
      <c r="F2144" s="4" t="str">
        <f>HYPERLINK("http://141.218.60.56/~jnz1568/getInfo.php?workbook=14_13.xlsx&amp;sheet=U0&amp;row=2144&amp;col=6&amp;number=3&amp;sourceID=14","3")</f>
        <v>3</v>
      </c>
      <c r="G2144" s="4" t="str">
        <f>HYPERLINK("http://141.218.60.56/~jnz1568/getInfo.php?workbook=14_13.xlsx&amp;sheet=U0&amp;row=2144&amp;col=7&amp;number=4.06&amp;sourceID=14","4.06")</f>
        <v>4.06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HYPERLINK("http://141.218.60.56/~jnz1568/getInfo.php?workbook=14_13.xlsx&amp;sheet=U0&amp;row=2145&amp;col=6&amp;number=3.1&amp;sourceID=14","3.1")</f>
        <v>3.1</v>
      </c>
      <c r="G2145" s="4" t="str">
        <f>HYPERLINK("http://141.218.60.56/~jnz1568/getInfo.php?workbook=14_13.xlsx&amp;sheet=U0&amp;row=2145&amp;col=7&amp;number=4.07&amp;sourceID=14","4.07")</f>
        <v>4.07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HYPERLINK("http://141.218.60.56/~jnz1568/getInfo.php?workbook=14_13.xlsx&amp;sheet=U0&amp;row=2146&amp;col=6&amp;number=3.2&amp;sourceID=14","3.2")</f>
        <v>3.2</v>
      </c>
      <c r="G2146" s="4" t="str">
        <f>HYPERLINK("http://141.218.60.56/~jnz1568/getInfo.php?workbook=14_13.xlsx&amp;sheet=U0&amp;row=2146&amp;col=7&amp;number=4.09&amp;sourceID=14","4.09")</f>
        <v>4.09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HYPERLINK("http://141.218.60.56/~jnz1568/getInfo.php?workbook=14_13.xlsx&amp;sheet=U0&amp;row=2147&amp;col=6&amp;number=3.3&amp;sourceID=14","3.3")</f>
        <v>3.3</v>
      </c>
      <c r="G2147" s="4" t="str">
        <f>HYPERLINK("http://141.218.60.56/~jnz1568/getInfo.php?workbook=14_13.xlsx&amp;sheet=U0&amp;row=2147&amp;col=7&amp;number=4.1&amp;sourceID=14","4.1")</f>
        <v>4.1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HYPERLINK("http://141.218.60.56/~jnz1568/getInfo.php?workbook=14_13.xlsx&amp;sheet=U0&amp;row=2148&amp;col=6&amp;number=3.4&amp;sourceID=14","3.4")</f>
        <v>3.4</v>
      </c>
      <c r="G2148" s="4" t="str">
        <f>HYPERLINK("http://141.218.60.56/~jnz1568/getInfo.php?workbook=14_13.xlsx&amp;sheet=U0&amp;row=2148&amp;col=7&amp;number=4.11&amp;sourceID=14","4.11")</f>
        <v>4.11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HYPERLINK("http://141.218.60.56/~jnz1568/getInfo.php?workbook=14_13.xlsx&amp;sheet=U0&amp;row=2149&amp;col=6&amp;number=3.5&amp;sourceID=14","3.5")</f>
        <v>3.5</v>
      </c>
      <c r="G2149" s="4" t="str">
        <f>HYPERLINK("http://141.218.60.56/~jnz1568/getInfo.php?workbook=14_13.xlsx&amp;sheet=U0&amp;row=2149&amp;col=7&amp;number=4.12&amp;sourceID=14","4.12")</f>
        <v>4.12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HYPERLINK("http://141.218.60.56/~jnz1568/getInfo.php?workbook=14_13.xlsx&amp;sheet=U0&amp;row=2150&amp;col=6&amp;number=3.6&amp;sourceID=14","3.6")</f>
        <v>3.6</v>
      </c>
      <c r="G2150" s="4" t="str">
        <f>HYPERLINK("http://141.218.60.56/~jnz1568/getInfo.php?workbook=14_13.xlsx&amp;sheet=U0&amp;row=2150&amp;col=7&amp;number=4.11&amp;sourceID=14","4.11")</f>
        <v>4.11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HYPERLINK("http://141.218.60.56/~jnz1568/getInfo.php?workbook=14_13.xlsx&amp;sheet=U0&amp;row=2151&amp;col=6&amp;number=3.7&amp;sourceID=14","3.7")</f>
        <v>3.7</v>
      </c>
      <c r="G2151" s="4" t="str">
        <f>HYPERLINK("http://141.218.60.56/~jnz1568/getInfo.php?workbook=14_13.xlsx&amp;sheet=U0&amp;row=2151&amp;col=7&amp;number=4.09&amp;sourceID=14","4.09")</f>
        <v>4.09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HYPERLINK("http://141.218.60.56/~jnz1568/getInfo.php?workbook=14_13.xlsx&amp;sheet=U0&amp;row=2152&amp;col=6&amp;number=3.8&amp;sourceID=14","3.8")</f>
        <v>3.8</v>
      </c>
      <c r="G2152" s="4" t="str">
        <f>HYPERLINK("http://141.218.60.56/~jnz1568/getInfo.php?workbook=14_13.xlsx&amp;sheet=U0&amp;row=2152&amp;col=7&amp;number=4.03&amp;sourceID=14","4.03")</f>
        <v>4.03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HYPERLINK("http://141.218.60.56/~jnz1568/getInfo.php?workbook=14_13.xlsx&amp;sheet=U0&amp;row=2153&amp;col=6&amp;number=3.9&amp;sourceID=14","3.9")</f>
        <v>3.9</v>
      </c>
      <c r="G2153" s="4" t="str">
        <f>HYPERLINK("http://141.218.60.56/~jnz1568/getInfo.php?workbook=14_13.xlsx&amp;sheet=U0&amp;row=2153&amp;col=7&amp;number=3.95&amp;sourceID=14","3.95")</f>
        <v>3.95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HYPERLINK("http://141.218.60.56/~jnz1568/getInfo.php?workbook=14_13.xlsx&amp;sheet=U0&amp;row=2154&amp;col=6&amp;number=4&amp;sourceID=14","4")</f>
        <v>4</v>
      </c>
      <c r="G2154" s="4" t="str">
        <f>HYPERLINK("http://141.218.60.56/~jnz1568/getInfo.php?workbook=14_13.xlsx&amp;sheet=U0&amp;row=2154&amp;col=7&amp;number=3.86&amp;sourceID=14","3.86")</f>
        <v>3.86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HYPERLINK("http://141.218.60.56/~jnz1568/getInfo.php?workbook=14_13.xlsx&amp;sheet=U0&amp;row=2155&amp;col=6&amp;number=4.1&amp;sourceID=14","4.1")</f>
        <v>4.1</v>
      </c>
      <c r="G2155" s="4" t="str">
        <f>HYPERLINK("http://141.218.60.56/~jnz1568/getInfo.php?workbook=14_13.xlsx&amp;sheet=U0&amp;row=2155&amp;col=7&amp;number=3.76&amp;sourceID=14","3.76")</f>
        <v>3.76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HYPERLINK("http://141.218.60.56/~jnz1568/getInfo.php?workbook=14_13.xlsx&amp;sheet=U0&amp;row=2156&amp;col=6&amp;number=4.2&amp;sourceID=14","4.2")</f>
        <v>4.2</v>
      </c>
      <c r="G2156" s="4" t="str">
        <f>HYPERLINK("http://141.218.60.56/~jnz1568/getInfo.php?workbook=14_13.xlsx&amp;sheet=U0&amp;row=2156&amp;col=7&amp;number=3.65&amp;sourceID=14","3.65")</f>
        <v>3.65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HYPERLINK("http://141.218.60.56/~jnz1568/getInfo.php?workbook=14_13.xlsx&amp;sheet=U0&amp;row=2157&amp;col=6&amp;number=4.3&amp;sourceID=14","4.3")</f>
        <v>4.3</v>
      </c>
      <c r="G2157" s="4" t="str">
        <f>HYPERLINK("http://141.218.60.56/~jnz1568/getInfo.php?workbook=14_13.xlsx&amp;sheet=U0&amp;row=2157&amp;col=7&amp;number=3.53&amp;sourceID=14","3.53")</f>
        <v>3.53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HYPERLINK("http://141.218.60.56/~jnz1568/getInfo.php?workbook=14_13.xlsx&amp;sheet=U0&amp;row=2158&amp;col=6&amp;number=4.4&amp;sourceID=14","4.4")</f>
        <v>4.4</v>
      </c>
      <c r="G2158" s="4" t="str">
        <f>HYPERLINK("http://141.218.60.56/~jnz1568/getInfo.php?workbook=14_13.xlsx&amp;sheet=U0&amp;row=2158&amp;col=7&amp;number=3.4&amp;sourceID=14","3.4")</f>
        <v>3.4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HYPERLINK("http://141.218.60.56/~jnz1568/getInfo.php?workbook=14_13.xlsx&amp;sheet=U0&amp;row=2159&amp;col=6&amp;number=4.5&amp;sourceID=14","4.5")</f>
        <v>4.5</v>
      </c>
      <c r="G2159" s="4" t="str">
        <f>HYPERLINK("http://141.218.60.56/~jnz1568/getInfo.php?workbook=14_13.xlsx&amp;sheet=U0&amp;row=2159&amp;col=7&amp;number=3.26&amp;sourceID=14","3.26")</f>
        <v>3.26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HYPERLINK("http://141.218.60.56/~jnz1568/getInfo.php?workbook=14_13.xlsx&amp;sheet=U0&amp;row=2160&amp;col=6&amp;number=4.6&amp;sourceID=14","4.6")</f>
        <v>4.6</v>
      </c>
      <c r="G2160" s="4" t="str">
        <f>HYPERLINK("http://141.218.60.56/~jnz1568/getInfo.php?workbook=14_13.xlsx&amp;sheet=U0&amp;row=2160&amp;col=7&amp;number=3.1&amp;sourceID=14","3.1")</f>
        <v>3.1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HYPERLINK("http://141.218.60.56/~jnz1568/getInfo.php?workbook=14_13.xlsx&amp;sheet=U0&amp;row=2161&amp;col=6&amp;number=4.7&amp;sourceID=14","4.7")</f>
        <v>4.7</v>
      </c>
      <c r="G2161" s="4" t="str">
        <f>HYPERLINK("http://141.218.60.56/~jnz1568/getInfo.php?workbook=14_13.xlsx&amp;sheet=U0&amp;row=2161&amp;col=7&amp;number=2.93&amp;sourceID=14","2.93")</f>
        <v>2.93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HYPERLINK("http://141.218.60.56/~jnz1568/getInfo.php?workbook=14_13.xlsx&amp;sheet=U0&amp;row=2162&amp;col=6&amp;number=4.8&amp;sourceID=14","4.8")</f>
        <v>4.8</v>
      </c>
      <c r="G2162" s="4" t="str">
        <f>HYPERLINK("http://141.218.60.56/~jnz1568/getInfo.php?workbook=14_13.xlsx&amp;sheet=U0&amp;row=2162&amp;col=7&amp;number=2.75&amp;sourceID=14","2.75")</f>
        <v>2.75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HYPERLINK("http://141.218.60.56/~jnz1568/getInfo.php?workbook=14_13.xlsx&amp;sheet=U0&amp;row=2163&amp;col=6&amp;number=4.9&amp;sourceID=14","4.9")</f>
        <v>4.9</v>
      </c>
      <c r="G2163" s="4" t="str">
        <f>HYPERLINK("http://141.218.60.56/~jnz1568/getInfo.php?workbook=14_13.xlsx&amp;sheet=U0&amp;row=2163&amp;col=7&amp;number=2.55&amp;sourceID=14","2.55")</f>
        <v>2.55</v>
      </c>
    </row>
    <row r="2164" spans="1:7">
      <c r="A2164" s="3">
        <v>14</v>
      </c>
      <c r="B2164" s="3">
        <v>13</v>
      </c>
      <c r="C2164" s="3">
        <v>5</v>
      </c>
      <c r="D2164" s="3">
        <v>8</v>
      </c>
      <c r="E2164" s="3">
        <v>1</v>
      </c>
      <c r="F2164" s="4" t="str">
        <f>HYPERLINK("http://141.218.60.56/~jnz1568/getInfo.php?workbook=14_13.xlsx&amp;sheet=U0&amp;row=2164&amp;col=6&amp;number=3&amp;sourceID=14","3")</f>
        <v>3</v>
      </c>
      <c r="G2164" s="4" t="str">
        <f>HYPERLINK("http://141.218.60.56/~jnz1568/getInfo.php?workbook=14_13.xlsx&amp;sheet=U0&amp;row=2164&amp;col=7&amp;number=0.141&amp;sourceID=14","0.141")</f>
        <v>0.141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HYPERLINK("http://141.218.60.56/~jnz1568/getInfo.php?workbook=14_13.xlsx&amp;sheet=U0&amp;row=2165&amp;col=6&amp;number=3.1&amp;sourceID=14","3.1")</f>
        <v>3.1</v>
      </c>
      <c r="G2165" s="4" t="str">
        <f>HYPERLINK("http://141.218.60.56/~jnz1568/getInfo.php?workbook=14_13.xlsx&amp;sheet=U0&amp;row=2165&amp;col=7&amp;number=0.147&amp;sourceID=14","0.147")</f>
        <v>0.147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HYPERLINK("http://141.218.60.56/~jnz1568/getInfo.php?workbook=14_13.xlsx&amp;sheet=U0&amp;row=2166&amp;col=6&amp;number=3.2&amp;sourceID=14","3.2")</f>
        <v>3.2</v>
      </c>
      <c r="G2166" s="4" t="str">
        <f>HYPERLINK("http://141.218.60.56/~jnz1568/getInfo.php?workbook=14_13.xlsx&amp;sheet=U0&amp;row=2166&amp;col=7&amp;number=0.155&amp;sourceID=14","0.155")</f>
        <v>0.155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HYPERLINK("http://141.218.60.56/~jnz1568/getInfo.php?workbook=14_13.xlsx&amp;sheet=U0&amp;row=2167&amp;col=6&amp;number=3.3&amp;sourceID=14","3.3")</f>
        <v>3.3</v>
      </c>
      <c r="G2167" s="4" t="str">
        <f>HYPERLINK("http://141.218.60.56/~jnz1568/getInfo.php?workbook=14_13.xlsx&amp;sheet=U0&amp;row=2167&amp;col=7&amp;number=0.163&amp;sourceID=14","0.163")</f>
        <v>0.163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HYPERLINK("http://141.218.60.56/~jnz1568/getInfo.php?workbook=14_13.xlsx&amp;sheet=U0&amp;row=2168&amp;col=6&amp;number=3.4&amp;sourceID=14","3.4")</f>
        <v>3.4</v>
      </c>
      <c r="G2168" s="4" t="str">
        <f>HYPERLINK("http://141.218.60.56/~jnz1568/getInfo.php?workbook=14_13.xlsx&amp;sheet=U0&amp;row=2168&amp;col=7&amp;number=0.172&amp;sourceID=14","0.172")</f>
        <v>0.172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HYPERLINK("http://141.218.60.56/~jnz1568/getInfo.php?workbook=14_13.xlsx&amp;sheet=U0&amp;row=2169&amp;col=6&amp;number=3.5&amp;sourceID=14","3.5")</f>
        <v>3.5</v>
      </c>
      <c r="G2169" s="4" t="str">
        <f>HYPERLINK("http://141.218.60.56/~jnz1568/getInfo.php?workbook=14_13.xlsx&amp;sheet=U0&amp;row=2169&amp;col=7&amp;number=0.18&amp;sourceID=14","0.18")</f>
        <v>0.18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HYPERLINK("http://141.218.60.56/~jnz1568/getInfo.php?workbook=14_13.xlsx&amp;sheet=U0&amp;row=2170&amp;col=6&amp;number=3.6&amp;sourceID=14","3.6")</f>
        <v>3.6</v>
      </c>
      <c r="G2170" s="4" t="str">
        <f>HYPERLINK("http://141.218.60.56/~jnz1568/getInfo.php?workbook=14_13.xlsx&amp;sheet=U0&amp;row=2170&amp;col=7&amp;number=0.185&amp;sourceID=14","0.185")</f>
        <v>0.185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HYPERLINK("http://141.218.60.56/~jnz1568/getInfo.php?workbook=14_13.xlsx&amp;sheet=U0&amp;row=2171&amp;col=6&amp;number=3.7&amp;sourceID=14","3.7")</f>
        <v>3.7</v>
      </c>
      <c r="G2171" s="4" t="str">
        <f>HYPERLINK("http://141.218.60.56/~jnz1568/getInfo.php?workbook=14_13.xlsx&amp;sheet=U0&amp;row=2171&amp;col=7&amp;number=0.186&amp;sourceID=14","0.186")</f>
        <v>0.186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HYPERLINK("http://141.218.60.56/~jnz1568/getInfo.php?workbook=14_13.xlsx&amp;sheet=U0&amp;row=2172&amp;col=6&amp;number=3.8&amp;sourceID=14","3.8")</f>
        <v>3.8</v>
      </c>
      <c r="G2172" s="4" t="str">
        <f>HYPERLINK("http://141.218.60.56/~jnz1568/getInfo.php?workbook=14_13.xlsx&amp;sheet=U0&amp;row=2172&amp;col=7&amp;number=0.182&amp;sourceID=14","0.182")</f>
        <v>0.182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HYPERLINK("http://141.218.60.56/~jnz1568/getInfo.php?workbook=14_13.xlsx&amp;sheet=U0&amp;row=2173&amp;col=6&amp;number=3.9&amp;sourceID=14","3.9")</f>
        <v>3.9</v>
      </c>
      <c r="G2173" s="4" t="str">
        <f>HYPERLINK("http://141.218.60.56/~jnz1568/getInfo.php?workbook=14_13.xlsx&amp;sheet=U0&amp;row=2173&amp;col=7&amp;number=0.176&amp;sourceID=14","0.176")</f>
        <v>0.176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HYPERLINK("http://141.218.60.56/~jnz1568/getInfo.php?workbook=14_13.xlsx&amp;sheet=U0&amp;row=2174&amp;col=6&amp;number=4&amp;sourceID=14","4")</f>
        <v>4</v>
      </c>
      <c r="G2174" s="4" t="str">
        <f>HYPERLINK("http://141.218.60.56/~jnz1568/getInfo.php?workbook=14_13.xlsx&amp;sheet=U0&amp;row=2174&amp;col=7&amp;number=0.166&amp;sourceID=14","0.166")</f>
        <v>0.166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HYPERLINK("http://141.218.60.56/~jnz1568/getInfo.php?workbook=14_13.xlsx&amp;sheet=U0&amp;row=2175&amp;col=6&amp;number=4.1&amp;sourceID=14","4.1")</f>
        <v>4.1</v>
      </c>
      <c r="G2175" s="4" t="str">
        <f>HYPERLINK("http://141.218.60.56/~jnz1568/getInfo.php?workbook=14_13.xlsx&amp;sheet=U0&amp;row=2175&amp;col=7&amp;number=0.155&amp;sourceID=14","0.155")</f>
        <v>0.155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HYPERLINK("http://141.218.60.56/~jnz1568/getInfo.php?workbook=14_13.xlsx&amp;sheet=U0&amp;row=2176&amp;col=6&amp;number=4.2&amp;sourceID=14","4.2")</f>
        <v>4.2</v>
      </c>
      <c r="G2176" s="4" t="str">
        <f>HYPERLINK("http://141.218.60.56/~jnz1568/getInfo.php?workbook=14_13.xlsx&amp;sheet=U0&amp;row=2176&amp;col=7&amp;number=0.142&amp;sourceID=14","0.142")</f>
        <v>0.142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HYPERLINK("http://141.218.60.56/~jnz1568/getInfo.php?workbook=14_13.xlsx&amp;sheet=U0&amp;row=2177&amp;col=6&amp;number=4.3&amp;sourceID=14","4.3")</f>
        <v>4.3</v>
      </c>
      <c r="G2177" s="4" t="str">
        <f>HYPERLINK("http://141.218.60.56/~jnz1568/getInfo.php?workbook=14_13.xlsx&amp;sheet=U0&amp;row=2177&amp;col=7&amp;number=0.128&amp;sourceID=14","0.128")</f>
        <v>0.128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HYPERLINK("http://141.218.60.56/~jnz1568/getInfo.php?workbook=14_13.xlsx&amp;sheet=U0&amp;row=2178&amp;col=6&amp;number=4.4&amp;sourceID=14","4.4")</f>
        <v>4.4</v>
      </c>
      <c r="G2178" s="4" t="str">
        <f>HYPERLINK("http://141.218.60.56/~jnz1568/getInfo.php?workbook=14_13.xlsx&amp;sheet=U0&amp;row=2178&amp;col=7&amp;number=0.114&amp;sourceID=14","0.114")</f>
        <v>0.114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HYPERLINK("http://141.218.60.56/~jnz1568/getInfo.php?workbook=14_13.xlsx&amp;sheet=U0&amp;row=2179&amp;col=6&amp;number=4.5&amp;sourceID=14","4.5")</f>
        <v>4.5</v>
      </c>
      <c r="G2179" s="4" t="str">
        <f>HYPERLINK("http://141.218.60.56/~jnz1568/getInfo.php?workbook=14_13.xlsx&amp;sheet=U0&amp;row=2179&amp;col=7&amp;number=0.0998&amp;sourceID=14","0.0998")</f>
        <v>0.0998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HYPERLINK("http://141.218.60.56/~jnz1568/getInfo.php?workbook=14_13.xlsx&amp;sheet=U0&amp;row=2180&amp;col=6&amp;number=4.6&amp;sourceID=14","4.6")</f>
        <v>4.6</v>
      </c>
      <c r="G2180" s="4" t="str">
        <f>HYPERLINK("http://141.218.60.56/~jnz1568/getInfo.php?workbook=14_13.xlsx&amp;sheet=U0&amp;row=2180&amp;col=7&amp;number=0.0865&amp;sourceID=14","0.0865")</f>
        <v>0.0865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HYPERLINK("http://141.218.60.56/~jnz1568/getInfo.php?workbook=14_13.xlsx&amp;sheet=U0&amp;row=2181&amp;col=6&amp;number=4.7&amp;sourceID=14","4.7")</f>
        <v>4.7</v>
      </c>
      <c r="G2181" s="4" t="str">
        <f>HYPERLINK("http://141.218.60.56/~jnz1568/getInfo.php?workbook=14_13.xlsx&amp;sheet=U0&amp;row=2181&amp;col=7&amp;number=0.0744&amp;sourceID=14","0.0744")</f>
        <v>0.0744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HYPERLINK("http://141.218.60.56/~jnz1568/getInfo.php?workbook=14_13.xlsx&amp;sheet=U0&amp;row=2182&amp;col=6&amp;number=4.8&amp;sourceID=14","4.8")</f>
        <v>4.8</v>
      </c>
      <c r="G2182" s="4" t="str">
        <f>HYPERLINK("http://141.218.60.56/~jnz1568/getInfo.php?workbook=14_13.xlsx&amp;sheet=U0&amp;row=2182&amp;col=7&amp;number=0.0635&amp;sourceID=14","0.0635")</f>
        <v>0.0635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HYPERLINK("http://141.218.60.56/~jnz1568/getInfo.php?workbook=14_13.xlsx&amp;sheet=U0&amp;row=2183&amp;col=6&amp;number=4.9&amp;sourceID=14","4.9")</f>
        <v>4.9</v>
      </c>
      <c r="G2183" s="4" t="str">
        <f>HYPERLINK("http://141.218.60.56/~jnz1568/getInfo.php?workbook=14_13.xlsx&amp;sheet=U0&amp;row=2183&amp;col=7&amp;number=0.0541&amp;sourceID=14","0.0541")</f>
        <v>0.0541</v>
      </c>
    </row>
    <row r="2184" spans="1:7">
      <c r="A2184" s="3">
        <v>14</v>
      </c>
      <c r="B2184" s="3">
        <v>13</v>
      </c>
      <c r="C2184" s="3">
        <v>5</v>
      </c>
      <c r="D2184" s="3">
        <v>9</v>
      </c>
      <c r="E2184" s="3">
        <v>1</v>
      </c>
      <c r="F2184" s="4" t="str">
        <f>HYPERLINK("http://141.218.60.56/~jnz1568/getInfo.php?workbook=14_13.xlsx&amp;sheet=U0&amp;row=2184&amp;col=6&amp;number=3&amp;sourceID=14","3")</f>
        <v>3</v>
      </c>
      <c r="G2184" s="4" t="str">
        <f>HYPERLINK("http://141.218.60.56/~jnz1568/getInfo.php?workbook=14_13.xlsx&amp;sheet=U0&amp;row=2184&amp;col=7&amp;number=0.867&amp;sourceID=14","0.867")</f>
        <v>0.867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HYPERLINK("http://141.218.60.56/~jnz1568/getInfo.php?workbook=14_13.xlsx&amp;sheet=U0&amp;row=2185&amp;col=6&amp;number=3.1&amp;sourceID=14","3.1")</f>
        <v>3.1</v>
      </c>
      <c r="G2185" s="4" t="str">
        <f>HYPERLINK("http://141.218.60.56/~jnz1568/getInfo.php?workbook=14_13.xlsx&amp;sheet=U0&amp;row=2185&amp;col=7&amp;number=0.878&amp;sourceID=14","0.878")</f>
        <v>0.878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HYPERLINK("http://141.218.60.56/~jnz1568/getInfo.php?workbook=14_13.xlsx&amp;sheet=U0&amp;row=2186&amp;col=6&amp;number=3.2&amp;sourceID=14","3.2")</f>
        <v>3.2</v>
      </c>
      <c r="G2186" s="4" t="str">
        <f>HYPERLINK("http://141.218.60.56/~jnz1568/getInfo.php?workbook=14_13.xlsx&amp;sheet=U0&amp;row=2186&amp;col=7&amp;number=0.891&amp;sourceID=14","0.891")</f>
        <v>0.891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HYPERLINK("http://141.218.60.56/~jnz1568/getInfo.php?workbook=14_13.xlsx&amp;sheet=U0&amp;row=2187&amp;col=6&amp;number=3.3&amp;sourceID=14","3.3")</f>
        <v>3.3</v>
      </c>
      <c r="G2187" s="4" t="str">
        <f>HYPERLINK("http://141.218.60.56/~jnz1568/getInfo.php?workbook=14_13.xlsx&amp;sheet=U0&amp;row=2187&amp;col=7&amp;number=0.905&amp;sourceID=14","0.905")</f>
        <v>0.905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HYPERLINK("http://141.218.60.56/~jnz1568/getInfo.php?workbook=14_13.xlsx&amp;sheet=U0&amp;row=2188&amp;col=6&amp;number=3.4&amp;sourceID=14","3.4")</f>
        <v>3.4</v>
      </c>
      <c r="G2188" s="4" t="str">
        <f>HYPERLINK("http://141.218.60.56/~jnz1568/getInfo.php?workbook=14_13.xlsx&amp;sheet=U0&amp;row=2188&amp;col=7&amp;number=0.921&amp;sourceID=14","0.921")</f>
        <v>0.921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HYPERLINK("http://141.218.60.56/~jnz1568/getInfo.php?workbook=14_13.xlsx&amp;sheet=U0&amp;row=2189&amp;col=6&amp;number=3.5&amp;sourceID=14","3.5")</f>
        <v>3.5</v>
      </c>
      <c r="G2189" s="4" t="str">
        <f>HYPERLINK("http://141.218.60.56/~jnz1568/getInfo.php?workbook=14_13.xlsx&amp;sheet=U0&amp;row=2189&amp;col=7&amp;number=0.937&amp;sourceID=14","0.937")</f>
        <v>0.937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HYPERLINK("http://141.218.60.56/~jnz1568/getInfo.php?workbook=14_13.xlsx&amp;sheet=U0&amp;row=2190&amp;col=6&amp;number=3.6&amp;sourceID=14","3.6")</f>
        <v>3.6</v>
      </c>
      <c r="G2190" s="4" t="str">
        <f>HYPERLINK("http://141.218.60.56/~jnz1568/getInfo.php?workbook=14_13.xlsx&amp;sheet=U0&amp;row=2190&amp;col=7&amp;number=0.951&amp;sourceID=14","0.951")</f>
        <v>0.951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HYPERLINK("http://141.218.60.56/~jnz1568/getInfo.php?workbook=14_13.xlsx&amp;sheet=U0&amp;row=2191&amp;col=6&amp;number=3.7&amp;sourceID=14","3.7")</f>
        <v>3.7</v>
      </c>
      <c r="G2191" s="4" t="str">
        <f>HYPERLINK("http://141.218.60.56/~jnz1568/getInfo.php?workbook=14_13.xlsx&amp;sheet=U0&amp;row=2191&amp;col=7&amp;number=0.959&amp;sourceID=14","0.959")</f>
        <v>0.959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HYPERLINK("http://141.218.60.56/~jnz1568/getInfo.php?workbook=14_13.xlsx&amp;sheet=U0&amp;row=2192&amp;col=6&amp;number=3.8&amp;sourceID=14","3.8")</f>
        <v>3.8</v>
      </c>
      <c r="G2192" s="4" t="str">
        <f>HYPERLINK("http://141.218.60.56/~jnz1568/getInfo.php?workbook=14_13.xlsx&amp;sheet=U0&amp;row=2192&amp;col=7&amp;number=0.962&amp;sourceID=14","0.962")</f>
        <v>0.962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HYPERLINK("http://141.218.60.56/~jnz1568/getInfo.php?workbook=14_13.xlsx&amp;sheet=U0&amp;row=2193&amp;col=6&amp;number=3.9&amp;sourceID=14","3.9")</f>
        <v>3.9</v>
      </c>
      <c r="G2193" s="4" t="str">
        <f>HYPERLINK("http://141.218.60.56/~jnz1568/getInfo.php?workbook=14_13.xlsx&amp;sheet=U0&amp;row=2193&amp;col=7&amp;number=0.958&amp;sourceID=14","0.958")</f>
        <v>0.958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HYPERLINK("http://141.218.60.56/~jnz1568/getInfo.php?workbook=14_13.xlsx&amp;sheet=U0&amp;row=2194&amp;col=6&amp;number=4&amp;sourceID=14","4")</f>
        <v>4</v>
      </c>
      <c r="G2194" s="4" t="str">
        <f>HYPERLINK("http://141.218.60.56/~jnz1568/getInfo.php?workbook=14_13.xlsx&amp;sheet=U0&amp;row=2194&amp;col=7&amp;number=0.949&amp;sourceID=14","0.949")</f>
        <v>0.949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HYPERLINK("http://141.218.60.56/~jnz1568/getInfo.php?workbook=14_13.xlsx&amp;sheet=U0&amp;row=2195&amp;col=6&amp;number=4.1&amp;sourceID=14","4.1")</f>
        <v>4.1</v>
      </c>
      <c r="G2195" s="4" t="str">
        <f>HYPERLINK("http://141.218.60.56/~jnz1568/getInfo.php?workbook=14_13.xlsx&amp;sheet=U0&amp;row=2195&amp;col=7&amp;number=0.935&amp;sourceID=14","0.935")</f>
        <v>0.935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HYPERLINK("http://141.218.60.56/~jnz1568/getInfo.php?workbook=14_13.xlsx&amp;sheet=U0&amp;row=2196&amp;col=6&amp;number=4.2&amp;sourceID=14","4.2")</f>
        <v>4.2</v>
      </c>
      <c r="G2196" s="4" t="str">
        <f>HYPERLINK("http://141.218.60.56/~jnz1568/getInfo.php?workbook=14_13.xlsx&amp;sheet=U0&amp;row=2196&amp;col=7&amp;number=0.914&amp;sourceID=14","0.914")</f>
        <v>0.914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HYPERLINK("http://141.218.60.56/~jnz1568/getInfo.php?workbook=14_13.xlsx&amp;sheet=U0&amp;row=2197&amp;col=6&amp;number=4.3&amp;sourceID=14","4.3")</f>
        <v>4.3</v>
      </c>
      <c r="G2197" s="4" t="str">
        <f>HYPERLINK("http://141.218.60.56/~jnz1568/getInfo.php?workbook=14_13.xlsx&amp;sheet=U0&amp;row=2197&amp;col=7&amp;number=0.886&amp;sourceID=14","0.886")</f>
        <v>0.886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HYPERLINK("http://141.218.60.56/~jnz1568/getInfo.php?workbook=14_13.xlsx&amp;sheet=U0&amp;row=2198&amp;col=6&amp;number=4.4&amp;sourceID=14","4.4")</f>
        <v>4.4</v>
      </c>
      <c r="G2198" s="4" t="str">
        <f>HYPERLINK("http://141.218.60.56/~jnz1568/getInfo.php?workbook=14_13.xlsx&amp;sheet=U0&amp;row=2198&amp;col=7&amp;number=0.851&amp;sourceID=14","0.851")</f>
        <v>0.851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HYPERLINK("http://141.218.60.56/~jnz1568/getInfo.php?workbook=14_13.xlsx&amp;sheet=U0&amp;row=2199&amp;col=6&amp;number=4.5&amp;sourceID=14","4.5")</f>
        <v>4.5</v>
      </c>
      <c r="G2199" s="4" t="str">
        <f>HYPERLINK("http://141.218.60.56/~jnz1568/getInfo.php?workbook=14_13.xlsx&amp;sheet=U0&amp;row=2199&amp;col=7&amp;number=0.809&amp;sourceID=14","0.809")</f>
        <v>0.809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HYPERLINK("http://141.218.60.56/~jnz1568/getInfo.php?workbook=14_13.xlsx&amp;sheet=U0&amp;row=2200&amp;col=6&amp;number=4.6&amp;sourceID=14","4.6")</f>
        <v>4.6</v>
      </c>
      <c r="G2200" s="4" t="str">
        <f>HYPERLINK("http://141.218.60.56/~jnz1568/getInfo.php?workbook=14_13.xlsx&amp;sheet=U0&amp;row=2200&amp;col=7&amp;number=0.76&amp;sourceID=14","0.76")</f>
        <v>0.76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HYPERLINK("http://141.218.60.56/~jnz1568/getInfo.php?workbook=14_13.xlsx&amp;sheet=U0&amp;row=2201&amp;col=6&amp;number=4.7&amp;sourceID=14","4.7")</f>
        <v>4.7</v>
      </c>
      <c r="G2201" s="4" t="str">
        <f>HYPERLINK("http://141.218.60.56/~jnz1568/getInfo.php?workbook=14_13.xlsx&amp;sheet=U0&amp;row=2201&amp;col=7&amp;number=0.705&amp;sourceID=14","0.705")</f>
        <v>0.705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HYPERLINK("http://141.218.60.56/~jnz1568/getInfo.php?workbook=14_13.xlsx&amp;sheet=U0&amp;row=2202&amp;col=6&amp;number=4.8&amp;sourceID=14","4.8")</f>
        <v>4.8</v>
      </c>
      <c r="G2202" s="4" t="str">
        <f>HYPERLINK("http://141.218.60.56/~jnz1568/getInfo.php?workbook=14_13.xlsx&amp;sheet=U0&amp;row=2202&amp;col=7&amp;number=0.646&amp;sourceID=14","0.646")</f>
        <v>0.646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HYPERLINK("http://141.218.60.56/~jnz1568/getInfo.php?workbook=14_13.xlsx&amp;sheet=U0&amp;row=2203&amp;col=6&amp;number=4.9&amp;sourceID=14","4.9")</f>
        <v>4.9</v>
      </c>
      <c r="G2203" s="4" t="str">
        <f>HYPERLINK("http://141.218.60.56/~jnz1568/getInfo.php?workbook=14_13.xlsx&amp;sheet=U0&amp;row=2203&amp;col=7&amp;number=0.586&amp;sourceID=14","0.586")</f>
        <v>0.586</v>
      </c>
    </row>
    <row r="2204" spans="1:7">
      <c r="A2204" s="3">
        <v>14</v>
      </c>
      <c r="B2204" s="3">
        <v>13</v>
      </c>
      <c r="C2204" s="3">
        <v>5</v>
      </c>
      <c r="D2204" s="3">
        <v>10</v>
      </c>
      <c r="E2204" s="3">
        <v>1</v>
      </c>
      <c r="F2204" s="4" t="str">
        <f>HYPERLINK("http://141.218.60.56/~jnz1568/getInfo.php?workbook=14_13.xlsx&amp;sheet=U0&amp;row=2204&amp;col=6&amp;number=3&amp;sourceID=14","3")</f>
        <v>3</v>
      </c>
      <c r="G2204" s="4" t="str">
        <f>HYPERLINK("http://141.218.60.56/~jnz1568/getInfo.php?workbook=14_13.xlsx&amp;sheet=U0&amp;row=2204&amp;col=7&amp;number=0.647&amp;sourceID=14","0.647")</f>
        <v>0.647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HYPERLINK("http://141.218.60.56/~jnz1568/getInfo.php?workbook=14_13.xlsx&amp;sheet=U0&amp;row=2205&amp;col=6&amp;number=3.1&amp;sourceID=14","3.1")</f>
        <v>3.1</v>
      </c>
      <c r="G2205" s="4" t="str">
        <f>HYPERLINK("http://141.218.60.56/~jnz1568/getInfo.php?workbook=14_13.xlsx&amp;sheet=U0&amp;row=2205&amp;col=7&amp;number=0.643&amp;sourceID=14","0.643")</f>
        <v>0.643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HYPERLINK("http://141.218.60.56/~jnz1568/getInfo.php?workbook=14_13.xlsx&amp;sheet=U0&amp;row=2206&amp;col=6&amp;number=3.2&amp;sourceID=14","3.2")</f>
        <v>3.2</v>
      </c>
      <c r="G2206" s="4" t="str">
        <f>HYPERLINK("http://141.218.60.56/~jnz1568/getInfo.php?workbook=14_13.xlsx&amp;sheet=U0&amp;row=2206&amp;col=7&amp;number=0.638&amp;sourceID=14","0.638")</f>
        <v>0.638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HYPERLINK("http://141.218.60.56/~jnz1568/getInfo.php?workbook=14_13.xlsx&amp;sheet=U0&amp;row=2207&amp;col=6&amp;number=3.3&amp;sourceID=14","3.3")</f>
        <v>3.3</v>
      </c>
      <c r="G2207" s="4" t="str">
        <f>HYPERLINK("http://141.218.60.56/~jnz1568/getInfo.php?workbook=14_13.xlsx&amp;sheet=U0&amp;row=2207&amp;col=7&amp;number=0.632&amp;sourceID=14","0.632")</f>
        <v>0.632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HYPERLINK("http://141.218.60.56/~jnz1568/getInfo.php?workbook=14_13.xlsx&amp;sheet=U0&amp;row=2208&amp;col=6&amp;number=3.4&amp;sourceID=14","3.4")</f>
        <v>3.4</v>
      </c>
      <c r="G2208" s="4" t="str">
        <f>HYPERLINK("http://141.218.60.56/~jnz1568/getInfo.php?workbook=14_13.xlsx&amp;sheet=U0&amp;row=2208&amp;col=7&amp;number=0.624&amp;sourceID=14","0.624")</f>
        <v>0.624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HYPERLINK("http://141.218.60.56/~jnz1568/getInfo.php?workbook=14_13.xlsx&amp;sheet=U0&amp;row=2209&amp;col=6&amp;number=3.5&amp;sourceID=14","3.5")</f>
        <v>3.5</v>
      </c>
      <c r="G2209" s="4" t="str">
        <f>HYPERLINK("http://141.218.60.56/~jnz1568/getInfo.php?workbook=14_13.xlsx&amp;sheet=U0&amp;row=2209&amp;col=7&amp;number=0.615&amp;sourceID=14","0.615")</f>
        <v>0.615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HYPERLINK("http://141.218.60.56/~jnz1568/getInfo.php?workbook=14_13.xlsx&amp;sheet=U0&amp;row=2210&amp;col=6&amp;number=3.6&amp;sourceID=14","3.6")</f>
        <v>3.6</v>
      </c>
      <c r="G2210" s="4" t="str">
        <f>HYPERLINK("http://141.218.60.56/~jnz1568/getInfo.php?workbook=14_13.xlsx&amp;sheet=U0&amp;row=2210&amp;col=7&amp;number=0.605&amp;sourceID=14","0.605")</f>
        <v>0.605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HYPERLINK("http://141.218.60.56/~jnz1568/getInfo.php?workbook=14_13.xlsx&amp;sheet=U0&amp;row=2211&amp;col=6&amp;number=3.7&amp;sourceID=14","3.7")</f>
        <v>3.7</v>
      </c>
      <c r="G2211" s="4" t="str">
        <f>HYPERLINK("http://141.218.60.56/~jnz1568/getInfo.php?workbook=14_13.xlsx&amp;sheet=U0&amp;row=2211&amp;col=7&amp;number=0.593&amp;sourceID=14","0.593")</f>
        <v>0.593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HYPERLINK("http://141.218.60.56/~jnz1568/getInfo.php?workbook=14_13.xlsx&amp;sheet=U0&amp;row=2212&amp;col=6&amp;number=3.8&amp;sourceID=14","3.8")</f>
        <v>3.8</v>
      </c>
      <c r="G2212" s="4" t="str">
        <f>HYPERLINK("http://141.218.60.56/~jnz1568/getInfo.php?workbook=14_13.xlsx&amp;sheet=U0&amp;row=2212&amp;col=7&amp;number=0.579&amp;sourceID=14","0.579")</f>
        <v>0.579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HYPERLINK("http://141.218.60.56/~jnz1568/getInfo.php?workbook=14_13.xlsx&amp;sheet=U0&amp;row=2213&amp;col=6&amp;number=3.9&amp;sourceID=14","3.9")</f>
        <v>3.9</v>
      </c>
      <c r="G2213" s="4" t="str">
        <f>HYPERLINK("http://141.218.60.56/~jnz1568/getInfo.php?workbook=14_13.xlsx&amp;sheet=U0&amp;row=2213&amp;col=7&amp;number=0.566&amp;sourceID=14","0.566")</f>
        <v>0.566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HYPERLINK("http://141.218.60.56/~jnz1568/getInfo.php?workbook=14_13.xlsx&amp;sheet=U0&amp;row=2214&amp;col=6&amp;number=4&amp;sourceID=14","4")</f>
        <v>4</v>
      </c>
      <c r="G2214" s="4" t="str">
        <f>HYPERLINK("http://141.218.60.56/~jnz1568/getInfo.php?workbook=14_13.xlsx&amp;sheet=U0&amp;row=2214&amp;col=7&amp;number=0.552&amp;sourceID=14","0.552")</f>
        <v>0.552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HYPERLINK("http://141.218.60.56/~jnz1568/getInfo.php?workbook=14_13.xlsx&amp;sheet=U0&amp;row=2215&amp;col=6&amp;number=4.1&amp;sourceID=14","4.1")</f>
        <v>4.1</v>
      </c>
      <c r="G2215" s="4" t="str">
        <f>HYPERLINK("http://141.218.60.56/~jnz1568/getInfo.php?workbook=14_13.xlsx&amp;sheet=U0&amp;row=2215&amp;col=7&amp;number=0.537&amp;sourceID=14","0.537")</f>
        <v>0.537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HYPERLINK("http://141.218.60.56/~jnz1568/getInfo.php?workbook=14_13.xlsx&amp;sheet=U0&amp;row=2216&amp;col=6&amp;number=4.2&amp;sourceID=14","4.2")</f>
        <v>4.2</v>
      </c>
      <c r="G2216" s="4" t="str">
        <f>HYPERLINK("http://141.218.60.56/~jnz1568/getInfo.php?workbook=14_13.xlsx&amp;sheet=U0&amp;row=2216&amp;col=7&amp;number=0.521&amp;sourceID=14","0.521")</f>
        <v>0.521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HYPERLINK("http://141.218.60.56/~jnz1568/getInfo.php?workbook=14_13.xlsx&amp;sheet=U0&amp;row=2217&amp;col=6&amp;number=4.3&amp;sourceID=14","4.3")</f>
        <v>4.3</v>
      </c>
      <c r="G2217" s="4" t="str">
        <f>HYPERLINK("http://141.218.60.56/~jnz1568/getInfo.php?workbook=14_13.xlsx&amp;sheet=U0&amp;row=2217&amp;col=7&amp;number=0.503&amp;sourceID=14","0.503")</f>
        <v>0.503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HYPERLINK("http://141.218.60.56/~jnz1568/getInfo.php?workbook=14_13.xlsx&amp;sheet=U0&amp;row=2218&amp;col=6&amp;number=4.4&amp;sourceID=14","4.4")</f>
        <v>4.4</v>
      </c>
      <c r="G2218" s="4" t="str">
        <f>HYPERLINK("http://141.218.60.56/~jnz1568/getInfo.php?workbook=14_13.xlsx&amp;sheet=U0&amp;row=2218&amp;col=7&amp;number=0.483&amp;sourceID=14","0.483")</f>
        <v>0.483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HYPERLINK("http://141.218.60.56/~jnz1568/getInfo.php?workbook=14_13.xlsx&amp;sheet=U0&amp;row=2219&amp;col=6&amp;number=4.5&amp;sourceID=14","4.5")</f>
        <v>4.5</v>
      </c>
      <c r="G2219" s="4" t="str">
        <f>HYPERLINK("http://141.218.60.56/~jnz1568/getInfo.php?workbook=14_13.xlsx&amp;sheet=U0&amp;row=2219&amp;col=7&amp;number=0.461&amp;sourceID=14","0.461")</f>
        <v>0.461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HYPERLINK("http://141.218.60.56/~jnz1568/getInfo.php?workbook=14_13.xlsx&amp;sheet=U0&amp;row=2220&amp;col=6&amp;number=4.6&amp;sourceID=14","4.6")</f>
        <v>4.6</v>
      </c>
      <c r="G2220" s="4" t="str">
        <f>HYPERLINK("http://141.218.60.56/~jnz1568/getInfo.php?workbook=14_13.xlsx&amp;sheet=U0&amp;row=2220&amp;col=7&amp;number=0.439&amp;sourceID=14","0.439")</f>
        <v>0.439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HYPERLINK("http://141.218.60.56/~jnz1568/getInfo.php?workbook=14_13.xlsx&amp;sheet=U0&amp;row=2221&amp;col=6&amp;number=4.7&amp;sourceID=14","4.7")</f>
        <v>4.7</v>
      </c>
      <c r="G2221" s="4" t="str">
        <f>HYPERLINK("http://141.218.60.56/~jnz1568/getInfo.php?workbook=14_13.xlsx&amp;sheet=U0&amp;row=2221&amp;col=7&amp;number=0.416&amp;sourceID=14","0.416")</f>
        <v>0.416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HYPERLINK("http://141.218.60.56/~jnz1568/getInfo.php?workbook=14_13.xlsx&amp;sheet=U0&amp;row=2222&amp;col=6&amp;number=4.8&amp;sourceID=14","4.8")</f>
        <v>4.8</v>
      </c>
      <c r="G2222" s="4" t="str">
        <f>HYPERLINK("http://141.218.60.56/~jnz1568/getInfo.php?workbook=14_13.xlsx&amp;sheet=U0&amp;row=2222&amp;col=7&amp;number=0.393&amp;sourceID=14","0.393")</f>
        <v>0.393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HYPERLINK("http://141.218.60.56/~jnz1568/getInfo.php?workbook=14_13.xlsx&amp;sheet=U0&amp;row=2223&amp;col=6&amp;number=4.9&amp;sourceID=14","4.9")</f>
        <v>4.9</v>
      </c>
      <c r="G2223" s="4" t="str">
        <f>HYPERLINK("http://141.218.60.56/~jnz1568/getInfo.php?workbook=14_13.xlsx&amp;sheet=U0&amp;row=2223&amp;col=7&amp;number=0.369&amp;sourceID=14","0.369")</f>
        <v>0.369</v>
      </c>
    </row>
    <row r="2224" spans="1:7">
      <c r="A2224" s="3">
        <v>14</v>
      </c>
      <c r="B2224" s="3">
        <v>13</v>
      </c>
      <c r="C2224" s="3">
        <v>5</v>
      </c>
      <c r="D2224" s="3">
        <v>11</v>
      </c>
      <c r="E2224" s="3">
        <v>1</v>
      </c>
      <c r="F2224" s="4" t="str">
        <f>HYPERLINK("http://141.218.60.56/~jnz1568/getInfo.php?workbook=14_13.xlsx&amp;sheet=U0&amp;row=2224&amp;col=6&amp;number=3&amp;sourceID=14","3")</f>
        <v>3</v>
      </c>
      <c r="G2224" s="4" t="str">
        <f>HYPERLINK("http://141.218.60.56/~jnz1568/getInfo.php?workbook=14_13.xlsx&amp;sheet=U0&amp;row=2224&amp;col=7&amp;number=1.57&amp;sourceID=14","1.57")</f>
        <v>1.57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HYPERLINK("http://141.218.60.56/~jnz1568/getInfo.php?workbook=14_13.xlsx&amp;sheet=U0&amp;row=2225&amp;col=6&amp;number=3.1&amp;sourceID=14","3.1")</f>
        <v>3.1</v>
      </c>
      <c r="G2225" s="4" t="str">
        <f>HYPERLINK("http://141.218.60.56/~jnz1568/getInfo.php?workbook=14_13.xlsx&amp;sheet=U0&amp;row=2225&amp;col=7&amp;number=1.58&amp;sourceID=14","1.58")</f>
        <v>1.58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HYPERLINK("http://141.218.60.56/~jnz1568/getInfo.php?workbook=14_13.xlsx&amp;sheet=U0&amp;row=2226&amp;col=6&amp;number=3.2&amp;sourceID=14","3.2")</f>
        <v>3.2</v>
      </c>
      <c r="G2226" s="4" t="str">
        <f>HYPERLINK("http://141.218.60.56/~jnz1568/getInfo.php?workbook=14_13.xlsx&amp;sheet=U0&amp;row=2226&amp;col=7&amp;number=1.58&amp;sourceID=14","1.58")</f>
        <v>1.58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HYPERLINK("http://141.218.60.56/~jnz1568/getInfo.php?workbook=14_13.xlsx&amp;sheet=U0&amp;row=2227&amp;col=6&amp;number=3.3&amp;sourceID=14","3.3")</f>
        <v>3.3</v>
      </c>
      <c r="G2227" s="4" t="str">
        <f>HYPERLINK("http://141.218.60.56/~jnz1568/getInfo.php?workbook=14_13.xlsx&amp;sheet=U0&amp;row=2227&amp;col=7&amp;number=1.58&amp;sourceID=14","1.58")</f>
        <v>1.58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HYPERLINK("http://141.218.60.56/~jnz1568/getInfo.php?workbook=14_13.xlsx&amp;sheet=U0&amp;row=2228&amp;col=6&amp;number=3.4&amp;sourceID=14","3.4")</f>
        <v>3.4</v>
      </c>
      <c r="G2228" s="4" t="str">
        <f>HYPERLINK("http://141.218.60.56/~jnz1568/getInfo.php?workbook=14_13.xlsx&amp;sheet=U0&amp;row=2228&amp;col=7&amp;number=1.58&amp;sourceID=14","1.58")</f>
        <v>1.58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HYPERLINK("http://141.218.60.56/~jnz1568/getInfo.php?workbook=14_13.xlsx&amp;sheet=U0&amp;row=2229&amp;col=6&amp;number=3.5&amp;sourceID=14","3.5")</f>
        <v>3.5</v>
      </c>
      <c r="G2229" s="4" t="str">
        <f>HYPERLINK("http://141.218.60.56/~jnz1568/getInfo.php?workbook=14_13.xlsx&amp;sheet=U0&amp;row=2229&amp;col=7&amp;number=1.58&amp;sourceID=14","1.58")</f>
        <v>1.58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HYPERLINK("http://141.218.60.56/~jnz1568/getInfo.php?workbook=14_13.xlsx&amp;sheet=U0&amp;row=2230&amp;col=6&amp;number=3.6&amp;sourceID=14","3.6")</f>
        <v>3.6</v>
      </c>
      <c r="G2230" s="4" t="str">
        <f>HYPERLINK("http://141.218.60.56/~jnz1568/getInfo.php?workbook=14_13.xlsx&amp;sheet=U0&amp;row=2230&amp;col=7&amp;number=1.57&amp;sourceID=14","1.57")</f>
        <v>1.57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HYPERLINK("http://141.218.60.56/~jnz1568/getInfo.php?workbook=14_13.xlsx&amp;sheet=U0&amp;row=2231&amp;col=6&amp;number=3.7&amp;sourceID=14","3.7")</f>
        <v>3.7</v>
      </c>
      <c r="G2231" s="4" t="str">
        <f>HYPERLINK("http://141.218.60.56/~jnz1568/getInfo.php?workbook=14_13.xlsx&amp;sheet=U0&amp;row=2231&amp;col=7&amp;number=1.56&amp;sourceID=14","1.56")</f>
        <v>1.56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HYPERLINK("http://141.218.60.56/~jnz1568/getInfo.php?workbook=14_13.xlsx&amp;sheet=U0&amp;row=2232&amp;col=6&amp;number=3.8&amp;sourceID=14","3.8")</f>
        <v>3.8</v>
      </c>
      <c r="G2232" s="4" t="str">
        <f>HYPERLINK("http://141.218.60.56/~jnz1568/getInfo.php?workbook=14_13.xlsx&amp;sheet=U0&amp;row=2232&amp;col=7&amp;number=1.53&amp;sourceID=14","1.53")</f>
        <v>1.53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HYPERLINK("http://141.218.60.56/~jnz1568/getInfo.php?workbook=14_13.xlsx&amp;sheet=U0&amp;row=2233&amp;col=6&amp;number=3.9&amp;sourceID=14","3.9")</f>
        <v>3.9</v>
      </c>
      <c r="G2233" s="4" t="str">
        <f>HYPERLINK("http://141.218.60.56/~jnz1568/getInfo.php?workbook=14_13.xlsx&amp;sheet=U0&amp;row=2233&amp;col=7&amp;number=1.49&amp;sourceID=14","1.49")</f>
        <v>1.49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HYPERLINK("http://141.218.60.56/~jnz1568/getInfo.php?workbook=14_13.xlsx&amp;sheet=U0&amp;row=2234&amp;col=6&amp;number=4&amp;sourceID=14","4")</f>
        <v>4</v>
      </c>
      <c r="G2234" s="4" t="str">
        <f>HYPERLINK("http://141.218.60.56/~jnz1568/getInfo.php?workbook=14_13.xlsx&amp;sheet=U0&amp;row=2234&amp;col=7&amp;number=1.45&amp;sourceID=14","1.45")</f>
        <v>1.45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HYPERLINK("http://141.218.60.56/~jnz1568/getInfo.php?workbook=14_13.xlsx&amp;sheet=U0&amp;row=2235&amp;col=6&amp;number=4.1&amp;sourceID=14","4.1")</f>
        <v>4.1</v>
      </c>
      <c r="G2235" s="4" t="str">
        <f>HYPERLINK("http://141.218.60.56/~jnz1568/getInfo.php?workbook=14_13.xlsx&amp;sheet=U0&amp;row=2235&amp;col=7&amp;number=1.41&amp;sourceID=14","1.41")</f>
        <v>1.41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HYPERLINK("http://141.218.60.56/~jnz1568/getInfo.php?workbook=14_13.xlsx&amp;sheet=U0&amp;row=2236&amp;col=6&amp;number=4.2&amp;sourceID=14","4.2")</f>
        <v>4.2</v>
      </c>
      <c r="G2236" s="4" t="str">
        <f>HYPERLINK("http://141.218.60.56/~jnz1568/getInfo.php?workbook=14_13.xlsx&amp;sheet=U0&amp;row=2236&amp;col=7&amp;number=1.35&amp;sourceID=14","1.35")</f>
        <v>1.35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HYPERLINK("http://141.218.60.56/~jnz1568/getInfo.php?workbook=14_13.xlsx&amp;sheet=U0&amp;row=2237&amp;col=6&amp;number=4.3&amp;sourceID=14","4.3")</f>
        <v>4.3</v>
      </c>
      <c r="G2237" s="4" t="str">
        <f>HYPERLINK("http://141.218.60.56/~jnz1568/getInfo.php?workbook=14_13.xlsx&amp;sheet=U0&amp;row=2237&amp;col=7&amp;number=1.29&amp;sourceID=14","1.29")</f>
        <v>1.29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HYPERLINK("http://141.218.60.56/~jnz1568/getInfo.php?workbook=14_13.xlsx&amp;sheet=U0&amp;row=2238&amp;col=6&amp;number=4.4&amp;sourceID=14","4.4")</f>
        <v>4.4</v>
      </c>
      <c r="G2238" s="4" t="str">
        <f>HYPERLINK("http://141.218.60.56/~jnz1568/getInfo.php?workbook=14_13.xlsx&amp;sheet=U0&amp;row=2238&amp;col=7&amp;number=1.23&amp;sourceID=14","1.23")</f>
        <v>1.23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HYPERLINK("http://141.218.60.56/~jnz1568/getInfo.php?workbook=14_13.xlsx&amp;sheet=U0&amp;row=2239&amp;col=6&amp;number=4.5&amp;sourceID=14","4.5")</f>
        <v>4.5</v>
      </c>
      <c r="G2239" s="4" t="str">
        <f>HYPERLINK("http://141.218.60.56/~jnz1568/getInfo.php?workbook=14_13.xlsx&amp;sheet=U0&amp;row=2239&amp;col=7&amp;number=1.16&amp;sourceID=14","1.16")</f>
        <v>1.16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HYPERLINK("http://141.218.60.56/~jnz1568/getInfo.php?workbook=14_13.xlsx&amp;sheet=U0&amp;row=2240&amp;col=6&amp;number=4.6&amp;sourceID=14","4.6")</f>
        <v>4.6</v>
      </c>
      <c r="G2240" s="4" t="str">
        <f>HYPERLINK("http://141.218.60.56/~jnz1568/getInfo.php?workbook=14_13.xlsx&amp;sheet=U0&amp;row=2240&amp;col=7&amp;number=1.1&amp;sourceID=14","1.1")</f>
        <v>1.1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HYPERLINK("http://141.218.60.56/~jnz1568/getInfo.php?workbook=14_13.xlsx&amp;sheet=U0&amp;row=2241&amp;col=6&amp;number=4.7&amp;sourceID=14","4.7")</f>
        <v>4.7</v>
      </c>
      <c r="G2241" s="4" t="str">
        <f>HYPERLINK("http://141.218.60.56/~jnz1568/getInfo.php?workbook=14_13.xlsx&amp;sheet=U0&amp;row=2241&amp;col=7&amp;number=1.03&amp;sourceID=14","1.03")</f>
        <v>1.03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HYPERLINK("http://141.218.60.56/~jnz1568/getInfo.php?workbook=14_13.xlsx&amp;sheet=U0&amp;row=2242&amp;col=6&amp;number=4.8&amp;sourceID=14","4.8")</f>
        <v>4.8</v>
      </c>
      <c r="G2242" s="4" t="str">
        <f>HYPERLINK("http://141.218.60.56/~jnz1568/getInfo.php?workbook=14_13.xlsx&amp;sheet=U0&amp;row=2242&amp;col=7&amp;number=0.958&amp;sourceID=14","0.958")</f>
        <v>0.958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HYPERLINK("http://141.218.60.56/~jnz1568/getInfo.php?workbook=14_13.xlsx&amp;sheet=U0&amp;row=2243&amp;col=6&amp;number=4.9&amp;sourceID=14","4.9")</f>
        <v>4.9</v>
      </c>
      <c r="G2243" s="4" t="str">
        <f>HYPERLINK("http://141.218.60.56/~jnz1568/getInfo.php?workbook=14_13.xlsx&amp;sheet=U0&amp;row=2243&amp;col=7&amp;number=0.887&amp;sourceID=14","0.887")</f>
        <v>0.887</v>
      </c>
    </row>
    <row r="2244" spans="1:7">
      <c r="A2244" s="3">
        <v>14</v>
      </c>
      <c r="B2244" s="3">
        <v>13</v>
      </c>
      <c r="C2244" s="3">
        <v>5</v>
      </c>
      <c r="D2244" s="3">
        <v>12</v>
      </c>
      <c r="E2244" s="3">
        <v>1</v>
      </c>
      <c r="F2244" s="4" t="str">
        <f>HYPERLINK("http://141.218.60.56/~jnz1568/getInfo.php?workbook=14_13.xlsx&amp;sheet=U0&amp;row=2244&amp;col=6&amp;number=3&amp;sourceID=14","3")</f>
        <v>3</v>
      </c>
      <c r="G2244" s="4" t="str">
        <f>HYPERLINK("http://141.218.60.56/~jnz1568/getInfo.php?workbook=14_13.xlsx&amp;sheet=U0&amp;row=2244&amp;col=7&amp;number=0.141&amp;sourceID=14","0.141")</f>
        <v>0.141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HYPERLINK("http://141.218.60.56/~jnz1568/getInfo.php?workbook=14_13.xlsx&amp;sheet=U0&amp;row=2245&amp;col=6&amp;number=3.1&amp;sourceID=14","3.1")</f>
        <v>3.1</v>
      </c>
      <c r="G2245" s="4" t="str">
        <f>HYPERLINK("http://141.218.60.56/~jnz1568/getInfo.php?workbook=14_13.xlsx&amp;sheet=U0&amp;row=2245&amp;col=7&amp;number=0.138&amp;sourceID=14","0.138")</f>
        <v>0.138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HYPERLINK("http://141.218.60.56/~jnz1568/getInfo.php?workbook=14_13.xlsx&amp;sheet=U0&amp;row=2246&amp;col=6&amp;number=3.2&amp;sourceID=14","3.2")</f>
        <v>3.2</v>
      </c>
      <c r="G2246" s="4" t="str">
        <f>HYPERLINK("http://141.218.60.56/~jnz1568/getInfo.php?workbook=14_13.xlsx&amp;sheet=U0&amp;row=2246&amp;col=7&amp;number=0.135&amp;sourceID=14","0.135")</f>
        <v>0.135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HYPERLINK("http://141.218.60.56/~jnz1568/getInfo.php?workbook=14_13.xlsx&amp;sheet=U0&amp;row=2247&amp;col=6&amp;number=3.3&amp;sourceID=14","3.3")</f>
        <v>3.3</v>
      </c>
      <c r="G2247" s="4" t="str">
        <f>HYPERLINK("http://141.218.60.56/~jnz1568/getInfo.php?workbook=14_13.xlsx&amp;sheet=U0&amp;row=2247&amp;col=7&amp;number=0.131&amp;sourceID=14","0.131")</f>
        <v>0.131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HYPERLINK("http://141.218.60.56/~jnz1568/getInfo.php?workbook=14_13.xlsx&amp;sheet=U0&amp;row=2248&amp;col=6&amp;number=3.4&amp;sourceID=14","3.4")</f>
        <v>3.4</v>
      </c>
      <c r="G2248" s="4" t="str">
        <f>HYPERLINK("http://141.218.60.56/~jnz1568/getInfo.php?workbook=14_13.xlsx&amp;sheet=U0&amp;row=2248&amp;col=7&amp;number=0.127&amp;sourceID=14","0.127")</f>
        <v>0.127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HYPERLINK("http://141.218.60.56/~jnz1568/getInfo.php?workbook=14_13.xlsx&amp;sheet=U0&amp;row=2249&amp;col=6&amp;number=3.5&amp;sourceID=14","3.5")</f>
        <v>3.5</v>
      </c>
      <c r="G2249" s="4" t="str">
        <f>HYPERLINK("http://141.218.60.56/~jnz1568/getInfo.php?workbook=14_13.xlsx&amp;sheet=U0&amp;row=2249&amp;col=7&amp;number=0.122&amp;sourceID=14","0.122")</f>
        <v>0.122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HYPERLINK("http://141.218.60.56/~jnz1568/getInfo.php?workbook=14_13.xlsx&amp;sheet=U0&amp;row=2250&amp;col=6&amp;number=3.6&amp;sourceID=14","3.6")</f>
        <v>3.6</v>
      </c>
      <c r="G2250" s="4" t="str">
        <f>HYPERLINK("http://141.218.60.56/~jnz1568/getInfo.php?workbook=14_13.xlsx&amp;sheet=U0&amp;row=2250&amp;col=7&amp;number=0.117&amp;sourceID=14","0.117")</f>
        <v>0.117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HYPERLINK("http://141.218.60.56/~jnz1568/getInfo.php?workbook=14_13.xlsx&amp;sheet=U0&amp;row=2251&amp;col=6&amp;number=3.7&amp;sourceID=14","3.7")</f>
        <v>3.7</v>
      </c>
      <c r="G2251" s="4" t="str">
        <f>HYPERLINK("http://141.218.60.56/~jnz1568/getInfo.php?workbook=14_13.xlsx&amp;sheet=U0&amp;row=2251&amp;col=7&amp;number=0.112&amp;sourceID=14","0.112")</f>
        <v>0.112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HYPERLINK("http://141.218.60.56/~jnz1568/getInfo.php?workbook=14_13.xlsx&amp;sheet=U0&amp;row=2252&amp;col=6&amp;number=3.8&amp;sourceID=14","3.8")</f>
        <v>3.8</v>
      </c>
      <c r="G2252" s="4" t="str">
        <f>HYPERLINK("http://141.218.60.56/~jnz1568/getInfo.php?workbook=14_13.xlsx&amp;sheet=U0&amp;row=2252&amp;col=7&amp;number=0.108&amp;sourceID=14","0.108")</f>
        <v>0.108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HYPERLINK("http://141.218.60.56/~jnz1568/getInfo.php?workbook=14_13.xlsx&amp;sheet=U0&amp;row=2253&amp;col=6&amp;number=3.9&amp;sourceID=14","3.9")</f>
        <v>3.9</v>
      </c>
      <c r="G2253" s="4" t="str">
        <f>HYPERLINK("http://141.218.60.56/~jnz1568/getInfo.php?workbook=14_13.xlsx&amp;sheet=U0&amp;row=2253&amp;col=7&amp;number=0.103&amp;sourceID=14","0.103")</f>
        <v>0.103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HYPERLINK("http://141.218.60.56/~jnz1568/getInfo.php?workbook=14_13.xlsx&amp;sheet=U0&amp;row=2254&amp;col=6&amp;number=4&amp;sourceID=14","4")</f>
        <v>4</v>
      </c>
      <c r="G2254" s="4" t="str">
        <f>HYPERLINK("http://141.218.60.56/~jnz1568/getInfo.php?workbook=14_13.xlsx&amp;sheet=U0&amp;row=2254&amp;col=7&amp;number=0.0982&amp;sourceID=14","0.0982")</f>
        <v>0.0982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HYPERLINK("http://141.218.60.56/~jnz1568/getInfo.php?workbook=14_13.xlsx&amp;sheet=U0&amp;row=2255&amp;col=6&amp;number=4.1&amp;sourceID=14","4.1")</f>
        <v>4.1</v>
      </c>
      <c r="G2255" s="4" t="str">
        <f>HYPERLINK("http://141.218.60.56/~jnz1568/getInfo.php?workbook=14_13.xlsx&amp;sheet=U0&amp;row=2255&amp;col=7&amp;number=0.0931&amp;sourceID=14","0.0931")</f>
        <v>0.0931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HYPERLINK("http://141.218.60.56/~jnz1568/getInfo.php?workbook=14_13.xlsx&amp;sheet=U0&amp;row=2256&amp;col=6&amp;number=4.2&amp;sourceID=14","4.2")</f>
        <v>4.2</v>
      </c>
      <c r="G2256" s="4" t="str">
        <f>HYPERLINK("http://141.218.60.56/~jnz1568/getInfo.php?workbook=14_13.xlsx&amp;sheet=U0&amp;row=2256&amp;col=7&amp;number=0.0878&amp;sourceID=14","0.0878")</f>
        <v>0.0878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HYPERLINK("http://141.218.60.56/~jnz1568/getInfo.php?workbook=14_13.xlsx&amp;sheet=U0&amp;row=2257&amp;col=6&amp;number=4.3&amp;sourceID=14","4.3")</f>
        <v>4.3</v>
      </c>
      <c r="G2257" s="4" t="str">
        <f>HYPERLINK("http://141.218.60.56/~jnz1568/getInfo.php?workbook=14_13.xlsx&amp;sheet=U0&amp;row=2257&amp;col=7&amp;number=0.0824&amp;sourceID=14","0.0824")</f>
        <v>0.0824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HYPERLINK("http://141.218.60.56/~jnz1568/getInfo.php?workbook=14_13.xlsx&amp;sheet=U0&amp;row=2258&amp;col=6&amp;number=4.4&amp;sourceID=14","4.4")</f>
        <v>4.4</v>
      </c>
      <c r="G2258" s="4" t="str">
        <f>HYPERLINK("http://141.218.60.56/~jnz1568/getInfo.php?workbook=14_13.xlsx&amp;sheet=U0&amp;row=2258&amp;col=7&amp;number=0.0769&amp;sourceID=14","0.0769")</f>
        <v>0.0769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HYPERLINK("http://141.218.60.56/~jnz1568/getInfo.php?workbook=14_13.xlsx&amp;sheet=U0&amp;row=2259&amp;col=6&amp;number=4.5&amp;sourceID=14","4.5")</f>
        <v>4.5</v>
      </c>
      <c r="G2259" s="4" t="str">
        <f>HYPERLINK("http://141.218.60.56/~jnz1568/getInfo.php?workbook=14_13.xlsx&amp;sheet=U0&amp;row=2259&amp;col=7&amp;number=0.0714&amp;sourceID=14","0.0714")</f>
        <v>0.0714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HYPERLINK("http://141.218.60.56/~jnz1568/getInfo.php?workbook=14_13.xlsx&amp;sheet=U0&amp;row=2260&amp;col=6&amp;number=4.6&amp;sourceID=14","4.6")</f>
        <v>4.6</v>
      </c>
      <c r="G2260" s="4" t="str">
        <f>HYPERLINK("http://141.218.60.56/~jnz1568/getInfo.php?workbook=14_13.xlsx&amp;sheet=U0&amp;row=2260&amp;col=7&amp;number=0.066&amp;sourceID=14","0.066")</f>
        <v>0.066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HYPERLINK("http://141.218.60.56/~jnz1568/getInfo.php?workbook=14_13.xlsx&amp;sheet=U0&amp;row=2261&amp;col=6&amp;number=4.7&amp;sourceID=14","4.7")</f>
        <v>4.7</v>
      </c>
      <c r="G2261" s="4" t="str">
        <f>HYPERLINK("http://141.218.60.56/~jnz1568/getInfo.php?workbook=14_13.xlsx&amp;sheet=U0&amp;row=2261&amp;col=7&amp;number=0.0608&amp;sourceID=14","0.0608")</f>
        <v>0.0608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HYPERLINK("http://141.218.60.56/~jnz1568/getInfo.php?workbook=14_13.xlsx&amp;sheet=U0&amp;row=2262&amp;col=6&amp;number=4.8&amp;sourceID=14","4.8")</f>
        <v>4.8</v>
      </c>
      <c r="G2262" s="4" t="str">
        <f>HYPERLINK("http://141.218.60.56/~jnz1568/getInfo.php?workbook=14_13.xlsx&amp;sheet=U0&amp;row=2262&amp;col=7&amp;number=0.0558&amp;sourceID=14","0.0558")</f>
        <v>0.0558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HYPERLINK("http://141.218.60.56/~jnz1568/getInfo.php?workbook=14_13.xlsx&amp;sheet=U0&amp;row=2263&amp;col=6&amp;number=4.9&amp;sourceID=14","4.9")</f>
        <v>4.9</v>
      </c>
      <c r="G2263" s="4" t="str">
        <f>HYPERLINK("http://141.218.60.56/~jnz1568/getInfo.php?workbook=14_13.xlsx&amp;sheet=U0&amp;row=2263&amp;col=7&amp;number=0.0511&amp;sourceID=14","0.0511")</f>
        <v>0.0511</v>
      </c>
    </row>
    <row r="2264" spans="1:7">
      <c r="A2264" s="3">
        <v>14</v>
      </c>
      <c r="B2264" s="3">
        <v>13</v>
      </c>
      <c r="C2264" s="3">
        <v>5</v>
      </c>
      <c r="D2264" s="3">
        <v>13</v>
      </c>
      <c r="E2264" s="3">
        <v>1</v>
      </c>
      <c r="F2264" s="4" t="str">
        <f>HYPERLINK("http://141.218.60.56/~jnz1568/getInfo.php?workbook=14_13.xlsx&amp;sheet=U0&amp;row=2264&amp;col=6&amp;number=3&amp;sourceID=14","3")</f>
        <v>3</v>
      </c>
      <c r="G2264" s="4" t="str">
        <f>HYPERLINK("http://141.218.60.56/~jnz1568/getInfo.php?workbook=14_13.xlsx&amp;sheet=U0&amp;row=2264&amp;col=7&amp;number=0.425&amp;sourceID=14","0.425")</f>
        <v>0.425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HYPERLINK("http://141.218.60.56/~jnz1568/getInfo.php?workbook=14_13.xlsx&amp;sheet=U0&amp;row=2265&amp;col=6&amp;number=3.1&amp;sourceID=14","3.1")</f>
        <v>3.1</v>
      </c>
      <c r="G2265" s="4" t="str">
        <f>HYPERLINK("http://141.218.60.56/~jnz1568/getInfo.php?workbook=14_13.xlsx&amp;sheet=U0&amp;row=2265&amp;col=7&amp;number=0.418&amp;sourceID=14","0.418")</f>
        <v>0.418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HYPERLINK("http://141.218.60.56/~jnz1568/getInfo.php?workbook=14_13.xlsx&amp;sheet=U0&amp;row=2266&amp;col=6&amp;number=3.2&amp;sourceID=14","3.2")</f>
        <v>3.2</v>
      </c>
      <c r="G2266" s="4" t="str">
        <f>HYPERLINK("http://141.218.60.56/~jnz1568/getInfo.php?workbook=14_13.xlsx&amp;sheet=U0&amp;row=2266&amp;col=7&amp;number=0.41&amp;sourceID=14","0.41")</f>
        <v>0.41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HYPERLINK("http://141.218.60.56/~jnz1568/getInfo.php?workbook=14_13.xlsx&amp;sheet=U0&amp;row=2267&amp;col=6&amp;number=3.3&amp;sourceID=14","3.3")</f>
        <v>3.3</v>
      </c>
      <c r="G2267" s="4" t="str">
        <f>HYPERLINK("http://141.218.60.56/~jnz1568/getInfo.php?workbook=14_13.xlsx&amp;sheet=U0&amp;row=2267&amp;col=7&amp;number=0.4&amp;sourceID=14","0.4")</f>
        <v>0.4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HYPERLINK("http://141.218.60.56/~jnz1568/getInfo.php?workbook=14_13.xlsx&amp;sheet=U0&amp;row=2268&amp;col=6&amp;number=3.4&amp;sourceID=14","3.4")</f>
        <v>3.4</v>
      </c>
      <c r="G2268" s="4" t="str">
        <f>HYPERLINK("http://141.218.60.56/~jnz1568/getInfo.php?workbook=14_13.xlsx&amp;sheet=U0&amp;row=2268&amp;col=7&amp;number=0.389&amp;sourceID=14","0.389")</f>
        <v>0.389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HYPERLINK("http://141.218.60.56/~jnz1568/getInfo.php?workbook=14_13.xlsx&amp;sheet=U0&amp;row=2269&amp;col=6&amp;number=3.5&amp;sourceID=14","3.5")</f>
        <v>3.5</v>
      </c>
      <c r="G2269" s="4" t="str">
        <f>HYPERLINK("http://141.218.60.56/~jnz1568/getInfo.php?workbook=14_13.xlsx&amp;sheet=U0&amp;row=2269&amp;col=7&amp;number=0.375&amp;sourceID=14","0.375")</f>
        <v>0.375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HYPERLINK("http://141.218.60.56/~jnz1568/getInfo.php?workbook=14_13.xlsx&amp;sheet=U0&amp;row=2270&amp;col=6&amp;number=3.6&amp;sourceID=14","3.6")</f>
        <v>3.6</v>
      </c>
      <c r="G2270" s="4" t="str">
        <f>HYPERLINK("http://141.218.60.56/~jnz1568/getInfo.php?workbook=14_13.xlsx&amp;sheet=U0&amp;row=2270&amp;col=7&amp;number=0.359&amp;sourceID=14","0.359")</f>
        <v>0.359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HYPERLINK("http://141.218.60.56/~jnz1568/getInfo.php?workbook=14_13.xlsx&amp;sheet=U0&amp;row=2271&amp;col=6&amp;number=3.7&amp;sourceID=14","3.7")</f>
        <v>3.7</v>
      </c>
      <c r="G2271" s="4" t="str">
        <f>HYPERLINK("http://141.218.60.56/~jnz1568/getInfo.php?workbook=14_13.xlsx&amp;sheet=U0&amp;row=2271&amp;col=7&amp;number=0.342&amp;sourceID=14","0.342")</f>
        <v>0.342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HYPERLINK("http://141.218.60.56/~jnz1568/getInfo.php?workbook=14_13.xlsx&amp;sheet=U0&amp;row=2272&amp;col=6&amp;number=3.8&amp;sourceID=14","3.8")</f>
        <v>3.8</v>
      </c>
      <c r="G2272" s="4" t="str">
        <f>HYPERLINK("http://141.218.60.56/~jnz1568/getInfo.php?workbook=14_13.xlsx&amp;sheet=U0&amp;row=2272&amp;col=7&amp;number=0.325&amp;sourceID=14","0.325")</f>
        <v>0.325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HYPERLINK("http://141.218.60.56/~jnz1568/getInfo.php?workbook=14_13.xlsx&amp;sheet=U0&amp;row=2273&amp;col=6&amp;number=3.9&amp;sourceID=14","3.9")</f>
        <v>3.9</v>
      </c>
      <c r="G2273" s="4" t="str">
        <f>HYPERLINK("http://141.218.60.56/~jnz1568/getInfo.php?workbook=14_13.xlsx&amp;sheet=U0&amp;row=2273&amp;col=7&amp;number=0.308&amp;sourceID=14","0.308")</f>
        <v>0.308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HYPERLINK("http://141.218.60.56/~jnz1568/getInfo.php?workbook=14_13.xlsx&amp;sheet=U0&amp;row=2274&amp;col=6&amp;number=4&amp;sourceID=14","4")</f>
        <v>4</v>
      </c>
      <c r="G2274" s="4" t="str">
        <f>HYPERLINK("http://141.218.60.56/~jnz1568/getInfo.php?workbook=14_13.xlsx&amp;sheet=U0&amp;row=2274&amp;col=7&amp;number=0.291&amp;sourceID=14","0.291")</f>
        <v>0.291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HYPERLINK("http://141.218.60.56/~jnz1568/getInfo.php?workbook=14_13.xlsx&amp;sheet=U0&amp;row=2275&amp;col=6&amp;number=4.1&amp;sourceID=14","4.1")</f>
        <v>4.1</v>
      </c>
      <c r="G2275" s="4" t="str">
        <f>HYPERLINK("http://141.218.60.56/~jnz1568/getInfo.php?workbook=14_13.xlsx&amp;sheet=U0&amp;row=2275&amp;col=7&amp;number=0.274&amp;sourceID=14","0.274")</f>
        <v>0.274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HYPERLINK("http://141.218.60.56/~jnz1568/getInfo.php?workbook=14_13.xlsx&amp;sheet=U0&amp;row=2276&amp;col=6&amp;number=4.2&amp;sourceID=14","4.2")</f>
        <v>4.2</v>
      </c>
      <c r="G2276" s="4" t="str">
        <f>HYPERLINK("http://141.218.60.56/~jnz1568/getInfo.php?workbook=14_13.xlsx&amp;sheet=U0&amp;row=2276&amp;col=7&amp;number=0.257&amp;sourceID=14","0.257")</f>
        <v>0.257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HYPERLINK("http://141.218.60.56/~jnz1568/getInfo.php?workbook=14_13.xlsx&amp;sheet=U0&amp;row=2277&amp;col=6&amp;number=4.3&amp;sourceID=14","4.3")</f>
        <v>4.3</v>
      </c>
      <c r="G2277" s="4" t="str">
        <f>HYPERLINK("http://141.218.60.56/~jnz1568/getInfo.php?workbook=14_13.xlsx&amp;sheet=U0&amp;row=2277&amp;col=7&amp;number=0.24&amp;sourceID=14","0.24")</f>
        <v>0.24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HYPERLINK("http://141.218.60.56/~jnz1568/getInfo.php?workbook=14_13.xlsx&amp;sheet=U0&amp;row=2278&amp;col=6&amp;number=4.4&amp;sourceID=14","4.4")</f>
        <v>4.4</v>
      </c>
      <c r="G2278" s="4" t="str">
        <f>HYPERLINK("http://141.218.60.56/~jnz1568/getInfo.php?workbook=14_13.xlsx&amp;sheet=U0&amp;row=2278&amp;col=7&amp;number=0.223&amp;sourceID=14","0.223")</f>
        <v>0.223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HYPERLINK("http://141.218.60.56/~jnz1568/getInfo.php?workbook=14_13.xlsx&amp;sheet=U0&amp;row=2279&amp;col=6&amp;number=4.5&amp;sourceID=14","4.5")</f>
        <v>4.5</v>
      </c>
      <c r="G2279" s="4" t="str">
        <f>HYPERLINK("http://141.218.60.56/~jnz1568/getInfo.php?workbook=14_13.xlsx&amp;sheet=U0&amp;row=2279&amp;col=7&amp;number=0.206&amp;sourceID=14","0.206")</f>
        <v>0.206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HYPERLINK("http://141.218.60.56/~jnz1568/getInfo.php?workbook=14_13.xlsx&amp;sheet=U0&amp;row=2280&amp;col=6&amp;number=4.6&amp;sourceID=14","4.6")</f>
        <v>4.6</v>
      </c>
      <c r="G2280" s="4" t="str">
        <f>HYPERLINK("http://141.218.60.56/~jnz1568/getInfo.php?workbook=14_13.xlsx&amp;sheet=U0&amp;row=2280&amp;col=7&amp;number=0.191&amp;sourceID=14","0.191")</f>
        <v>0.191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HYPERLINK("http://141.218.60.56/~jnz1568/getInfo.php?workbook=14_13.xlsx&amp;sheet=U0&amp;row=2281&amp;col=6&amp;number=4.7&amp;sourceID=14","4.7")</f>
        <v>4.7</v>
      </c>
      <c r="G2281" s="4" t="str">
        <f>HYPERLINK("http://141.218.60.56/~jnz1568/getInfo.php?workbook=14_13.xlsx&amp;sheet=U0&amp;row=2281&amp;col=7&amp;number=0.178&amp;sourceID=14","0.178")</f>
        <v>0.178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HYPERLINK("http://141.218.60.56/~jnz1568/getInfo.php?workbook=14_13.xlsx&amp;sheet=U0&amp;row=2282&amp;col=6&amp;number=4.8&amp;sourceID=14","4.8")</f>
        <v>4.8</v>
      </c>
      <c r="G2282" s="4" t="str">
        <f>HYPERLINK("http://141.218.60.56/~jnz1568/getInfo.php?workbook=14_13.xlsx&amp;sheet=U0&amp;row=2282&amp;col=7&amp;number=0.165&amp;sourceID=14","0.165")</f>
        <v>0.165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HYPERLINK("http://141.218.60.56/~jnz1568/getInfo.php?workbook=14_13.xlsx&amp;sheet=U0&amp;row=2283&amp;col=6&amp;number=4.9&amp;sourceID=14","4.9")</f>
        <v>4.9</v>
      </c>
      <c r="G2283" s="4" t="str">
        <f>HYPERLINK("http://141.218.60.56/~jnz1568/getInfo.php?workbook=14_13.xlsx&amp;sheet=U0&amp;row=2283&amp;col=7&amp;number=0.152&amp;sourceID=14","0.152")</f>
        <v>0.152</v>
      </c>
    </row>
    <row r="2284" spans="1:7">
      <c r="A2284" s="3">
        <v>14</v>
      </c>
      <c r="B2284" s="3">
        <v>13</v>
      </c>
      <c r="C2284" s="3">
        <v>5</v>
      </c>
      <c r="D2284" s="3">
        <v>14</v>
      </c>
      <c r="E2284" s="3">
        <v>1</v>
      </c>
      <c r="F2284" s="4" t="str">
        <f>HYPERLINK("http://141.218.60.56/~jnz1568/getInfo.php?workbook=14_13.xlsx&amp;sheet=U0&amp;row=2284&amp;col=6&amp;number=3&amp;sourceID=14","3")</f>
        <v>3</v>
      </c>
      <c r="G2284" s="4" t="str">
        <f>HYPERLINK("http://141.218.60.56/~jnz1568/getInfo.php?workbook=14_13.xlsx&amp;sheet=U0&amp;row=2284&amp;col=7&amp;number=1.15&amp;sourceID=14","1.15")</f>
        <v>1.15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HYPERLINK("http://141.218.60.56/~jnz1568/getInfo.php?workbook=14_13.xlsx&amp;sheet=U0&amp;row=2285&amp;col=6&amp;number=3.1&amp;sourceID=14","3.1")</f>
        <v>3.1</v>
      </c>
      <c r="G2285" s="4" t="str">
        <f>HYPERLINK("http://141.218.60.56/~jnz1568/getInfo.php?workbook=14_13.xlsx&amp;sheet=U0&amp;row=2285&amp;col=7&amp;number=1.15&amp;sourceID=14","1.15")</f>
        <v>1.15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HYPERLINK("http://141.218.60.56/~jnz1568/getInfo.php?workbook=14_13.xlsx&amp;sheet=U0&amp;row=2286&amp;col=6&amp;number=3.2&amp;sourceID=14","3.2")</f>
        <v>3.2</v>
      </c>
      <c r="G2286" s="4" t="str">
        <f>HYPERLINK("http://141.218.60.56/~jnz1568/getInfo.php?workbook=14_13.xlsx&amp;sheet=U0&amp;row=2286&amp;col=7&amp;number=1.14&amp;sourceID=14","1.14")</f>
        <v>1.14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HYPERLINK("http://141.218.60.56/~jnz1568/getInfo.php?workbook=14_13.xlsx&amp;sheet=U0&amp;row=2287&amp;col=6&amp;number=3.3&amp;sourceID=14","3.3")</f>
        <v>3.3</v>
      </c>
      <c r="G2287" s="4" t="str">
        <f>HYPERLINK("http://141.218.60.56/~jnz1568/getInfo.php?workbook=14_13.xlsx&amp;sheet=U0&amp;row=2287&amp;col=7&amp;number=1.13&amp;sourceID=14","1.13")</f>
        <v>1.13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HYPERLINK("http://141.218.60.56/~jnz1568/getInfo.php?workbook=14_13.xlsx&amp;sheet=U0&amp;row=2288&amp;col=6&amp;number=3.4&amp;sourceID=14","3.4")</f>
        <v>3.4</v>
      </c>
      <c r="G2288" s="4" t="str">
        <f>HYPERLINK("http://141.218.60.56/~jnz1568/getInfo.php?workbook=14_13.xlsx&amp;sheet=U0&amp;row=2288&amp;col=7&amp;number=1.12&amp;sourceID=14","1.12")</f>
        <v>1.12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HYPERLINK("http://141.218.60.56/~jnz1568/getInfo.php?workbook=14_13.xlsx&amp;sheet=U0&amp;row=2289&amp;col=6&amp;number=3.5&amp;sourceID=14","3.5")</f>
        <v>3.5</v>
      </c>
      <c r="G2289" s="4" t="str">
        <f>HYPERLINK("http://141.218.60.56/~jnz1568/getInfo.php?workbook=14_13.xlsx&amp;sheet=U0&amp;row=2289&amp;col=7&amp;number=1.11&amp;sourceID=14","1.11")</f>
        <v>1.11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HYPERLINK("http://141.218.60.56/~jnz1568/getInfo.php?workbook=14_13.xlsx&amp;sheet=U0&amp;row=2290&amp;col=6&amp;number=3.6&amp;sourceID=14","3.6")</f>
        <v>3.6</v>
      </c>
      <c r="G2290" s="4" t="str">
        <f>HYPERLINK("http://141.218.60.56/~jnz1568/getInfo.php?workbook=14_13.xlsx&amp;sheet=U0&amp;row=2290&amp;col=7&amp;number=1.09&amp;sourceID=14","1.09")</f>
        <v>1.09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HYPERLINK("http://141.218.60.56/~jnz1568/getInfo.php?workbook=14_13.xlsx&amp;sheet=U0&amp;row=2291&amp;col=6&amp;number=3.7&amp;sourceID=14","3.7")</f>
        <v>3.7</v>
      </c>
      <c r="G2291" s="4" t="str">
        <f>HYPERLINK("http://141.218.60.56/~jnz1568/getInfo.php?workbook=14_13.xlsx&amp;sheet=U0&amp;row=2291&amp;col=7&amp;number=1.08&amp;sourceID=14","1.08")</f>
        <v>1.08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HYPERLINK("http://141.218.60.56/~jnz1568/getInfo.php?workbook=14_13.xlsx&amp;sheet=U0&amp;row=2292&amp;col=6&amp;number=3.8&amp;sourceID=14","3.8")</f>
        <v>3.8</v>
      </c>
      <c r="G2292" s="4" t="str">
        <f>HYPERLINK("http://141.218.60.56/~jnz1568/getInfo.php?workbook=14_13.xlsx&amp;sheet=U0&amp;row=2292&amp;col=7&amp;number=1.06&amp;sourceID=14","1.06")</f>
        <v>1.06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HYPERLINK("http://141.218.60.56/~jnz1568/getInfo.php?workbook=14_13.xlsx&amp;sheet=U0&amp;row=2293&amp;col=6&amp;number=3.9&amp;sourceID=14","3.9")</f>
        <v>3.9</v>
      </c>
      <c r="G2293" s="4" t="str">
        <f>HYPERLINK("http://141.218.60.56/~jnz1568/getInfo.php?workbook=14_13.xlsx&amp;sheet=U0&amp;row=2293&amp;col=7&amp;number=1.04&amp;sourceID=14","1.04")</f>
        <v>1.04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HYPERLINK("http://141.218.60.56/~jnz1568/getInfo.php?workbook=14_13.xlsx&amp;sheet=U0&amp;row=2294&amp;col=6&amp;number=4&amp;sourceID=14","4")</f>
        <v>4</v>
      </c>
      <c r="G2294" s="4" t="str">
        <f>HYPERLINK("http://141.218.60.56/~jnz1568/getInfo.php?workbook=14_13.xlsx&amp;sheet=U0&amp;row=2294&amp;col=7&amp;number=1.02&amp;sourceID=14","1.02")</f>
        <v>1.02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HYPERLINK("http://141.218.60.56/~jnz1568/getInfo.php?workbook=14_13.xlsx&amp;sheet=U0&amp;row=2295&amp;col=6&amp;number=4.1&amp;sourceID=14","4.1")</f>
        <v>4.1</v>
      </c>
      <c r="G2295" s="4" t="str">
        <f>HYPERLINK("http://141.218.60.56/~jnz1568/getInfo.php?workbook=14_13.xlsx&amp;sheet=U0&amp;row=2295&amp;col=7&amp;number=1&amp;sourceID=14","1")</f>
        <v>1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HYPERLINK("http://141.218.60.56/~jnz1568/getInfo.php?workbook=14_13.xlsx&amp;sheet=U0&amp;row=2296&amp;col=6&amp;number=4.2&amp;sourceID=14","4.2")</f>
        <v>4.2</v>
      </c>
      <c r="G2296" s="4" t="str">
        <f>HYPERLINK("http://141.218.60.56/~jnz1568/getInfo.php?workbook=14_13.xlsx&amp;sheet=U0&amp;row=2296&amp;col=7&amp;number=0.978&amp;sourceID=14","0.978")</f>
        <v>0.978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HYPERLINK("http://141.218.60.56/~jnz1568/getInfo.php?workbook=14_13.xlsx&amp;sheet=U0&amp;row=2297&amp;col=6&amp;number=4.3&amp;sourceID=14","4.3")</f>
        <v>4.3</v>
      </c>
      <c r="G2297" s="4" t="str">
        <f>HYPERLINK("http://141.218.60.56/~jnz1568/getInfo.php?workbook=14_13.xlsx&amp;sheet=U0&amp;row=2297&amp;col=7&amp;number=0.948&amp;sourceID=14","0.948")</f>
        <v>0.948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HYPERLINK("http://141.218.60.56/~jnz1568/getInfo.php?workbook=14_13.xlsx&amp;sheet=U0&amp;row=2298&amp;col=6&amp;number=4.4&amp;sourceID=14","4.4")</f>
        <v>4.4</v>
      </c>
      <c r="G2298" s="4" t="str">
        <f>HYPERLINK("http://141.218.60.56/~jnz1568/getInfo.php?workbook=14_13.xlsx&amp;sheet=U0&amp;row=2298&amp;col=7&amp;number=0.911&amp;sourceID=14","0.911")</f>
        <v>0.911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HYPERLINK("http://141.218.60.56/~jnz1568/getInfo.php?workbook=14_13.xlsx&amp;sheet=U0&amp;row=2299&amp;col=6&amp;number=4.5&amp;sourceID=14","4.5")</f>
        <v>4.5</v>
      </c>
      <c r="G2299" s="4" t="str">
        <f>HYPERLINK("http://141.218.60.56/~jnz1568/getInfo.php?workbook=14_13.xlsx&amp;sheet=U0&amp;row=2299&amp;col=7&amp;number=0.865&amp;sourceID=14","0.865")</f>
        <v>0.865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HYPERLINK("http://141.218.60.56/~jnz1568/getInfo.php?workbook=14_13.xlsx&amp;sheet=U0&amp;row=2300&amp;col=6&amp;number=4.6&amp;sourceID=14","4.6")</f>
        <v>4.6</v>
      </c>
      <c r="G2300" s="4" t="str">
        <f>HYPERLINK("http://141.218.60.56/~jnz1568/getInfo.php?workbook=14_13.xlsx&amp;sheet=U0&amp;row=2300&amp;col=7&amp;number=0.813&amp;sourceID=14","0.813")</f>
        <v>0.813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HYPERLINK("http://141.218.60.56/~jnz1568/getInfo.php?workbook=14_13.xlsx&amp;sheet=U0&amp;row=2301&amp;col=6&amp;number=4.7&amp;sourceID=14","4.7")</f>
        <v>4.7</v>
      </c>
      <c r="G2301" s="4" t="str">
        <f>HYPERLINK("http://141.218.60.56/~jnz1568/getInfo.php?workbook=14_13.xlsx&amp;sheet=U0&amp;row=2301&amp;col=7&amp;number=0.755&amp;sourceID=14","0.755")</f>
        <v>0.755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HYPERLINK("http://141.218.60.56/~jnz1568/getInfo.php?workbook=14_13.xlsx&amp;sheet=U0&amp;row=2302&amp;col=6&amp;number=4.8&amp;sourceID=14","4.8")</f>
        <v>4.8</v>
      </c>
      <c r="G2302" s="4" t="str">
        <f>HYPERLINK("http://141.218.60.56/~jnz1568/getInfo.php?workbook=14_13.xlsx&amp;sheet=U0&amp;row=2302&amp;col=7&amp;number=0.694&amp;sourceID=14","0.694")</f>
        <v>0.694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HYPERLINK("http://141.218.60.56/~jnz1568/getInfo.php?workbook=14_13.xlsx&amp;sheet=U0&amp;row=2303&amp;col=6&amp;number=4.9&amp;sourceID=14","4.9")</f>
        <v>4.9</v>
      </c>
      <c r="G2303" s="4" t="str">
        <f>HYPERLINK("http://141.218.60.56/~jnz1568/getInfo.php?workbook=14_13.xlsx&amp;sheet=U0&amp;row=2303&amp;col=7&amp;number=0.631&amp;sourceID=14","0.631")</f>
        <v>0.631</v>
      </c>
    </row>
    <row r="2304" spans="1:7">
      <c r="A2304" s="3">
        <v>14</v>
      </c>
      <c r="B2304" s="3">
        <v>13</v>
      </c>
      <c r="C2304" s="3">
        <v>5</v>
      </c>
      <c r="D2304" s="3">
        <v>15</v>
      </c>
      <c r="E2304" s="3">
        <v>1</v>
      </c>
      <c r="F2304" s="4" t="str">
        <f>HYPERLINK("http://141.218.60.56/~jnz1568/getInfo.php?workbook=14_13.xlsx&amp;sheet=U0&amp;row=2304&amp;col=6&amp;number=3&amp;sourceID=14","3")</f>
        <v>3</v>
      </c>
      <c r="G2304" s="4" t="str">
        <f>HYPERLINK("http://141.218.60.56/~jnz1568/getInfo.php?workbook=14_13.xlsx&amp;sheet=U0&amp;row=2304&amp;col=7&amp;number=2.42&amp;sourceID=14","2.42")</f>
        <v>2.42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HYPERLINK("http://141.218.60.56/~jnz1568/getInfo.php?workbook=14_13.xlsx&amp;sheet=U0&amp;row=2305&amp;col=6&amp;number=3.1&amp;sourceID=14","3.1")</f>
        <v>3.1</v>
      </c>
      <c r="G2305" s="4" t="str">
        <f>HYPERLINK("http://141.218.60.56/~jnz1568/getInfo.php?workbook=14_13.xlsx&amp;sheet=U0&amp;row=2305&amp;col=7&amp;number=2.41&amp;sourceID=14","2.41")</f>
        <v>2.41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HYPERLINK("http://141.218.60.56/~jnz1568/getInfo.php?workbook=14_13.xlsx&amp;sheet=U0&amp;row=2306&amp;col=6&amp;number=3.2&amp;sourceID=14","3.2")</f>
        <v>3.2</v>
      </c>
      <c r="G2306" s="4" t="str">
        <f>HYPERLINK("http://141.218.60.56/~jnz1568/getInfo.php?workbook=14_13.xlsx&amp;sheet=U0&amp;row=2306&amp;col=7&amp;number=2.41&amp;sourceID=14","2.41")</f>
        <v>2.41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HYPERLINK("http://141.218.60.56/~jnz1568/getInfo.php?workbook=14_13.xlsx&amp;sheet=U0&amp;row=2307&amp;col=6&amp;number=3.3&amp;sourceID=14","3.3")</f>
        <v>3.3</v>
      </c>
      <c r="G2307" s="4" t="str">
        <f>HYPERLINK("http://141.218.60.56/~jnz1568/getInfo.php?workbook=14_13.xlsx&amp;sheet=U0&amp;row=2307&amp;col=7&amp;number=2.4&amp;sourceID=14","2.4")</f>
        <v>2.4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HYPERLINK("http://141.218.60.56/~jnz1568/getInfo.php?workbook=14_13.xlsx&amp;sheet=U0&amp;row=2308&amp;col=6&amp;number=3.4&amp;sourceID=14","3.4")</f>
        <v>3.4</v>
      </c>
      <c r="G2308" s="4" t="str">
        <f>HYPERLINK("http://141.218.60.56/~jnz1568/getInfo.php?workbook=14_13.xlsx&amp;sheet=U0&amp;row=2308&amp;col=7&amp;number=2.4&amp;sourceID=14","2.4")</f>
        <v>2.4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HYPERLINK("http://141.218.60.56/~jnz1568/getInfo.php?workbook=14_13.xlsx&amp;sheet=U0&amp;row=2309&amp;col=6&amp;number=3.5&amp;sourceID=14","3.5")</f>
        <v>3.5</v>
      </c>
      <c r="G2309" s="4" t="str">
        <f>HYPERLINK("http://141.218.60.56/~jnz1568/getInfo.php?workbook=14_13.xlsx&amp;sheet=U0&amp;row=2309&amp;col=7&amp;number=2.39&amp;sourceID=14","2.39")</f>
        <v>2.39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HYPERLINK("http://141.218.60.56/~jnz1568/getInfo.php?workbook=14_13.xlsx&amp;sheet=U0&amp;row=2310&amp;col=6&amp;number=3.6&amp;sourceID=14","3.6")</f>
        <v>3.6</v>
      </c>
      <c r="G2310" s="4" t="str">
        <f>HYPERLINK("http://141.218.60.56/~jnz1568/getInfo.php?workbook=14_13.xlsx&amp;sheet=U0&amp;row=2310&amp;col=7&amp;number=2.38&amp;sourceID=14","2.38")</f>
        <v>2.38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HYPERLINK("http://141.218.60.56/~jnz1568/getInfo.php?workbook=14_13.xlsx&amp;sheet=U0&amp;row=2311&amp;col=6&amp;number=3.7&amp;sourceID=14","3.7")</f>
        <v>3.7</v>
      </c>
      <c r="G2311" s="4" t="str">
        <f>HYPERLINK("http://141.218.60.56/~jnz1568/getInfo.php?workbook=14_13.xlsx&amp;sheet=U0&amp;row=2311&amp;col=7&amp;number=2.37&amp;sourceID=14","2.37")</f>
        <v>2.37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HYPERLINK("http://141.218.60.56/~jnz1568/getInfo.php?workbook=14_13.xlsx&amp;sheet=U0&amp;row=2312&amp;col=6&amp;number=3.8&amp;sourceID=14","3.8")</f>
        <v>3.8</v>
      </c>
      <c r="G2312" s="4" t="str">
        <f>HYPERLINK("http://141.218.60.56/~jnz1568/getInfo.php?workbook=14_13.xlsx&amp;sheet=U0&amp;row=2312&amp;col=7&amp;number=2.36&amp;sourceID=14","2.36")</f>
        <v>2.36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HYPERLINK("http://141.218.60.56/~jnz1568/getInfo.php?workbook=14_13.xlsx&amp;sheet=U0&amp;row=2313&amp;col=6&amp;number=3.9&amp;sourceID=14","3.9")</f>
        <v>3.9</v>
      </c>
      <c r="G2313" s="4" t="str">
        <f>HYPERLINK("http://141.218.60.56/~jnz1568/getInfo.php?workbook=14_13.xlsx&amp;sheet=U0&amp;row=2313&amp;col=7&amp;number=2.34&amp;sourceID=14","2.34")</f>
        <v>2.34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HYPERLINK("http://141.218.60.56/~jnz1568/getInfo.php?workbook=14_13.xlsx&amp;sheet=U0&amp;row=2314&amp;col=6&amp;number=4&amp;sourceID=14","4")</f>
        <v>4</v>
      </c>
      <c r="G2314" s="4" t="str">
        <f>HYPERLINK("http://141.218.60.56/~jnz1568/getInfo.php?workbook=14_13.xlsx&amp;sheet=U0&amp;row=2314&amp;col=7&amp;number=2.32&amp;sourceID=14","2.32")</f>
        <v>2.32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HYPERLINK("http://141.218.60.56/~jnz1568/getInfo.php?workbook=14_13.xlsx&amp;sheet=U0&amp;row=2315&amp;col=6&amp;number=4.1&amp;sourceID=14","4.1")</f>
        <v>4.1</v>
      </c>
      <c r="G2315" s="4" t="str">
        <f>HYPERLINK("http://141.218.60.56/~jnz1568/getInfo.php?workbook=14_13.xlsx&amp;sheet=U0&amp;row=2315&amp;col=7&amp;number=2.28&amp;sourceID=14","2.28")</f>
        <v>2.28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HYPERLINK("http://141.218.60.56/~jnz1568/getInfo.php?workbook=14_13.xlsx&amp;sheet=U0&amp;row=2316&amp;col=6&amp;number=4.2&amp;sourceID=14","4.2")</f>
        <v>4.2</v>
      </c>
      <c r="G2316" s="4" t="str">
        <f>HYPERLINK("http://141.218.60.56/~jnz1568/getInfo.php?workbook=14_13.xlsx&amp;sheet=U0&amp;row=2316&amp;col=7&amp;number=2.24&amp;sourceID=14","2.24")</f>
        <v>2.24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HYPERLINK("http://141.218.60.56/~jnz1568/getInfo.php?workbook=14_13.xlsx&amp;sheet=U0&amp;row=2317&amp;col=6&amp;number=4.3&amp;sourceID=14","4.3")</f>
        <v>4.3</v>
      </c>
      <c r="G2317" s="4" t="str">
        <f>HYPERLINK("http://141.218.60.56/~jnz1568/getInfo.php?workbook=14_13.xlsx&amp;sheet=U0&amp;row=2317&amp;col=7&amp;number=2.17&amp;sourceID=14","2.17")</f>
        <v>2.17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HYPERLINK("http://141.218.60.56/~jnz1568/getInfo.php?workbook=14_13.xlsx&amp;sheet=U0&amp;row=2318&amp;col=6&amp;number=4.4&amp;sourceID=14","4.4")</f>
        <v>4.4</v>
      </c>
      <c r="G2318" s="4" t="str">
        <f>HYPERLINK("http://141.218.60.56/~jnz1568/getInfo.php?workbook=14_13.xlsx&amp;sheet=U0&amp;row=2318&amp;col=7&amp;number=2.1&amp;sourceID=14","2.1")</f>
        <v>2.1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HYPERLINK("http://141.218.60.56/~jnz1568/getInfo.php?workbook=14_13.xlsx&amp;sheet=U0&amp;row=2319&amp;col=6&amp;number=4.5&amp;sourceID=14","4.5")</f>
        <v>4.5</v>
      </c>
      <c r="G2319" s="4" t="str">
        <f>HYPERLINK("http://141.218.60.56/~jnz1568/getInfo.php?workbook=14_13.xlsx&amp;sheet=U0&amp;row=2319&amp;col=7&amp;number=2&amp;sourceID=14","2")</f>
        <v>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HYPERLINK("http://141.218.60.56/~jnz1568/getInfo.php?workbook=14_13.xlsx&amp;sheet=U0&amp;row=2320&amp;col=6&amp;number=4.6&amp;sourceID=14","4.6")</f>
        <v>4.6</v>
      </c>
      <c r="G2320" s="4" t="str">
        <f>HYPERLINK("http://141.218.60.56/~jnz1568/getInfo.php?workbook=14_13.xlsx&amp;sheet=U0&amp;row=2320&amp;col=7&amp;number=1.89&amp;sourceID=14","1.89")</f>
        <v>1.89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HYPERLINK("http://141.218.60.56/~jnz1568/getInfo.php?workbook=14_13.xlsx&amp;sheet=U0&amp;row=2321&amp;col=6&amp;number=4.7&amp;sourceID=14","4.7")</f>
        <v>4.7</v>
      </c>
      <c r="G2321" s="4" t="str">
        <f>HYPERLINK("http://141.218.60.56/~jnz1568/getInfo.php?workbook=14_13.xlsx&amp;sheet=U0&amp;row=2321&amp;col=7&amp;number=1.76&amp;sourceID=14","1.76")</f>
        <v>1.76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HYPERLINK("http://141.218.60.56/~jnz1568/getInfo.php?workbook=14_13.xlsx&amp;sheet=U0&amp;row=2322&amp;col=6&amp;number=4.8&amp;sourceID=14","4.8")</f>
        <v>4.8</v>
      </c>
      <c r="G2322" s="4" t="str">
        <f>HYPERLINK("http://141.218.60.56/~jnz1568/getInfo.php?workbook=14_13.xlsx&amp;sheet=U0&amp;row=2322&amp;col=7&amp;number=1.62&amp;sourceID=14","1.62")</f>
        <v>1.62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HYPERLINK("http://141.218.60.56/~jnz1568/getInfo.php?workbook=14_13.xlsx&amp;sheet=U0&amp;row=2323&amp;col=6&amp;number=4.9&amp;sourceID=14","4.9")</f>
        <v>4.9</v>
      </c>
      <c r="G2323" s="4" t="str">
        <f>HYPERLINK("http://141.218.60.56/~jnz1568/getInfo.php?workbook=14_13.xlsx&amp;sheet=U0&amp;row=2323&amp;col=7&amp;number=1.48&amp;sourceID=14","1.48")</f>
        <v>1.48</v>
      </c>
    </row>
    <row r="2324" spans="1:7">
      <c r="A2324" s="3">
        <v>14</v>
      </c>
      <c r="B2324" s="3">
        <v>13</v>
      </c>
      <c r="C2324" s="3">
        <v>5</v>
      </c>
      <c r="D2324" s="3">
        <v>16</v>
      </c>
      <c r="E2324" s="3">
        <v>1</v>
      </c>
      <c r="F2324" s="4" t="str">
        <f>HYPERLINK("http://141.218.60.56/~jnz1568/getInfo.php?workbook=14_13.xlsx&amp;sheet=U0&amp;row=2324&amp;col=6&amp;number=3&amp;sourceID=14","3")</f>
        <v>3</v>
      </c>
      <c r="G2324" s="4" t="str">
        <f>HYPERLINK("http://141.218.60.56/~jnz1568/getInfo.php?workbook=14_13.xlsx&amp;sheet=U0&amp;row=2324&amp;col=7&amp;number=0.016&amp;sourceID=14","0.016")</f>
        <v>0.016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HYPERLINK("http://141.218.60.56/~jnz1568/getInfo.php?workbook=14_13.xlsx&amp;sheet=U0&amp;row=2325&amp;col=6&amp;number=3.1&amp;sourceID=14","3.1")</f>
        <v>3.1</v>
      </c>
      <c r="G2325" s="4" t="str">
        <f>HYPERLINK("http://141.218.60.56/~jnz1568/getInfo.php?workbook=14_13.xlsx&amp;sheet=U0&amp;row=2325&amp;col=7&amp;number=0.0164&amp;sourceID=14","0.0164")</f>
        <v>0.0164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HYPERLINK("http://141.218.60.56/~jnz1568/getInfo.php?workbook=14_13.xlsx&amp;sheet=U0&amp;row=2326&amp;col=6&amp;number=3.2&amp;sourceID=14","3.2")</f>
        <v>3.2</v>
      </c>
      <c r="G2326" s="4" t="str">
        <f>HYPERLINK("http://141.218.60.56/~jnz1568/getInfo.php?workbook=14_13.xlsx&amp;sheet=U0&amp;row=2326&amp;col=7&amp;number=0.0168&amp;sourceID=14","0.0168")</f>
        <v>0.0168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HYPERLINK("http://141.218.60.56/~jnz1568/getInfo.php?workbook=14_13.xlsx&amp;sheet=U0&amp;row=2327&amp;col=6&amp;number=3.3&amp;sourceID=14","3.3")</f>
        <v>3.3</v>
      </c>
      <c r="G2327" s="4" t="str">
        <f>HYPERLINK("http://141.218.60.56/~jnz1568/getInfo.php?workbook=14_13.xlsx&amp;sheet=U0&amp;row=2327&amp;col=7&amp;number=0.0172&amp;sourceID=14","0.0172")</f>
        <v>0.0172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HYPERLINK("http://141.218.60.56/~jnz1568/getInfo.php?workbook=14_13.xlsx&amp;sheet=U0&amp;row=2328&amp;col=6&amp;number=3.4&amp;sourceID=14","3.4")</f>
        <v>3.4</v>
      </c>
      <c r="G2328" s="4" t="str">
        <f>HYPERLINK("http://141.218.60.56/~jnz1568/getInfo.php?workbook=14_13.xlsx&amp;sheet=U0&amp;row=2328&amp;col=7&amp;number=0.0176&amp;sourceID=14","0.0176")</f>
        <v>0.0176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HYPERLINK("http://141.218.60.56/~jnz1568/getInfo.php?workbook=14_13.xlsx&amp;sheet=U0&amp;row=2329&amp;col=6&amp;number=3.5&amp;sourceID=14","3.5")</f>
        <v>3.5</v>
      </c>
      <c r="G2329" s="4" t="str">
        <f>HYPERLINK("http://141.218.60.56/~jnz1568/getInfo.php?workbook=14_13.xlsx&amp;sheet=U0&amp;row=2329&amp;col=7&amp;number=0.0178&amp;sourceID=14","0.0178")</f>
        <v>0.0178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HYPERLINK("http://141.218.60.56/~jnz1568/getInfo.php?workbook=14_13.xlsx&amp;sheet=U0&amp;row=2330&amp;col=6&amp;number=3.6&amp;sourceID=14","3.6")</f>
        <v>3.6</v>
      </c>
      <c r="G2330" s="4" t="str">
        <f>HYPERLINK("http://141.218.60.56/~jnz1568/getInfo.php?workbook=14_13.xlsx&amp;sheet=U0&amp;row=2330&amp;col=7&amp;number=0.0178&amp;sourceID=14","0.0178")</f>
        <v>0.0178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HYPERLINK("http://141.218.60.56/~jnz1568/getInfo.php?workbook=14_13.xlsx&amp;sheet=U0&amp;row=2331&amp;col=6&amp;number=3.7&amp;sourceID=14","3.7")</f>
        <v>3.7</v>
      </c>
      <c r="G2331" s="4" t="str">
        <f>HYPERLINK("http://141.218.60.56/~jnz1568/getInfo.php?workbook=14_13.xlsx&amp;sheet=U0&amp;row=2331&amp;col=7&amp;number=0.0173&amp;sourceID=14","0.0173")</f>
        <v>0.0173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HYPERLINK("http://141.218.60.56/~jnz1568/getInfo.php?workbook=14_13.xlsx&amp;sheet=U0&amp;row=2332&amp;col=6&amp;number=3.8&amp;sourceID=14","3.8")</f>
        <v>3.8</v>
      </c>
      <c r="G2332" s="4" t="str">
        <f>HYPERLINK("http://141.218.60.56/~jnz1568/getInfo.php?workbook=14_13.xlsx&amp;sheet=U0&amp;row=2332&amp;col=7&amp;number=0.0165&amp;sourceID=14","0.0165")</f>
        <v>0.0165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HYPERLINK("http://141.218.60.56/~jnz1568/getInfo.php?workbook=14_13.xlsx&amp;sheet=U0&amp;row=2333&amp;col=6&amp;number=3.9&amp;sourceID=14","3.9")</f>
        <v>3.9</v>
      </c>
      <c r="G2333" s="4" t="str">
        <f>HYPERLINK("http://141.218.60.56/~jnz1568/getInfo.php?workbook=14_13.xlsx&amp;sheet=U0&amp;row=2333&amp;col=7&amp;number=0.0156&amp;sourceID=14","0.0156")</f>
        <v>0.0156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HYPERLINK("http://141.218.60.56/~jnz1568/getInfo.php?workbook=14_13.xlsx&amp;sheet=U0&amp;row=2334&amp;col=6&amp;number=4&amp;sourceID=14","4")</f>
        <v>4</v>
      </c>
      <c r="G2334" s="4" t="str">
        <f>HYPERLINK("http://141.218.60.56/~jnz1568/getInfo.php?workbook=14_13.xlsx&amp;sheet=U0&amp;row=2334&amp;col=7&amp;number=0.0147&amp;sourceID=14","0.0147")</f>
        <v>0.0147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HYPERLINK("http://141.218.60.56/~jnz1568/getInfo.php?workbook=14_13.xlsx&amp;sheet=U0&amp;row=2335&amp;col=6&amp;number=4.1&amp;sourceID=14","4.1")</f>
        <v>4.1</v>
      </c>
      <c r="G2335" s="4" t="str">
        <f>HYPERLINK("http://141.218.60.56/~jnz1568/getInfo.php?workbook=14_13.xlsx&amp;sheet=U0&amp;row=2335&amp;col=7&amp;number=0.0137&amp;sourceID=14","0.0137")</f>
        <v>0.0137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HYPERLINK("http://141.218.60.56/~jnz1568/getInfo.php?workbook=14_13.xlsx&amp;sheet=U0&amp;row=2336&amp;col=6&amp;number=4.2&amp;sourceID=14","4.2")</f>
        <v>4.2</v>
      </c>
      <c r="G2336" s="4" t="str">
        <f>HYPERLINK("http://141.218.60.56/~jnz1568/getInfo.php?workbook=14_13.xlsx&amp;sheet=U0&amp;row=2336&amp;col=7&amp;number=0.0127&amp;sourceID=14","0.0127")</f>
        <v>0.0127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HYPERLINK("http://141.218.60.56/~jnz1568/getInfo.php?workbook=14_13.xlsx&amp;sheet=U0&amp;row=2337&amp;col=6&amp;number=4.3&amp;sourceID=14","4.3")</f>
        <v>4.3</v>
      </c>
      <c r="G2337" s="4" t="str">
        <f>HYPERLINK("http://141.218.60.56/~jnz1568/getInfo.php?workbook=14_13.xlsx&amp;sheet=U0&amp;row=2337&amp;col=7&amp;number=0.0117&amp;sourceID=14","0.0117")</f>
        <v>0.0117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HYPERLINK("http://141.218.60.56/~jnz1568/getInfo.php?workbook=14_13.xlsx&amp;sheet=U0&amp;row=2338&amp;col=6&amp;number=4.4&amp;sourceID=14","4.4")</f>
        <v>4.4</v>
      </c>
      <c r="G2338" s="4" t="str">
        <f>HYPERLINK("http://141.218.60.56/~jnz1568/getInfo.php?workbook=14_13.xlsx&amp;sheet=U0&amp;row=2338&amp;col=7&amp;number=0.0109&amp;sourceID=14","0.0109")</f>
        <v>0.0109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HYPERLINK("http://141.218.60.56/~jnz1568/getInfo.php?workbook=14_13.xlsx&amp;sheet=U0&amp;row=2339&amp;col=6&amp;number=4.5&amp;sourceID=14","4.5")</f>
        <v>4.5</v>
      </c>
      <c r="G2339" s="4" t="str">
        <f>HYPERLINK("http://141.218.60.56/~jnz1568/getInfo.php?workbook=14_13.xlsx&amp;sheet=U0&amp;row=2339&amp;col=7&amp;number=0.0102&amp;sourceID=14","0.0102")</f>
        <v>0.0102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HYPERLINK("http://141.218.60.56/~jnz1568/getInfo.php?workbook=14_13.xlsx&amp;sheet=U0&amp;row=2340&amp;col=6&amp;number=4.6&amp;sourceID=14","4.6")</f>
        <v>4.6</v>
      </c>
      <c r="G2340" s="4" t="str">
        <f>HYPERLINK("http://141.218.60.56/~jnz1568/getInfo.php?workbook=14_13.xlsx&amp;sheet=U0&amp;row=2340&amp;col=7&amp;number=0.00957&amp;sourceID=14","0.00957")</f>
        <v>0.00957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HYPERLINK("http://141.218.60.56/~jnz1568/getInfo.php?workbook=14_13.xlsx&amp;sheet=U0&amp;row=2341&amp;col=6&amp;number=4.7&amp;sourceID=14","4.7")</f>
        <v>4.7</v>
      </c>
      <c r="G2341" s="4" t="str">
        <f>HYPERLINK("http://141.218.60.56/~jnz1568/getInfo.php?workbook=14_13.xlsx&amp;sheet=U0&amp;row=2341&amp;col=7&amp;number=0.00899&amp;sourceID=14","0.00899")</f>
        <v>0.00899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HYPERLINK("http://141.218.60.56/~jnz1568/getInfo.php?workbook=14_13.xlsx&amp;sheet=U0&amp;row=2342&amp;col=6&amp;number=4.8&amp;sourceID=14","4.8")</f>
        <v>4.8</v>
      </c>
      <c r="G2342" s="4" t="str">
        <f>HYPERLINK("http://141.218.60.56/~jnz1568/getInfo.php?workbook=14_13.xlsx&amp;sheet=U0&amp;row=2342&amp;col=7&amp;number=0.00848&amp;sourceID=14","0.00848")</f>
        <v>0.00848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HYPERLINK("http://141.218.60.56/~jnz1568/getInfo.php?workbook=14_13.xlsx&amp;sheet=U0&amp;row=2343&amp;col=6&amp;number=4.9&amp;sourceID=14","4.9")</f>
        <v>4.9</v>
      </c>
      <c r="G2343" s="4" t="str">
        <f>HYPERLINK("http://141.218.60.56/~jnz1568/getInfo.php?workbook=14_13.xlsx&amp;sheet=U0&amp;row=2343&amp;col=7&amp;number=0.00802&amp;sourceID=14","0.00802")</f>
        <v>0.00802</v>
      </c>
    </row>
    <row r="2344" spans="1:7">
      <c r="A2344" s="3">
        <v>14</v>
      </c>
      <c r="B2344" s="3">
        <v>13</v>
      </c>
      <c r="C2344" s="3">
        <v>5</v>
      </c>
      <c r="D2344" s="3">
        <v>17</v>
      </c>
      <c r="E2344" s="3">
        <v>1</v>
      </c>
      <c r="F2344" s="4" t="str">
        <f>HYPERLINK("http://141.218.60.56/~jnz1568/getInfo.php?workbook=14_13.xlsx&amp;sheet=U0&amp;row=2344&amp;col=6&amp;number=3&amp;sourceID=14","3")</f>
        <v>3</v>
      </c>
      <c r="G2344" s="4" t="str">
        <f>HYPERLINK("http://141.218.60.56/~jnz1568/getInfo.php?workbook=14_13.xlsx&amp;sheet=U0&amp;row=2344&amp;col=7&amp;number=0.0801&amp;sourceID=14","0.0801")</f>
        <v>0.0801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HYPERLINK("http://141.218.60.56/~jnz1568/getInfo.php?workbook=14_13.xlsx&amp;sheet=U0&amp;row=2345&amp;col=6&amp;number=3.1&amp;sourceID=14","3.1")</f>
        <v>3.1</v>
      </c>
      <c r="G2345" s="4" t="str">
        <f>HYPERLINK("http://141.218.60.56/~jnz1568/getInfo.php?workbook=14_13.xlsx&amp;sheet=U0&amp;row=2345&amp;col=7&amp;number=0.0798&amp;sourceID=14","0.0798")</f>
        <v>0.0798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HYPERLINK("http://141.218.60.56/~jnz1568/getInfo.php?workbook=14_13.xlsx&amp;sheet=U0&amp;row=2346&amp;col=6&amp;number=3.2&amp;sourceID=14","3.2")</f>
        <v>3.2</v>
      </c>
      <c r="G2346" s="4" t="str">
        <f>HYPERLINK("http://141.218.60.56/~jnz1568/getInfo.php?workbook=14_13.xlsx&amp;sheet=U0&amp;row=2346&amp;col=7&amp;number=0.0793&amp;sourceID=14","0.0793")</f>
        <v>0.0793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HYPERLINK("http://141.218.60.56/~jnz1568/getInfo.php?workbook=14_13.xlsx&amp;sheet=U0&amp;row=2347&amp;col=6&amp;number=3.3&amp;sourceID=14","3.3")</f>
        <v>3.3</v>
      </c>
      <c r="G2347" s="4" t="str">
        <f>HYPERLINK("http://141.218.60.56/~jnz1568/getInfo.php?workbook=14_13.xlsx&amp;sheet=U0&amp;row=2347&amp;col=7&amp;number=0.0787&amp;sourceID=14","0.0787")</f>
        <v>0.0787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HYPERLINK("http://141.218.60.56/~jnz1568/getInfo.php?workbook=14_13.xlsx&amp;sheet=U0&amp;row=2348&amp;col=6&amp;number=3.4&amp;sourceID=14","3.4")</f>
        <v>3.4</v>
      </c>
      <c r="G2348" s="4" t="str">
        <f>HYPERLINK("http://141.218.60.56/~jnz1568/getInfo.php?workbook=14_13.xlsx&amp;sheet=U0&amp;row=2348&amp;col=7&amp;number=0.0779&amp;sourceID=14","0.0779")</f>
        <v>0.0779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HYPERLINK("http://141.218.60.56/~jnz1568/getInfo.php?workbook=14_13.xlsx&amp;sheet=U0&amp;row=2349&amp;col=6&amp;number=3.5&amp;sourceID=14","3.5")</f>
        <v>3.5</v>
      </c>
      <c r="G2349" s="4" t="str">
        <f>HYPERLINK("http://141.218.60.56/~jnz1568/getInfo.php?workbook=14_13.xlsx&amp;sheet=U0&amp;row=2349&amp;col=7&amp;number=0.0769&amp;sourceID=14","0.0769")</f>
        <v>0.0769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HYPERLINK("http://141.218.60.56/~jnz1568/getInfo.php?workbook=14_13.xlsx&amp;sheet=U0&amp;row=2350&amp;col=6&amp;number=3.6&amp;sourceID=14","3.6")</f>
        <v>3.6</v>
      </c>
      <c r="G2350" s="4" t="str">
        <f>HYPERLINK("http://141.218.60.56/~jnz1568/getInfo.php?workbook=14_13.xlsx&amp;sheet=U0&amp;row=2350&amp;col=7&amp;number=0.0756&amp;sourceID=14","0.0756")</f>
        <v>0.0756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HYPERLINK("http://141.218.60.56/~jnz1568/getInfo.php?workbook=14_13.xlsx&amp;sheet=U0&amp;row=2351&amp;col=6&amp;number=3.7&amp;sourceID=14","3.7")</f>
        <v>3.7</v>
      </c>
      <c r="G2351" s="4" t="str">
        <f>HYPERLINK("http://141.218.60.56/~jnz1568/getInfo.php?workbook=14_13.xlsx&amp;sheet=U0&amp;row=2351&amp;col=7&amp;number=0.0739&amp;sourceID=14","0.0739")</f>
        <v>0.0739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HYPERLINK("http://141.218.60.56/~jnz1568/getInfo.php?workbook=14_13.xlsx&amp;sheet=U0&amp;row=2352&amp;col=6&amp;number=3.8&amp;sourceID=14","3.8")</f>
        <v>3.8</v>
      </c>
      <c r="G2352" s="4" t="str">
        <f>HYPERLINK("http://141.218.60.56/~jnz1568/getInfo.php?workbook=14_13.xlsx&amp;sheet=U0&amp;row=2352&amp;col=7&amp;number=0.0717&amp;sourceID=14","0.0717")</f>
        <v>0.0717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HYPERLINK("http://141.218.60.56/~jnz1568/getInfo.php?workbook=14_13.xlsx&amp;sheet=U0&amp;row=2353&amp;col=6&amp;number=3.9&amp;sourceID=14","3.9")</f>
        <v>3.9</v>
      </c>
      <c r="G2353" s="4" t="str">
        <f>HYPERLINK("http://141.218.60.56/~jnz1568/getInfo.php?workbook=14_13.xlsx&amp;sheet=U0&amp;row=2353&amp;col=7&amp;number=0.069&amp;sourceID=14","0.069")</f>
        <v>0.069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HYPERLINK("http://141.218.60.56/~jnz1568/getInfo.php?workbook=14_13.xlsx&amp;sheet=U0&amp;row=2354&amp;col=6&amp;number=4&amp;sourceID=14","4")</f>
        <v>4</v>
      </c>
      <c r="G2354" s="4" t="str">
        <f>HYPERLINK("http://141.218.60.56/~jnz1568/getInfo.php?workbook=14_13.xlsx&amp;sheet=U0&amp;row=2354&amp;col=7&amp;number=0.0661&amp;sourceID=14","0.0661")</f>
        <v>0.0661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HYPERLINK("http://141.218.60.56/~jnz1568/getInfo.php?workbook=14_13.xlsx&amp;sheet=U0&amp;row=2355&amp;col=6&amp;number=4.1&amp;sourceID=14","4.1")</f>
        <v>4.1</v>
      </c>
      <c r="G2355" s="4" t="str">
        <f>HYPERLINK("http://141.218.60.56/~jnz1568/getInfo.php?workbook=14_13.xlsx&amp;sheet=U0&amp;row=2355&amp;col=7&amp;number=0.0632&amp;sourceID=14","0.0632")</f>
        <v>0.0632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HYPERLINK("http://141.218.60.56/~jnz1568/getInfo.php?workbook=14_13.xlsx&amp;sheet=U0&amp;row=2356&amp;col=6&amp;number=4.2&amp;sourceID=14","4.2")</f>
        <v>4.2</v>
      </c>
      <c r="G2356" s="4" t="str">
        <f>HYPERLINK("http://141.218.60.56/~jnz1568/getInfo.php?workbook=14_13.xlsx&amp;sheet=U0&amp;row=2356&amp;col=7&amp;number=0.0604&amp;sourceID=14","0.0604")</f>
        <v>0.0604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HYPERLINK("http://141.218.60.56/~jnz1568/getInfo.php?workbook=14_13.xlsx&amp;sheet=U0&amp;row=2357&amp;col=6&amp;number=4.3&amp;sourceID=14","4.3")</f>
        <v>4.3</v>
      </c>
      <c r="G2357" s="4" t="str">
        <f>HYPERLINK("http://141.218.60.56/~jnz1568/getInfo.php?workbook=14_13.xlsx&amp;sheet=U0&amp;row=2357&amp;col=7&amp;number=0.0576&amp;sourceID=14","0.0576")</f>
        <v>0.0576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HYPERLINK("http://141.218.60.56/~jnz1568/getInfo.php?workbook=14_13.xlsx&amp;sheet=U0&amp;row=2358&amp;col=6&amp;number=4.4&amp;sourceID=14","4.4")</f>
        <v>4.4</v>
      </c>
      <c r="G2358" s="4" t="str">
        <f>HYPERLINK("http://141.218.60.56/~jnz1568/getInfo.php?workbook=14_13.xlsx&amp;sheet=U0&amp;row=2358&amp;col=7&amp;number=0.0551&amp;sourceID=14","0.0551")</f>
        <v>0.0551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HYPERLINK("http://141.218.60.56/~jnz1568/getInfo.php?workbook=14_13.xlsx&amp;sheet=U0&amp;row=2359&amp;col=6&amp;number=4.5&amp;sourceID=14","4.5")</f>
        <v>4.5</v>
      </c>
      <c r="G2359" s="4" t="str">
        <f>HYPERLINK("http://141.218.60.56/~jnz1568/getInfo.php?workbook=14_13.xlsx&amp;sheet=U0&amp;row=2359&amp;col=7&amp;number=0.0528&amp;sourceID=14","0.0528")</f>
        <v>0.0528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HYPERLINK("http://141.218.60.56/~jnz1568/getInfo.php?workbook=14_13.xlsx&amp;sheet=U0&amp;row=2360&amp;col=6&amp;number=4.6&amp;sourceID=14","4.6")</f>
        <v>4.6</v>
      </c>
      <c r="G2360" s="4" t="str">
        <f>HYPERLINK("http://141.218.60.56/~jnz1568/getInfo.php?workbook=14_13.xlsx&amp;sheet=U0&amp;row=2360&amp;col=7&amp;number=0.0507&amp;sourceID=14","0.0507")</f>
        <v>0.0507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HYPERLINK("http://141.218.60.56/~jnz1568/getInfo.php?workbook=14_13.xlsx&amp;sheet=U0&amp;row=2361&amp;col=6&amp;number=4.7&amp;sourceID=14","4.7")</f>
        <v>4.7</v>
      </c>
      <c r="G2361" s="4" t="str">
        <f>HYPERLINK("http://141.218.60.56/~jnz1568/getInfo.php?workbook=14_13.xlsx&amp;sheet=U0&amp;row=2361&amp;col=7&amp;number=0.0487&amp;sourceID=14","0.0487")</f>
        <v>0.0487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HYPERLINK("http://141.218.60.56/~jnz1568/getInfo.php?workbook=14_13.xlsx&amp;sheet=U0&amp;row=2362&amp;col=6&amp;number=4.8&amp;sourceID=14","4.8")</f>
        <v>4.8</v>
      </c>
      <c r="G2362" s="4" t="str">
        <f>HYPERLINK("http://141.218.60.56/~jnz1568/getInfo.php?workbook=14_13.xlsx&amp;sheet=U0&amp;row=2362&amp;col=7&amp;number=0.0467&amp;sourceID=14","0.0467")</f>
        <v>0.0467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HYPERLINK("http://141.218.60.56/~jnz1568/getInfo.php?workbook=14_13.xlsx&amp;sheet=U0&amp;row=2363&amp;col=6&amp;number=4.9&amp;sourceID=14","4.9")</f>
        <v>4.9</v>
      </c>
      <c r="G2363" s="4" t="str">
        <f>HYPERLINK("http://141.218.60.56/~jnz1568/getInfo.php?workbook=14_13.xlsx&amp;sheet=U0&amp;row=2363&amp;col=7&amp;number=0.0444&amp;sourceID=14","0.0444")</f>
        <v>0.0444</v>
      </c>
    </row>
    <row r="2364" spans="1:7">
      <c r="A2364" s="3">
        <v>14</v>
      </c>
      <c r="B2364" s="3">
        <v>13</v>
      </c>
      <c r="C2364" s="3">
        <v>5</v>
      </c>
      <c r="D2364" s="3">
        <v>18</v>
      </c>
      <c r="E2364" s="3">
        <v>1</v>
      </c>
      <c r="F2364" s="4" t="str">
        <f>HYPERLINK("http://141.218.60.56/~jnz1568/getInfo.php?workbook=14_13.xlsx&amp;sheet=U0&amp;row=2364&amp;col=6&amp;number=3&amp;sourceID=14","3")</f>
        <v>3</v>
      </c>
      <c r="G2364" s="4" t="str">
        <f>HYPERLINK("http://141.218.60.56/~jnz1568/getInfo.php?workbook=14_13.xlsx&amp;sheet=U0&amp;row=2364&amp;col=7&amp;number=0.2&amp;sourceID=14","0.2")</f>
        <v>0.2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HYPERLINK("http://141.218.60.56/~jnz1568/getInfo.php?workbook=14_13.xlsx&amp;sheet=U0&amp;row=2365&amp;col=6&amp;number=3.1&amp;sourceID=14","3.1")</f>
        <v>3.1</v>
      </c>
      <c r="G2365" s="4" t="str">
        <f>HYPERLINK("http://141.218.60.56/~jnz1568/getInfo.php?workbook=14_13.xlsx&amp;sheet=U0&amp;row=2365&amp;col=7&amp;number=0.2&amp;sourceID=14","0.2")</f>
        <v>0.2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HYPERLINK("http://141.218.60.56/~jnz1568/getInfo.php?workbook=14_13.xlsx&amp;sheet=U0&amp;row=2366&amp;col=6&amp;number=3.2&amp;sourceID=14","3.2")</f>
        <v>3.2</v>
      </c>
      <c r="G2366" s="4" t="str">
        <f>HYPERLINK("http://141.218.60.56/~jnz1568/getInfo.php?workbook=14_13.xlsx&amp;sheet=U0&amp;row=2366&amp;col=7&amp;number=0.199&amp;sourceID=14","0.199")</f>
        <v>0.199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HYPERLINK("http://141.218.60.56/~jnz1568/getInfo.php?workbook=14_13.xlsx&amp;sheet=U0&amp;row=2367&amp;col=6&amp;number=3.3&amp;sourceID=14","3.3")</f>
        <v>3.3</v>
      </c>
      <c r="G2367" s="4" t="str">
        <f>HYPERLINK("http://141.218.60.56/~jnz1568/getInfo.php?workbook=14_13.xlsx&amp;sheet=U0&amp;row=2367&amp;col=7&amp;number=0.198&amp;sourceID=14","0.198")</f>
        <v>0.198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HYPERLINK("http://141.218.60.56/~jnz1568/getInfo.php?workbook=14_13.xlsx&amp;sheet=U0&amp;row=2368&amp;col=6&amp;number=3.4&amp;sourceID=14","3.4")</f>
        <v>3.4</v>
      </c>
      <c r="G2368" s="4" t="str">
        <f>HYPERLINK("http://141.218.60.56/~jnz1568/getInfo.php?workbook=14_13.xlsx&amp;sheet=U0&amp;row=2368&amp;col=7&amp;number=0.197&amp;sourceID=14","0.197")</f>
        <v>0.197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HYPERLINK("http://141.218.60.56/~jnz1568/getInfo.php?workbook=14_13.xlsx&amp;sheet=U0&amp;row=2369&amp;col=6&amp;number=3.5&amp;sourceID=14","3.5")</f>
        <v>3.5</v>
      </c>
      <c r="G2369" s="4" t="str">
        <f>HYPERLINK("http://141.218.60.56/~jnz1568/getInfo.php?workbook=14_13.xlsx&amp;sheet=U0&amp;row=2369&amp;col=7&amp;number=0.195&amp;sourceID=14","0.195")</f>
        <v>0.195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HYPERLINK("http://141.218.60.56/~jnz1568/getInfo.php?workbook=14_13.xlsx&amp;sheet=U0&amp;row=2370&amp;col=6&amp;number=3.6&amp;sourceID=14","3.6")</f>
        <v>3.6</v>
      </c>
      <c r="G2370" s="4" t="str">
        <f>HYPERLINK("http://141.218.60.56/~jnz1568/getInfo.php?workbook=14_13.xlsx&amp;sheet=U0&amp;row=2370&amp;col=7&amp;number=0.192&amp;sourceID=14","0.192")</f>
        <v>0.192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HYPERLINK("http://141.218.60.56/~jnz1568/getInfo.php?workbook=14_13.xlsx&amp;sheet=U0&amp;row=2371&amp;col=6&amp;number=3.7&amp;sourceID=14","3.7")</f>
        <v>3.7</v>
      </c>
      <c r="G2371" s="4" t="str">
        <f>HYPERLINK("http://141.218.60.56/~jnz1568/getInfo.php?workbook=14_13.xlsx&amp;sheet=U0&amp;row=2371&amp;col=7&amp;number=0.188&amp;sourceID=14","0.188")</f>
        <v>0.188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HYPERLINK("http://141.218.60.56/~jnz1568/getInfo.php?workbook=14_13.xlsx&amp;sheet=U0&amp;row=2372&amp;col=6&amp;number=3.8&amp;sourceID=14","3.8")</f>
        <v>3.8</v>
      </c>
      <c r="G2372" s="4" t="str">
        <f>HYPERLINK("http://141.218.60.56/~jnz1568/getInfo.php?workbook=14_13.xlsx&amp;sheet=U0&amp;row=2372&amp;col=7&amp;number=0.183&amp;sourceID=14","0.183")</f>
        <v>0.183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HYPERLINK("http://141.218.60.56/~jnz1568/getInfo.php?workbook=14_13.xlsx&amp;sheet=U0&amp;row=2373&amp;col=6&amp;number=3.9&amp;sourceID=14","3.9")</f>
        <v>3.9</v>
      </c>
      <c r="G2373" s="4" t="str">
        <f>HYPERLINK("http://141.218.60.56/~jnz1568/getInfo.php?workbook=14_13.xlsx&amp;sheet=U0&amp;row=2373&amp;col=7&amp;number=0.176&amp;sourceID=14","0.176")</f>
        <v>0.176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HYPERLINK("http://141.218.60.56/~jnz1568/getInfo.php?workbook=14_13.xlsx&amp;sheet=U0&amp;row=2374&amp;col=6&amp;number=4&amp;sourceID=14","4")</f>
        <v>4</v>
      </c>
      <c r="G2374" s="4" t="str">
        <f>HYPERLINK("http://141.218.60.56/~jnz1568/getInfo.php?workbook=14_13.xlsx&amp;sheet=U0&amp;row=2374&amp;col=7&amp;number=0.169&amp;sourceID=14","0.169")</f>
        <v>0.169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HYPERLINK("http://141.218.60.56/~jnz1568/getInfo.php?workbook=14_13.xlsx&amp;sheet=U0&amp;row=2375&amp;col=6&amp;number=4.1&amp;sourceID=14","4.1")</f>
        <v>4.1</v>
      </c>
      <c r="G2375" s="4" t="str">
        <f>HYPERLINK("http://141.218.60.56/~jnz1568/getInfo.php?workbook=14_13.xlsx&amp;sheet=U0&amp;row=2375&amp;col=7&amp;number=0.162&amp;sourceID=14","0.162")</f>
        <v>0.162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HYPERLINK("http://141.218.60.56/~jnz1568/getInfo.php?workbook=14_13.xlsx&amp;sheet=U0&amp;row=2376&amp;col=6&amp;number=4.2&amp;sourceID=14","4.2")</f>
        <v>4.2</v>
      </c>
      <c r="G2376" s="4" t="str">
        <f>HYPERLINK("http://141.218.60.56/~jnz1568/getInfo.php?workbook=14_13.xlsx&amp;sheet=U0&amp;row=2376&amp;col=7&amp;number=0.155&amp;sourceID=14","0.155")</f>
        <v>0.155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HYPERLINK("http://141.218.60.56/~jnz1568/getInfo.php?workbook=14_13.xlsx&amp;sheet=U0&amp;row=2377&amp;col=6&amp;number=4.3&amp;sourceID=14","4.3")</f>
        <v>4.3</v>
      </c>
      <c r="G2377" s="4" t="str">
        <f>HYPERLINK("http://141.218.60.56/~jnz1568/getInfo.php?workbook=14_13.xlsx&amp;sheet=U0&amp;row=2377&amp;col=7&amp;number=0.148&amp;sourceID=14","0.148")</f>
        <v>0.148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HYPERLINK("http://141.218.60.56/~jnz1568/getInfo.php?workbook=14_13.xlsx&amp;sheet=U0&amp;row=2378&amp;col=6&amp;number=4.4&amp;sourceID=14","4.4")</f>
        <v>4.4</v>
      </c>
      <c r="G2378" s="4" t="str">
        <f>HYPERLINK("http://141.218.60.56/~jnz1568/getInfo.php?workbook=14_13.xlsx&amp;sheet=U0&amp;row=2378&amp;col=7&amp;number=0.143&amp;sourceID=14","0.143")</f>
        <v>0.143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HYPERLINK("http://141.218.60.56/~jnz1568/getInfo.php?workbook=14_13.xlsx&amp;sheet=U0&amp;row=2379&amp;col=6&amp;number=4.5&amp;sourceID=14","4.5")</f>
        <v>4.5</v>
      </c>
      <c r="G2379" s="4" t="str">
        <f>HYPERLINK("http://141.218.60.56/~jnz1568/getInfo.php?workbook=14_13.xlsx&amp;sheet=U0&amp;row=2379&amp;col=7&amp;number=0.138&amp;sourceID=14","0.138")</f>
        <v>0.138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HYPERLINK("http://141.218.60.56/~jnz1568/getInfo.php?workbook=14_13.xlsx&amp;sheet=U0&amp;row=2380&amp;col=6&amp;number=4.6&amp;sourceID=14","4.6")</f>
        <v>4.6</v>
      </c>
      <c r="G2380" s="4" t="str">
        <f>HYPERLINK("http://141.218.60.56/~jnz1568/getInfo.php?workbook=14_13.xlsx&amp;sheet=U0&amp;row=2380&amp;col=7&amp;number=0.134&amp;sourceID=14","0.134")</f>
        <v>0.134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HYPERLINK("http://141.218.60.56/~jnz1568/getInfo.php?workbook=14_13.xlsx&amp;sheet=U0&amp;row=2381&amp;col=6&amp;number=4.7&amp;sourceID=14","4.7")</f>
        <v>4.7</v>
      </c>
      <c r="G2381" s="4" t="str">
        <f>HYPERLINK("http://141.218.60.56/~jnz1568/getInfo.php?workbook=14_13.xlsx&amp;sheet=U0&amp;row=2381&amp;col=7&amp;number=0.13&amp;sourceID=14","0.13")</f>
        <v>0.13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HYPERLINK("http://141.218.60.56/~jnz1568/getInfo.php?workbook=14_13.xlsx&amp;sheet=U0&amp;row=2382&amp;col=6&amp;number=4.8&amp;sourceID=14","4.8")</f>
        <v>4.8</v>
      </c>
      <c r="G2382" s="4" t="str">
        <f>HYPERLINK("http://141.218.60.56/~jnz1568/getInfo.php?workbook=14_13.xlsx&amp;sheet=U0&amp;row=2382&amp;col=7&amp;number=0.126&amp;sourceID=14","0.126")</f>
        <v>0.126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HYPERLINK("http://141.218.60.56/~jnz1568/getInfo.php?workbook=14_13.xlsx&amp;sheet=U0&amp;row=2383&amp;col=6&amp;number=4.9&amp;sourceID=14","4.9")</f>
        <v>4.9</v>
      </c>
      <c r="G2383" s="4" t="str">
        <f>HYPERLINK("http://141.218.60.56/~jnz1568/getInfo.php?workbook=14_13.xlsx&amp;sheet=U0&amp;row=2383&amp;col=7&amp;number=0.121&amp;sourceID=14","0.121")</f>
        <v>0.121</v>
      </c>
    </row>
    <row r="2384" spans="1:7">
      <c r="A2384" s="3">
        <v>14</v>
      </c>
      <c r="B2384" s="3">
        <v>13</v>
      </c>
      <c r="C2384" s="3">
        <v>5</v>
      </c>
      <c r="D2384" s="3">
        <v>19</v>
      </c>
      <c r="E2384" s="3">
        <v>1</v>
      </c>
      <c r="F2384" s="4" t="str">
        <f>HYPERLINK("http://141.218.60.56/~jnz1568/getInfo.php?workbook=14_13.xlsx&amp;sheet=U0&amp;row=2384&amp;col=6&amp;number=3&amp;sourceID=14","3")</f>
        <v>3</v>
      </c>
      <c r="G2384" s="4" t="str">
        <f>HYPERLINK("http://141.218.60.56/~jnz1568/getInfo.php?workbook=14_13.xlsx&amp;sheet=U0&amp;row=2384&amp;col=7&amp;number=0.0199&amp;sourceID=14","0.0199")</f>
        <v>0.0199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HYPERLINK("http://141.218.60.56/~jnz1568/getInfo.php?workbook=14_13.xlsx&amp;sheet=U0&amp;row=2385&amp;col=6&amp;number=3.1&amp;sourceID=14","3.1")</f>
        <v>3.1</v>
      </c>
      <c r="G2385" s="4" t="str">
        <f>HYPERLINK("http://141.218.60.56/~jnz1568/getInfo.php?workbook=14_13.xlsx&amp;sheet=U0&amp;row=2385&amp;col=7&amp;number=0.02&amp;sourceID=14","0.02")</f>
        <v>0.02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HYPERLINK("http://141.218.60.56/~jnz1568/getInfo.php?workbook=14_13.xlsx&amp;sheet=U0&amp;row=2386&amp;col=6&amp;number=3.2&amp;sourceID=14","3.2")</f>
        <v>3.2</v>
      </c>
      <c r="G2386" s="4" t="str">
        <f>HYPERLINK("http://141.218.60.56/~jnz1568/getInfo.php?workbook=14_13.xlsx&amp;sheet=U0&amp;row=2386&amp;col=7&amp;number=0.0201&amp;sourceID=14","0.0201")</f>
        <v>0.0201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HYPERLINK("http://141.218.60.56/~jnz1568/getInfo.php?workbook=14_13.xlsx&amp;sheet=U0&amp;row=2387&amp;col=6&amp;number=3.3&amp;sourceID=14","3.3")</f>
        <v>3.3</v>
      </c>
      <c r="G2387" s="4" t="str">
        <f>HYPERLINK("http://141.218.60.56/~jnz1568/getInfo.php?workbook=14_13.xlsx&amp;sheet=U0&amp;row=2387&amp;col=7&amp;number=0.0201&amp;sourceID=14","0.0201")</f>
        <v>0.0201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HYPERLINK("http://141.218.60.56/~jnz1568/getInfo.php?workbook=14_13.xlsx&amp;sheet=U0&amp;row=2388&amp;col=6&amp;number=3.4&amp;sourceID=14","3.4")</f>
        <v>3.4</v>
      </c>
      <c r="G2388" s="4" t="str">
        <f>HYPERLINK("http://141.218.60.56/~jnz1568/getInfo.php?workbook=14_13.xlsx&amp;sheet=U0&amp;row=2388&amp;col=7&amp;number=0.0202&amp;sourceID=14","0.0202")</f>
        <v>0.0202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HYPERLINK("http://141.218.60.56/~jnz1568/getInfo.php?workbook=14_13.xlsx&amp;sheet=U0&amp;row=2389&amp;col=6&amp;number=3.5&amp;sourceID=14","3.5")</f>
        <v>3.5</v>
      </c>
      <c r="G2389" s="4" t="str">
        <f>HYPERLINK("http://141.218.60.56/~jnz1568/getInfo.php?workbook=14_13.xlsx&amp;sheet=U0&amp;row=2389&amp;col=7&amp;number=0.0202&amp;sourceID=14","0.0202")</f>
        <v>0.0202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HYPERLINK("http://141.218.60.56/~jnz1568/getInfo.php?workbook=14_13.xlsx&amp;sheet=U0&amp;row=2390&amp;col=6&amp;number=3.6&amp;sourceID=14","3.6")</f>
        <v>3.6</v>
      </c>
      <c r="G2390" s="4" t="str">
        <f>HYPERLINK("http://141.218.60.56/~jnz1568/getInfo.php?workbook=14_13.xlsx&amp;sheet=U0&amp;row=2390&amp;col=7&amp;number=0.0201&amp;sourceID=14","0.0201")</f>
        <v>0.0201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HYPERLINK("http://141.218.60.56/~jnz1568/getInfo.php?workbook=14_13.xlsx&amp;sheet=U0&amp;row=2391&amp;col=6&amp;number=3.7&amp;sourceID=14","3.7")</f>
        <v>3.7</v>
      </c>
      <c r="G2391" s="4" t="str">
        <f>HYPERLINK("http://141.218.60.56/~jnz1568/getInfo.php?workbook=14_13.xlsx&amp;sheet=U0&amp;row=2391&amp;col=7&amp;number=0.0198&amp;sourceID=14","0.0198")</f>
        <v>0.0198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HYPERLINK("http://141.218.60.56/~jnz1568/getInfo.php?workbook=14_13.xlsx&amp;sheet=U0&amp;row=2392&amp;col=6&amp;number=3.8&amp;sourceID=14","3.8")</f>
        <v>3.8</v>
      </c>
      <c r="G2392" s="4" t="str">
        <f>HYPERLINK("http://141.218.60.56/~jnz1568/getInfo.php?workbook=14_13.xlsx&amp;sheet=U0&amp;row=2392&amp;col=7&amp;number=0.0192&amp;sourceID=14","0.0192")</f>
        <v>0.0192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HYPERLINK("http://141.218.60.56/~jnz1568/getInfo.php?workbook=14_13.xlsx&amp;sheet=U0&amp;row=2393&amp;col=6&amp;number=3.9&amp;sourceID=14","3.9")</f>
        <v>3.9</v>
      </c>
      <c r="G2393" s="4" t="str">
        <f>HYPERLINK("http://141.218.60.56/~jnz1568/getInfo.php?workbook=14_13.xlsx&amp;sheet=U0&amp;row=2393&amp;col=7&amp;number=0.0186&amp;sourceID=14","0.0186")</f>
        <v>0.0186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HYPERLINK("http://141.218.60.56/~jnz1568/getInfo.php?workbook=14_13.xlsx&amp;sheet=U0&amp;row=2394&amp;col=6&amp;number=4&amp;sourceID=14","4")</f>
        <v>4</v>
      </c>
      <c r="G2394" s="4" t="str">
        <f>HYPERLINK("http://141.218.60.56/~jnz1568/getInfo.php?workbook=14_13.xlsx&amp;sheet=U0&amp;row=2394&amp;col=7&amp;number=0.0179&amp;sourceID=14","0.0179")</f>
        <v>0.0179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HYPERLINK("http://141.218.60.56/~jnz1568/getInfo.php?workbook=14_13.xlsx&amp;sheet=U0&amp;row=2395&amp;col=6&amp;number=4.1&amp;sourceID=14","4.1")</f>
        <v>4.1</v>
      </c>
      <c r="G2395" s="4" t="str">
        <f>HYPERLINK("http://141.218.60.56/~jnz1568/getInfo.php?workbook=14_13.xlsx&amp;sheet=U0&amp;row=2395&amp;col=7&amp;number=0.0171&amp;sourceID=14","0.0171")</f>
        <v>0.0171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HYPERLINK("http://141.218.60.56/~jnz1568/getInfo.php?workbook=14_13.xlsx&amp;sheet=U0&amp;row=2396&amp;col=6&amp;number=4.2&amp;sourceID=14","4.2")</f>
        <v>4.2</v>
      </c>
      <c r="G2396" s="4" t="str">
        <f>HYPERLINK("http://141.218.60.56/~jnz1568/getInfo.php?workbook=14_13.xlsx&amp;sheet=U0&amp;row=2396&amp;col=7&amp;number=0.0164&amp;sourceID=14","0.0164")</f>
        <v>0.0164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HYPERLINK("http://141.218.60.56/~jnz1568/getInfo.php?workbook=14_13.xlsx&amp;sheet=U0&amp;row=2397&amp;col=6&amp;number=4.3&amp;sourceID=14","4.3")</f>
        <v>4.3</v>
      </c>
      <c r="G2397" s="4" t="str">
        <f>HYPERLINK("http://141.218.60.56/~jnz1568/getInfo.php?workbook=14_13.xlsx&amp;sheet=U0&amp;row=2397&amp;col=7&amp;number=0.0157&amp;sourceID=14","0.0157")</f>
        <v>0.0157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HYPERLINK("http://141.218.60.56/~jnz1568/getInfo.php?workbook=14_13.xlsx&amp;sheet=U0&amp;row=2398&amp;col=6&amp;number=4.4&amp;sourceID=14","4.4")</f>
        <v>4.4</v>
      </c>
      <c r="G2398" s="4" t="str">
        <f>HYPERLINK("http://141.218.60.56/~jnz1568/getInfo.php?workbook=14_13.xlsx&amp;sheet=U0&amp;row=2398&amp;col=7&amp;number=0.015&amp;sourceID=14","0.015")</f>
        <v>0.015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HYPERLINK("http://141.218.60.56/~jnz1568/getInfo.php?workbook=14_13.xlsx&amp;sheet=U0&amp;row=2399&amp;col=6&amp;number=4.5&amp;sourceID=14","4.5")</f>
        <v>4.5</v>
      </c>
      <c r="G2399" s="4" t="str">
        <f>HYPERLINK("http://141.218.60.56/~jnz1568/getInfo.php?workbook=14_13.xlsx&amp;sheet=U0&amp;row=2399&amp;col=7&amp;number=0.0144&amp;sourceID=14","0.0144")</f>
        <v>0.0144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HYPERLINK("http://141.218.60.56/~jnz1568/getInfo.php?workbook=14_13.xlsx&amp;sheet=U0&amp;row=2400&amp;col=6&amp;number=4.6&amp;sourceID=14","4.6")</f>
        <v>4.6</v>
      </c>
      <c r="G2400" s="4" t="str">
        <f>HYPERLINK("http://141.218.60.56/~jnz1568/getInfo.php?workbook=14_13.xlsx&amp;sheet=U0&amp;row=2400&amp;col=7&amp;number=0.0138&amp;sourceID=14","0.0138")</f>
        <v>0.0138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HYPERLINK("http://141.218.60.56/~jnz1568/getInfo.php?workbook=14_13.xlsx&amp;sheet=U0&amp;row=2401&amp;col=6&amp;number=4.7&amp;sourceID=14","4.7")</f>
        <v>4.7</v>
      </c>
      <c r="G2401" s="4" t="str">
        <f>HYPERLINK("http://141.218.60.56/~jnz1568/getInfo.php?workbook=14_13.xlsx&amp;sheet=U0&amp;row=2401&amp;col=7&amp;number=0.0132&amp;sourceID=14","0.0132")</f>
        <v>0.0132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HYPERLINK("http://141.218.60.56/~jnz1568/getInfo.php?workbook=14_13.xlsx&amp;sheet=U0&amp;row=2402&amp;col=6&amp;number=4.8&amp;sourceID=14","4.8")</f>
        <v>4.8</v>
      </c>
      <c r="G2402" s="4" t="str">
        <f>HYPERLINK("http://141.218.60.56/~jnz1568/getInfo.php?workbook=14_13.xlsx&amp;sheet=U0&amp;row=2402&amp;col=7&amp;number=0.0127&amp;sourceID=14","0.0127")</f>
        <v>0.0127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HYPERLINK("http://141.218.60.56/~jnz1568/getInfo.php?workbook=14_13.xlsx&amp;sheet=U0&amp;row=2403&amp;col=6&amp;number=4.9&amp;sourceID=14","4.9")</f>
        <v>4.9</v>
      </c>
      <c r="G2403" s="4" t="str">
        <f>HYPERLINK("http://141.218.60.56/~jnz1568/getInfo.php?workbook=14_13.xlsx&amp;sheet=U0&amp;row=2403&amp;col=7&amp;number=0.0121&amp;sourceID=14","0.0121")</f>
        <v>0.0121</v>
      </c>
    </row>
    <row r="2404" spans="1:7">
      <c r="A2404" s="3">
        <v>14</v>
      </c>
      <c r="B2404" s="3">
        <v>13</v>
      </c>
      <c r="C2404" s="3">
        <v>5</v>
      </c>
      <c r="D2404" s="3">
        <v>20</v>
      </c>
      <c r="E2404" s="3">
        <v>1</v>
      </c>
      <c r="F2404" s="4" t="str">
        <f>HYPERLINK("http://141.218.60.56/~jnz1568/getInfo.php?workbook=14_13.xlsx&amp;sheet=U0&amp;row=2404&amp;col=6&amp;number=3&amp;sourceID=14","3")</f>
        <v>3</v>
      </c>
      <c r="G2404" s="4" t="str">
        <f>HYPERLINK("http://141.218.60.56/~jnz1568/getInfo.php?workbook=14_13.xlsx&amp;sheet=U0&amp;row=2404&amp;col=7&amp;number=0.0535&amp;sourceID=14","0.0535")</f>
        <v>0.0535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HYPERLINK("http://141.218.60.56/~jnz1568/getInfo.php?workbook=14_13.xlsx&amp;sheet=U0&amp;row=2405&amp;col=6&amp;number=3.1&amp;sourceID=14","3.1")</f>
        <v>3.1</v>
      </c>
      <c r="G2405" s="4" t="str">
        <f>HYPERLINK("http://141.218.60.56/~jnz1568/getInfo.php?workbook=14_13.xlsx&amp;sheet=U0&amp;row=2405&amp;col=7&amp;number=0.0537&amp;sourceID=14","0.0537")</f>
        <v>0.0537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HYPERLINK("http://141.218.60.56/~jnz1568/getInfo.php?workbook=14_13.xlsx&amp;sheet=U0&amp;row=2406&amp;col=6&amp;number=3.2&amp;sourceID=14","3.2")</f>
        <v>3.2</v>
      </c>
      <c r="G2406" s="4" t="str">
        <f>HYPERLINK("http://141.218.60.56/~jnz1568/getInfo.php?workbook=14_13.xlsx&amp;sheet=U0&amp;row=2406&amp;col=7&amp;number=0.0538&amp;sourceID=14","0.0538")</f>
        <v>0.0538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HYPERLINK("http://141.218.60.56/~jnz1568/getInfo.php?workbook=14_13.xlsx&amp;sheet=U0&amp;row=2407&amp;col=6&amp;number=3.3&amp;sourceID=14","3.3")</f>
        <v>3.3</v>
      </c>
      <c r="G2407" s="4" t="str">
        <f>HYPERLINK("http://141.218.60.56/~jnz1568/getInfo.php?workbook=14_13.xlsx&amp;sheet=U0&amp;row=2407&amp;col=7&amp;number=0.054&amp;sourceID=14","0.054")</f>
        <v>0.054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HYPERLINK("http://141.218.60.56/~jnz1568/getInfo.php?workbook=14_13.xlsx&amp;sheet=U0&amp;row=2408&amp;col=6&amp;number=3.4&amp;sourceID=14","3.4")</f>
        <v>3.4</v>
      </c>
      <c r="G2408" s="4" t="str">
        <f>HYPERLINK("http://141.218.60.56/~jnz1568/getInfo.php?workbook=14_13.xlsx&amp;sheet=U0&amp;row=2408&amp;col=7&amp;number=0.0541&amp;sourceID=14","0.0541")</f>
        <v>0.0541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HYPERLINK("http://141.218.60.56/~jnz1568/getInfo.php?workbook=14_13.xlsx&amp;sheet=U0&amp;row=2409&amp;col=6&amp;number=3.5&amp;sourceID=14","3.5")</f>
        <v>3.5</v>
      </c>
      <c r="G2409" s="4" t="str">
        <f>HYPERLINK("http://141.218.60.56/~jnz1568/getInfo.php?workbook=14_13.xlsx&amp;sheet=U0&amp;row=2409&amp;col=7&amp;number=0.0542&amp;sourceID=14","0.0542")</f>
        <v>0.0542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HYPERLINK("http://141.218.60.56/~jnz1568/getInfo.php?workbook=14_13.xlsx&amp;sheet=U0&amp;row=2410&amp;col=6&amp;number=3.6&amp;sourceID=14","3.6")</f>
        <v>3.6</v>
      </c>
      <c r="G2410" s="4" t="str">
        <f>HYPERLINK("http://141.218.60.56/~jnz1568/getInfo.php?workbook=14_13.xlsx&amp;sheet=U0&amp;row=2410&amp;col=7&amp;number=0.054&amp;sourceID=14","0.054")</f>
        <v>0.054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HYPERLINK("http://141.218.60.56/~jnz1568/getInfo.php?workbook=14_13.xlsx&amp;sheet=U0&amp;row=2411&amp;col=6&amp;number=3.7&amp;sourceID=14","3.7")</f>
        <v>3.7</v>
      </c>
      <c r="G2411" s="4" t="str">
        <f>HYPERLINK("http://141.218.60.56/~jnz1568/getInfo.php?workbook=14_13.xlsx&amp;sheet=U0&amp;row=2411&amp;col=7&amp;number=0.0536&amp;sourceID=14","0.0536")</f>
        <v>0.0536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HYPERLINK("http://141.218.60.56/~jnz1568/getInfo.php?workbook=14_13.xlsx&amp;sheet=U0&amp;row=2412&amp;col=6&amp;number=3.8&amp;sourceID=14","3.8")</f>
        <v>3.8</v>
      </c>
      <c r="G2412" s="4" t="str">
        <f>HYPERLINK("http://141.218.60.56/~jnz1568/getInfo.php?workbook=14_13.xlsx&amp;sheet=U0&amp;row=2412&amp;col=7&amp;number=0.0528&amp;sourceID=14","0.0528")</f>
        <v>0.0528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HYPERLINK("http://141.218.60.56/~jnz1568/getInfo.php?workbook=14_13.xlsx&amp;sheet=U0&amp;row=2413&amp;col=6&amp;number=3.9&amp;sourceID=14","3.9")</f>
        <v>3.9</v>
      </c>
      <c r="G2413" s="4" t="str">
        <f>HYPERLINK("http://141.218.60.56/~jnz1568/getInfo.php?workbook=14_13.xlsx&amp;sheet=U0&amp;row=2413&amp;col=7&amp;number=0.0517&amp;sourceID=14","0.0517")</f>
        <v>0.0517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HYPERLINK("http://141.218.60.56/~jnz1568/getInfo.php?workbook=14_13.xlsx&amp;sheet=U0&amp;row=2414&amp;col=6&amp;number=4&amp;sourceID=14","4")</f>
        <v>4</v>
      </c>
      <c r="G2414" s="4" t="str">
        <f>HYPERLINK("http://141.218.60.56/~jnz1568/getInfo.php?workbook=14_13.xlsx&amp;sheet=U0&amp;row=2414&amp;col=7&amp;number=0.0506&amp;sourceID=14","0.0506")</f>
        <v>0.0506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HYPERLINK("http://141.218.60.56/~jnz1568/getInfo.php?workbook=14_13.xlsx&amp;sheet=U0&amp;row=2415&amp;col=6&amp;number=4.1&amp;sourceID=14","4.1")</f>
        <v>4.1</v>
      </c>
      <c r="G2415" s="4" t="str">
        <f>HYPERLINK("http://141.218.60.56/~jnz1568/getInfo.php?workbook=14_13.xlsx&amp;sheet=U0&amp;row=2415&amp;col=7&amp;number=0.0496&amp;sourceID=14","0.0496")</f>
        <v>0.0496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HYPERLINK("http://141.218.60.56/~jnz1568/getInfo.php?workbook=14_13.xlsx&amp;sheet=U0&amp;row=2416&amp;col=6&amp;number=4.2&amp;sourceID=14","4.2")</f>
        <v>4.2</v>
      </c>
      <c r="G2416" s="4" t="str">
        <f>HYPERLINK("http://141.218.60.56/~jnz1568/getInfo.php?workbook=14_13.xlsx&amp;sheet=U0&amp;row=2416&amp;col=7&amp;number=0.0486&amp;sourceID=14","0.0486")</f>
        <v>0.0486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HYPERLINK("http://141.218.60.56/~jnz1568/getInfo.php?workbook=14_13.xlsx&amp;sheet=U0&amp;row=2417&amp;col=6&amp;number=4.3&amp;sourceID=14","4.3")</f>
        <v>4.3</v>
      </c>
      <c r="G2417" s="4" t="str">
        <f>HYPERLINK("http://141.218.60.56/~jnz1568/getInfo.php?workbook=14_13.xlsx&amp;sheet=U0&amp;row=2417&amp;col=7&amp;number=0.0475&amp;sourceID=14","0.0475")</f>
        <v>0.0475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HYPERLINK("http://141.218.60.56/~jnz1568/getInfo.php?workbook=14_13.xlsx&amp;sheet=U0&amp;row=2418&amp;col=6&amp;number=4.4&amp;sourceID=14","4.4")</f>
        <v>4.4</v>
      </c>
      <c r="G2418" s="4" t="str">
        <f>HYPERLINK("http://141.218.60.56/~jnz1568/getInfo.php?workbook=14_13.xlsx&amp;sheet=U0&amp;row=2418&amp;col=7&amp;number=0.0464&amp;sourceID=14","0.0464")</f>
        <v>0.0464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HYPERLINK("http://141.218.60.56/~jnz1568/getInfo.php?workbook=14_13.xlsx&amp;sheet=U0&amp;row=2419&amp;col=6&amp;number=4.5&amp;sourceID=14","4.5")</f>
        <v>4.5</v>
      </c>
      <c r="G2419" s="4" t="str">
        <f>HYPERLINK("http://141.218.60.56/~jnz1568/getInfo.php?workbook=14_13.xlsx&amp;sheet=U0&amp;row=2419&amp;col=7&amp;number=0.0452&amp;sourceID=14","0.0452")</f>
        <v>0.0452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HYPERLINK("http://141.218.60.56/~jnz1568/getInfo.php?workbook=14_13.xlsx&amp;sheet=U0&amp;row=2420&amp;col=6&amp;number=4.6&amp;sourceID=14","4.6")</f>
        <v>4.6</v>
      </c>
      <c r="G2420" s="4" t="str">
        <f>HYPERLINK("http://141.218.60.56/~jnz1568/getInfo.php?workbook=14_13.xlsx&amp;sheet=U0&amp;row=2420&amp;col=7&amp;number=0.0439&amp;sourceID=14","0.0439")</f>
        <v>0.0439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HYPERLINK("http://141.218.60.56/~jnz1568/getInfo.php?workbook=14_13.xlsx&amp;sheet=U0&amp;row=2421&amp;col=6&amp;number=4.7&amp;sourceID=14","4.7")</f>
        <v>4.7</v>
      </c>
      <c r="G2421" s="4" t="str">
        <f>HYPERLINK("http://141.218.60.56/~jnz1568/getInfo.php?workbook=14_13.xlsx&amp;sheet=U0&amp;row=2421&amp;col=7&amp;number=0.0425&amp;sourceID=14","0.0425")</f>
        <v>0.0425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HYPERLINK("http://141.218.60.56/~jnz1568/getInfo.php?workbook=14_13.xlsx&amp;sheet=U0&amp;row=2422&amp;col=6&amp;number=4.8&amp;sourceID=14","4.8")</f>
        <v>4.8</v>
      </c>
      <c r="G2422" s="4" t="str">
        <f>HYPERLINK("http://141.218.60.56/~jnz1568/getInfo.php?workbook=14_13.xlsx&amp;sheet=U0&amp;row=2422&amp;col=7&amp;number=0.0408&amp;sourceID=14","0.0408")</f>
        <v>0.0408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HYPERLINK("http://141.218.60.56/~jnz1568/getInfo.php?workbook=14_13.xlsx&amp;sheet=U0&amp;row=2423&amp;col=6&amp;number=4.9&amp;sourceID=14","4.9")</f>
        <v>4.9</v>
      </c>
      <c r="G2423" s="4" t="str">
        <f>HYPERLINK("http://141.218.60.56/~jnz1568/getInfo.php?workbook=14_13.xlsx&amp;sheet=U0&amp;row=2423&amp;col=7&amp;number=0.0388&amp;sourceID=14","0.0388")</f>
        <v>0.0388</v>
      </c>
    </row>
    <row r="2424" spans="1:7">
      <c r="A2424" s="3">
        <v>14</v>
      </c>
      <c r="B2424" s="3">
        <v>13</v>
      </c>
      <c r="C2424" s="3">
        <v>5</v>
      </c>
      <c r="D2424" s="3">
        <v>21</v>
      </c>
      <c r="E2424" s="3">
        <v>1</v>
      </c>
      <c r="F2424" s="4" t="str">
        <f>HYPERLINK("http://141.218.60.56/~jnz1568/getInfo.php?workbook=14_13.xlsx&amp;sheet=U0&amp;row=2424&amp;col=6&amp;number=3&amp;sourceID=14","3")</f>
        <v>3</v>
      </c>
      <c r="G2424" s="4" t="str">
        <f>HYPERLINK("http://141.218.60.56/~jnz1568/getInfo.php?workbook=14_13.xlsx&amp;sheet=U0&amp;row=2424&amp;col=7&amp;number=0.0163&amp;sourceID=14","0.0163")</f>
        <v>0.0163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HYPERLINK("http://141.218.60.56/~jnz1568/getInfo.php?workbook=14_13.xlsx&amp;sheet=U0&amp;row=2425&amp;col=6&amp;number=3.1&amp;sourceID=14","3.1")</f>
        <v>3.1</v>
      </c>
      <c r="G2425" s="4" t="str">
        <f>HYPERLINK("http://141.218.60.56/~jnz1568/getInfo.php?workbook=14_13.xlsx&amp;sheet=U0&amp;row=2425&amp;col=7&amp;number=0.0165&amp;sourceID=14","0.0165")</f>
        <v>0.0165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HYPERLINK("http://141.218.60.56/~jnz1568/getInfo.php?workbook=14_13.xlsx&amp;sheet=U0&amp;row=2426&amp;col=6&amp;number=3.2&amp;sourceID=14","3.2")</f>
        <v>3.2</v>
      </c>
      <c r="G2426" s="4" t="str">
        <f>HYPERLINK("http://141.218.60.56/~jnz1568/getInfo.php?workbook=14_13.xlsx&amp;sheet=U0&amp;row=2426&amp;col=7&amp;number=0.0168&amp;sourceID=14","0.0168")</f>
        <v>0.0168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HYPERLINK("http://141.218.60.56/~jnz1568/getInfo.php?workbook=14_13.xlsx&amp;sheet=U0&amp;row=2427&amp;col=6&amp;number=3.3&amp;sourceID=14","3.3")</f>
        <v>3.3</v>
      </c>
      <c r="G2427" s="4" t="str">
        <f>HYPERLINK("http://141.218.60.56/~jnz1568/getInfo.php?workbook=14_13.xlsx&amp;sheet=U0&amp;row=2427&amp;col=7&amp;number=0.0172&amp;sourceID=14","0.0172")</f>
        <v>0.0172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HYPERLINK("http://141.218.60.56/~jnz1568/getInfo.php?workbook=14_13.xlsx&amp;sheet=U0&amp;row=2428&amp;col=6&amp;number=3.4&amp;sourceID=14","3.4")</f>
        <v>3.4</v>
      </c>
      <c r="G2428" s="4" t="str">
        <f>HYPERLINK("http://141.218.60.56/~jnz1568/getInfo.php?workbook=14_13.xlsx&amp;sheet=U0&amp;row=2428&amp;col=7&amp;number=0.0175&amp;sourceID=14","0.0175")</f>
        <v>0.0175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HYPERLINK("http://141.218.60.56/~jnz1568/getInfo.php?workbook=14_13.xlsx&amp;sheet=U0&amp;row=2429&amp;col=6&amp;number=3.5&amp;sourceID=14","3.5")</f>
        <v>3.5</v>
      </c>
      <c r="G2429" s="4" t="str">
        <f>HYPERLINK("http://141.218.60.56/~jnz1568/getInfo.php?workbook=14_13.xlsx&amp;sheet=U0&amp;row=2429&amp;col=7&amp;number=0.0179&amp;sourceID=14","0.0179")</f>
        <v>0.0179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HYPERLINK("http://141.218.60.56/~jnz1568/getInfo.php?workbook=14_13.xlsx&amp;sheet=U0&amp;row=2430&amp;col=6&amp;number=3.6&amp;sourceID=14","3.6")</f>
        <v>3.6</v>
      </c>
      <c r="G2430" s="4" t="str">
        <f>HYPERLINK("http://141.218.60.56/~jnz1568/getInfo.php?workbook=14_13.xlsx&amp;sheet=U0&amp;row=2430&amp;col=7&amp;number=0.0182&amp;sourceID=14","0.0182")</f>
        <v>0.0182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HYPERLINK("http://141.218.60.56/~jnz1568/getInfo.php?workbook=14_13.xlsx&amp;sheet=U0&amp;row=2431&amp;col=6&amp;number=3.7&amp;sourceID=14","3.7")</f>
        <v>3.7</v>
      </c>
      <c r="G2431" s="4" t="str">
        <f>HYPERLINK("http://141.218.60.56/~jnz1568/getInfo.php?workbook=14_13.xlsx&amp;sheet=U0&amp;row=2431&amp;col=7&amp;number=0.0182&amp;sourceID=14","0.0182")</f>
        <v>0.0182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HYPERLINK("http://141.218.60.56/~jnz1568/getInfo.php?workbook=14_13.xlsx&amp;sheet=U0&amp;row=2432&amp;col=6&amp;number=3.8&amp;sourceID=14","3.8")</f>
        <v>3.8</v>
      </c>
      <c r="G2432" s="4" t="str">
        <f>HYPERLINK("http://141.218.60.56/~jnz1568/getInfo.php?workbook=14_13.xlsx&amp;sheet=U0&amp;row=2432&amp;col=7&amp;number=0.018&amp;sourceID=14","0.018")</f>
        <v>0.018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HYPERLINK("http://141.218.60.56/~jnz1568/getInfo.php?workbook=14_13.xlsx&amp;sheet=U0&amp;row=2433&amp;col=6&amp;number=3.9&amp;sourceID=14","3.9")</f>
        <v>3.9</v>
      </c>
      <c r="G2433" s="4" t="str">
        <f>HYPERLINK("http://141.218.60.56/~jnz1568/getInfo.php?workbook=14_13.xlsx&amp;sheet=U0&amp;row=2433&amp;col=7&amp;number=0.0175&amp;sourceID=14","0.0175")</f>
        <v>0.0175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HYPERLINK("http://141.218.60.56/~jnz1568/getInfo.php?workbook=14_13.xlsx&amp;sheet=U0&amp;row=2434&amp;col=6&amp;number=4&amp;sourceID=14","4")</f>
        <v>4</v>
      </c>
      <c r="G2434" s="4" t="str">
        <f>HYPERLINK("http://141.218.60.56/~jnz1568/getInfo.php?workbook=14_13.xlsx&amp;sheet=U0&amp;row=2434&amp;col=7&amp;number=0.0167&amp;sourceID=14","0.0167")</f>
        <v>0.0167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HYPERLINK("http://141.218.60.56/~jnz1568/getInfo.php?workbook=14_13.xlsx&amp;sheet=U0&amp;row=2435&amp;col=6&amp;number=4.1&amp;sourceID=14","4.1")</f>
        <v>4.1</v>
      </c>
      <c r="G2435" s="4" t="str">
        <f>HYPERLINK("http://141.218.60.56/~jnz1568/getInfo.php?workbook=14_13.xlsx&amp;sheet=U0&amp;row=2435&amp;col=7&amp;number=0.0159&amp;sourceID=14","0.0159")</f>
        <v>0.0159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HYPERLINK("http://141.218.60.56/~jnz1568/getInfo.php?workbook=14_13.xlsx&amp;sheet=U0&amp;row=2436&amp;col=6&amp;number=4.2&amp;sourceID=14","4.2")</f>
        <v>4.2</v>
      </c>
      <c r="G2436" s="4" t="str">
        <f>HYPERLINK("http://141.218.60.56/~jnz1568/getInfo.php?workbook=14_13.xlsx&amp;sheet=U0&amp;row=2436&amp;col=7&amp;number=0.015&amp;sourceID=14","0.015")</f>
        <v>0.015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HYPERLINK("http://141.218.60.56/~jnz1568/getInfo.php?workbook=14_13.xlsx&amp;sheet=U0&amp;row=2437&amp;col=6&amp;number=4.3&amp;sourceID=14","4.3")</f>
        <v>4.3</v>
      </c>
      <c r="G2437" s="4" t="str">
        <f>HYPERLINK("http://141.218.60.56/~jnz1568/getInfo.php?workbook=14_13.xlsx&amp;sheet=U0&amp;row=2437&amp;col=7&amp;number=0.0141&amp;sourceID=14","0.0141")</f>
        <v>0.0141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HYPERLINK("http://141.218.60.56/~jnz1568/getInfo.php?workbook=14_13.xlsx&amp;sheet=U0&amp;row=2438&amp;col=6&amp;number=4.4&amp;sourceID=14","4.4")</f>
        <v>4.4</v>
      </c>
      <c r="G2438" s="4" t="str">
        <f>HYPERLINK("http://141.218.60.56/~jnz1568/getInfo.php?workbook=14_13.xlsx&amp;sheet=U0&amp;row=2438&amp;col=7&amp;number=0.0132&amp;sourceID=14","0.0132")</f>
        <v>0.0132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HYPERLINK("http://141.218.60.56/~jnz1568/getInfo.php?workbook=14_13.xlsx&amp;sheet=U0&amp;row=2439&amp;col=6&amp;number=4.5&amp;sourceID=14","4.5")</f>
        <v>4.5</v>
      </c>
      <c r="G2439" s="4" t="str">
        <f>HYPERLINK("http://141.218.60.56/~jnz1568/getInfo.php?workbook=14_13.xlsx&amp;sheet=U0&amp;row=2439&amp;col=7&amp;number=0.0123&amp;sourceID=14","0.0123")</f>
        <v>0.0123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HYPERLINK("http://141.218.60.56/~jnz1568/getInfo.php?workbook=14_13.xlsx&amp;sheet=U0&amp;row=2440&amp;col=6&amp;number=4.6&amp;sourceID=14","4.6")</f>
        <v>4.6</v>
      </c>
      <c r="G2440" s="4" t="str">
        <f>HYPERLINK("http://141.218.60.56/~jnz1568/getInfo.php?workbook=14_13.xlsx&amp;sheet=U0&amp;row=2440&amp;col=7&amp;number=0.0116&amp;sourceID=14","0.0116")</f>
        <v>0.0116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HYPERLINK("http://141.218.60.56/~jnz1568/getInfo.php?workbook=14_13.xlsx&amp;sheet=U0&amp;row=2441&amp;col=6&amp;number=4.7&amp;sourceID=14","4.7")</f>
        <v>4.7</v>
      </c>
      <c r="G2441" s="4" t="str">
        <f>HYPERLINK("http://141.218.60.56/~jnz1568/getInfo.php?workbook=14_13.xlsx&amp;sheet=U0&amp;row=2441&amp;col=7&amp;number=0.0109&amp;sourceID=14","0.0109")</f>
        <v>0.0109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HYPERLINK("http://141.218.60.56/~jnz1568/getInfo.php?workbook=14_13.xlsx&amp;sheet=U0&amp;row=2442&amp;col=6&amp;number=4.8&amp;sourceID=14","4.8")</f>
        <v>4.8</v>
      </c>
      <c r="G2442" s="4" t="str">
        <f>HYPERLINK("http://141.218.60.56/~jnz1568/getInfo.php?workbook=14_13.xlsx&amp;sheet=U0&amp;row=2442&amp;col=7&amp;number=0.0102&amp;sourceID=14","0.0102")</f>
        <v>0.0102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HYPERLINK("http://141.218.60.56/~jnz1568/getInfo.php?workbook=14_13.xlsx&amp;sheet=U0&amp;row=2443&amp;col=6&amp;number=4.9&amp;sourceID=14","4.9")</f>
        <v>4.9</v>
      </c>
      <c r="G2443" s="4" t="str">
        <f>HYPERLINK("http://141.218.60.56/~jnz1568/getInfo.php?workbook=14_13.xlsx&amp;sheet=U0&amp;row=2443&amp;col=7&amp;number=0.00953&amp;sourceID=14","0.00953")</f>
        <v>0.00953</v>
      </c>
    </row>
    <row r="2444" spans="1:7">
      <c r="A2444" s="3">
        <v>14</v>
      </c>
      <c r="B2444" s="3">
        <v>13</v>
      </c>
      <c r="C2444" s="3">
        <v>5</v>
      </c>
      <c r="D2444" s="3">
        <v>22</v>
      </c>
      <c r="E2444" s="3">
        <v>1</v>
      </c>
      <c r="F2444" s="4" t="str">
        <f>HYPERLINK("http://141.218.60.56/~jnz1568/getInfo.php?workbook=14_13.xlsx&amp;sheet=U0&amp;row=2444&amp;col=6&amp;number=3&amp;sourceID=14","3")</f>
        <v>3</v>
      </c>
      <c r="G2444" s="4" t="str">
        <f>HYPERLINK("http://141.218.60.56/~jnz1568/getInfo.php?workbook=14_13.xlsx&amp;sheet=U0&amp;row=2444&amp;col=7&amp;number=0.0354&amp;sourceID=14","0.0354")</f>
        <v>0.0354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HYPERLINK("http://141.218.60.56/~jnz1568/getInfo.php?workbook=14_13.xlsx&amp;sheet=U0&amp;row=2445&amp;col=6&amp;number=3.1&amp;sourceID=14","3.1")</f>
        <v>3.1</v>
      </c>
      <c r="G2445" s="4" t="str">
        <f>HYPERLINK("http://141.218.60.56/~jnz1568/getInfo.php?workbook=14_13.xlsx&amp;sheet=U0&amp;row=2445&amp;col=7&amp;number=0.0363&amp;sourceID=14","0.0363")</f>
        <v>0.0363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HYPERLINK("http://141.218.60.56/~jnz1568/getInfo.php?workbook=14_13.xlsx&amp;sheet=U0&amp;row=2446&amp;col=6&amp;number=3.2&amp;sourceID=14","3.2")</f>
        <v>3.2</v>
      </c>
      <c r="G2446" s="4" t="str">
        <f>HYPERLINK("http://141.218.60.56/~jnz1568/getInfo.php?workbook=14_13.xlsx&amp;sheet=U0&amp;row=2446&amp;col=7&amp;number=0.0373&amp;sourceID=14","0.0373")</f>
        <v>0.0373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HYPERLINK("http://141.218.60.56/~jnz1568/getInfo.php?workbook=14_13.xlsx&amp;sheet=U0&amp;row=2447&amp;col=6&amp;number=3.3&amp;sourceID=14","3.3")</f>
        <v>3.3</v>
      </c>
      <c r="G2447" s="4" t="str">
        <f>HYPERLINK("http://141.218.60.56/~jnz1568/getInfo.php?workbook=14_13.xlsx&amp;sheet=U0&amp;row=2447&amp;col=7&amp;number=0.0384&amp;sourceID=14","0.0384")</f>
        <v>0.0384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HYPERLINK("http://141.218.60.56/~jnz1568/getInfo.php?workbook=14_13.xlsx&amp;sheet=U0&amp;row=2448&amp;col=6&amp;number=3.4&amp;sourceID=14","3.4")</f>
        <v>3.4</v>
      </c>
      <c r="G2448" s="4" t="str">
        <f>HYPERLINK("http://141.218.60.56/~jnz1568/getInfo.php?workbook=14_13.xlsx&amp;sheet=U0&amp;row=2448&amp;col=7&amp;number=0.0395&amp;sourceID=14","0.0395")</f>
        <v>0.0395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HYPERLINK("http://141.218.60.56/~jnz1568/getInfo.php?workbook=14_13.xlsx&amp;sheet=U0&amp;row=2449&amp;col=6&amp;number=3.5&amp;sourceID=14","3.5")</f>
        <v>3.5</v>
      </c>
      <c r="G2449" s="4" t="str">
        <f>HYPERLINK("http://141.218.60.56/~jnz1568/getInfo.php?workbook=14_13.xlsx&amp;sheet=U0&amp;row=2449&amp;col=7&amp;number=0.0405&amp;sourceID=14","0.0405")</f>
        <v>0.0405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HYPERLINK("http://141.218.60.56/~jnz1568/getInfo.php?workbook=14_13.xlsx&amp;sheet=U0&amp;row=2450&amp;col=6&amp;number=3.6&amp;sourceID=14","3.6")</f>
        <v>3.6</v>
      </c>
      <c r="G2450" s="4" t="str">
        <f>HYPERLINK("http://141.218.60.56/~jnz1568/getInfo.php?workbook=14_13.xlsx&amp;sheet=U0&amp;row=2450&amp;col=7&amp;number=0.0411&amp;sourceID=14","0.0411")</f>
        <v>0.0411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HYPERLINK("http://141.218.60.56/~jnz1568/getInfo.php?workbook=14_13.xlsx&amp;sheet=U0&amp;row=2451&amp;col=6&amp;number=3.7&amp;sourceID=14","3.7")</f>
        <v>3.7</v>
      </c>
      <c r="G2451" s="4" t="str">
        <f>HYPERLINK("http://141.218.60.56/~jnz1568/getInfo.php?workbook=14_13.xlsx&amp;sheet=U0&amp;row=2451&amp;col=7&amp;number=0.0409&amp;sourceID=14","0.0409")</f>
        <v>0.0409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HYPERLINK("http://141.218.60.56/~jnz1568/getInfo.php?workbook=14_13.xlsx&amp;sheet=U0&amp;row=2452&amp;col=6&amp;number=3.8&amp;sourceID=14","3.8")</f>
        <v>3.8</v>
      </c>
      <c r="G2452" s="4" t="str">
        <f>HYPERLINK("http://141.218.60.56/~jnz1568/getInfo.php?workbook=14_13.xlsx&amp;sheet=U0&amp;row=2452&amp;col=7&amp;number=0.04&amp;sourceID=14","0.04")</f>
        <v>0.04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HYPERLINK("http://141.218.60.56/~jnz1568/getInfo.php?workbook=14_13.xlsx&amp;sheet=U0&amp;row=2453&amp;col=6&amp;number=3.9&amp;sourceID=14","3.9")</f>
        <v>3.9</v>
      </c>
      <c r="G2453" s="4" t="str">
        <f>HYPERLINK("http://141.218.60.56/~jnz1568/getInfo.php?workbook=14_13.xlsx&amp;sheet=U0&amp;row=2453&amp;col=7&amp;number=0.0383&amp;sourceID=14","0.0383")</f>
        <v>0.0383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HYPERLINK("http://141.218.60.56/~jnz1568/getInfo.php?workbook=14_13.xlsx&amp;sheet=U0&amp;row=2454&amp;col=6&amp;number=4&amp;sourceID=14","4")</f>
        <v>4</v>
      </c>
      <c r="G2454" s="4" t="str">
        <f>HYPERLINK("http://141.218.60.56/~jnz1568/getInfo.php?workbook=14_13.xlsx&amp;sheet=U0&amp;row=2454&amp;col=7&amp;number=0.0364&amp;sourceID=14","0.0364")</f>
        <v>0.0364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HYPERLINK("http://141.218.60.56/~jnz1568/getInfo.php?workbook=14_13.xlsx&amp;sheet=U0&amp;row=2455&amp;col=6&amp;number=4.1&amp;sourceID=14","4.1")</f>
        <v>4.1</v>
      </c>
      <c r="G2455" s="4" t="str">
        <f>HYPERLINK("http://141.218.60.56/~jnz1568/getInfo.php?workbook=14_13.xlsx&amp;sheet=U0&amp;row=2455&amp;col=7&amp;number=0.0342&amp;sourceID=14","0.0342")</f>
        <v>0.0342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HYPERLINK("http://141.218.60.56/~jnz1568/getInfo.php?workbook=14_13.xlsx&amp;sheet=U0&amp;row=2456&amp;col=6&amp;number=4.2&amp;sourceID=14","4.2")</f>
        <v>4.2</v>
      </c>
      <c r="G2456" s="4" t="str">
        <f>HYPERLINK("http://141.218.60.56/~jnz1568/getInfo.php?workbook=14_13.xlsx&amp;sheet=U0&amp;row=2456&amp;col=7&amp;number=0.0318&amp;sourceID=14","0.0318")</f>
        <v>0.0318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HYPERLINK("http://141.218.60.56/~jnz1568/getInfo.php?workbook=14_13.xlsx&amp;sheet=U0&amp;row=2457&amp;col=6&amp;number=4.3&amp;sourceID=14","4.3")</f>
        <v>4.3</v>
      </c>
      <c r="G2457" s="4" t="str">
        <f>HYPERLINK("http://141.218.60.56/~jnz1568/getInfo.php?workbook=14_13.xlsx&amp;sheet=U0&amp;row=2457&amp;col=7&amp;number=0.0295&amp;sourceID=14","0.0295")</f>
        <v>0.0295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HYPERLINK("http://141.218.60.56/~jnz1568/getInfo.php?workbook=14_13.xlsx&amp;sheet=U0&amp;row=2458&amp;col=6&amp;number=4.4&amp;sourceID=14","4.4")</f>
        <v>4.4</v>
      </c>
      <c r="G2458" s="4" t="str">
        <f>HYPERLINK("http://141.218.60.56/~jnz1568/getInfo.php?workbook=14_13.xlsx&amp;sheet=U0&amp;row=2458&amp;col=7&amp;number=0.0272&amp;sourceID=14","0.0272")</f>
        <v>0.0272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HYPERLINK("http://141.218.60.56/~jnz1568/getInfo.php?workbook=14_13.xlsx&amp;sheet=U0&amp;row=2459&amp;col=6&amp;number=4.5&amp;sourceID=14","4.5")</f>
        <v>4.5</v>
      </c>
      <c r="G2459" s="4" t="str">
        <f>HYPERLINK("http://141.218.60.56/~jnz1568/getInfo.php?workbook=14_13.xlsx&amp;sheet=U0&amp;row=2459&amp;col=7&amp;number=0.0251&amp;sourceID=14","0.0251")</f>
        <v>0.0251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HYPERLINK("http://141.218.60.56/~jnz1568/getInfo.php?workbook=14_13.xlsx&amp;sheet=U0&amp;row=2460&amp;col=6&amp;number=4.6&amp;sourceID=14","4.6")</f>
        <v>4.6</v>
      </c>
      <c r="G2460" s="4" t="str">
        <f>HYPERLINK("http://141.218.60.56/~jnz1568/getInfo.php?workbook=14_13.xlsx&amp;sheet=U0&amp;row=2460&amp;col=7&amp;number=0.0232&amp;sourceID=14","0.0232")</f>
        <v>0.0232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HYPERLINK("http://141.218.60.56/~jnz1568/getInfo.php?workbook=14_13.xlsx&amp;sheet=U0&amp;row=2461&amp;col=6&amp;number=4.7&amp;sourceID=14","4.7")</f>
        <v>4.7</v>
      </c>
      <c r="G2461" s="4" t="str">
        <f>HYPERLINK("http://141.218.60.56/~jnz1568/getInfo.php?workbook=14_13.xlsx&amp;sheet=U0&amp;row=2461&amp;col=7&amp;number=0.0214&amp;sourceID=14","0.0214")</f>
        <v>0.0214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HYPERLINK("http://141.218.60.56/~jnz1568/getInfo.php?workbook=14_13.xlsx&amp;sheet=U0&amp;row=2462&amp;col=6&amp;number=4.8&amp;sourceID=14","4.8")</f>
        <v>4.8</v>
      </c>
      <c r="G2462" s="4" t="str">
        <f>HYPERLINK("http://141.218.60.56/~jnz1568/getInfo.php?workbook=14_13.xlsx&amp;sheet=U0&amp;row=2462&amp;col=7&amp;number=0.0196&amp;sourceID=14","0.0196")</f>
        <v>0.0196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HYPERLINK("http://141.218.60.56/~jnz1568/getInfo.php?workbook=14_13.xlsx&amp;sheet=U0&amp;row=2463&amp;col=6&amp;number=4.9&amp;sourceID=14","4.9")</f>
        <v>4.9</v>
      </c>
      <c r="G2463" s="4" t="str">
        <f>HYPERLINK("http://141.218.60.56/~jnz1568/getInfo.php?workbook=14_13.xlsx&amp;sheet=U0&amp;row=2463&amp;col=7&amp;number=0.0179&amp;sourceID=14","0.0179")</f>
        <v>0.0179</v>
      </c>
    </row>
    <row r="2464" spans="1:7">
      <c r="A2464" s="3">
        <v>14</v>
      </c>
      <c r="B2464" s="3">
        <v>13</v>
      </c>
      <c r="C2464" s="3">
        <v>5</v>
      </c>
      <c r="D2464" s="3">
        <v>23</v>
      </c>
      <c r="E2464" s="3">
        <v>1</v>
      </c>
      <c r="F2464" s="4" t="str">
        <f>HYPERLINK("http://141.218.60.56/~jnz1568/getInfo.php?workbook=14_13.xlsx&amp;sheet=U0&amp;row=2464&amp;col=6&amp;number=3&amp;sourceID=14","3")</f>
        <v>3</v>
      </c>
      <c r="G2464" s="4" t="str">
        <f>HYPERLINK("http://141.218.60.56/~jnz1568/getInfo.php?workbook=14_13.xlsx&amp;sheet=U0&amp;row=2464&amp;col=7&amp;number=1.19&amp;sourceID=14","1.19")</f>
        <v>1.19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HYPERLINK("http://141.218.60.56/~jnz1568/getInfo.php?workbook=14_13.xlsx&amp;sheet=U0&amp;row=2465&amp;col=6&amp;number=3.1&amp;sourceID=14","3.1")</f>
        <v>3.1</v>
      </c>
      <c r="G2465" s="4" t="str">
        <f>HYPERLINK("http://141.218.60.56/~jnz1568/getInfo.php?workbook=14_13.xlsx&amp;sheet=U0&amp;row=2465&amp;col=7&amp;number=1.19&amp;sourceID=14","1.19")</f>
        <v>1.19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HYPERLINK("http://141.218.60.56/~jnz1568/getInfo.php?workbook=14_13.xlsx&amp;sheet=U0&amp;row=2466&amp;col=6&amp;number=3.2&amp;sourceID=14","3.2")</f>
        <v>3.2</v>
      </c>
      <c r="G2466" s="4" t="str">
        <f>HYPERLINK("http://141.218.60.56/~jnz1568/getInfo.php?workbook=14_13.xlsx&amp;sheet=U0&amp;row=2466&amp;col=7&amp;number=1.18&amp;sourceID=14","1.18")</f>
        <v>1.18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HYPERLINK("http://141.218.60.56/~jnz1568/getInfo.php?workbook=14_13.xlsx&amp;sheet=U0&amp;row=2467&amp;col=6&amp;number=3.3&amp;sourceID=14","3.3")</f>
        <v>3.3</v>
      </c>
      <c r="G2467" s="4" t="str">
        <f>HYPERLINK("http://141.218.60.56/~jnz1568/getInfo.php?workbook=14_13.xlsx&amp;sheet=U0&amp;row=2467&amp;col=7&amp;number=1.18&amp;sourceID=14","1.18")</f>
        <v>1.18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HYPERLINK("http://141.218.60.56/~jnz1568/getInfo.php?workbook=14_13.xlsx&amp;sheet=U0&amp;row=2468&amp;col=6&amp;number=3.4&amp;sourceID=14","3.4")</f>
        <v>3.4</v>
      </c>
      <c r="G2468" s="4" t="str">
        <f>HYPERLINK("http://141.218.60.56/~jnz1568/getInfo.php?workbook=14_13.xlsx&amp;sheet=U0&amp;row=2468&amp;col=7&amp;number=1.17&amp;sourceID=14","1.17")</f>
        <v>1.17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HYPERLINK("http://141.218.60.56/~jnz1568/getInfo.php?workbook=14_13.xlsx&amp;sheet=U0&amp;row=2469&amp;col=6&amp;number=3.5&amp;sourceID=14","3.5")</f>
        <v>3.5</v>
      </c>
      <c r="G2469" s="4" t="str">
        <f>HYPERLINK("http://141.218.60.56/~jnz1568/getInfo.php?workbook=14_13.xlsx&amp;sheet=U0&amp;row=2469&amp;col=7&amp;number=1.16&amp;sourceID=14","1.16")</f>
        <v>1.16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HYPERLINK("http://141.218.60.56/~jnz1568/getInfo.php?workbook=14_13.xlsx&amp;sheet=U0&amp;row=2470&amp;col=6&amp;number=3.6&amp;sourceID=14","3.6")</f>
        <v>3.6</v>
      </c>
      <c r="G2470" s="4" t="str">
        <f>HYPERLINK("http://141.218.60.56/~jnz1568/getInfo.php?workbook=14_13.xlsx&amp;sheet=U0&amp;row=2470&amp;col=7&amp;number=1.15&amp;sourceID=14","1.15")</f>
        <v>1.15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HYPERLINK("http://141.218.60.56/~jnz1568/getInfo.php?workbook=14_13.xlsx&amp;sheet=U0&amp;row=2471&amp;col=6&amp;number=3.7&amp;sourceID=14","3.7")</f>
        <v>3.7</v>
      </c>
      <c r="G2471" s="4" t="str">
        <f>HYPERLINK("http://141.218.60.56/~jnz1568/getInfo.php?workbook=14_13.xlsx&amp;sheet=U0&amp;row=2471&amp;col=7&amp;number=1.14&amp;sourceID=14","1.14")</f>
        <v>1.14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HYPERLINK("http://141.218.60.56/~jnz1568/getInfo.php?workbook=14_13.xlsx&amp;sheet=U0&amp;row=2472&amp;col=6&amp;number=3.8&amp;sourceID=14","3.8")</f>
        <v>3.8</v>
      </c>
      <c r="G2472" s="4" t="str">
        <f>HYPERLINK("http://141.218.60.56/~jnz1568/getInfo.php?workbook=14_13.xlsx&amp;sheet=U0&amp;row=2472&amp;col=7&amp;number=1.12&amp;sourceID=14","1.12")</f>
        <v>1.12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HYPERLINK("http://141.218.60.56/~jnz1568/getInfo.php?workbook=14_13.xlsx&amp;sheet=U0&amp;row=2473&amp;col=6&amp;number=3.9&amp;sourceID=14","3.9")</f>
        <v>3.9</v>
      </c>
      <c r="G2473" s="4" t="str">
        <f>HYPERLINK("http://141.218.60.56/~jnz1568/getInfo.php?workbook=14_13.xlsx&amp;sheet=U0&amp;row=2473&amp;col=7&amp;number=1.11&amp;sourceID=14","1.11")</f>
        <v>1.11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HYPERLINK("http://141.218.60.56/~jnz1568/getInfo.php?workbook=14_13.xlsx&amp;sheet=U0&amp;row=2474&amp;col=6&amp;number=4&amp;sourceID=14","4")</f>
        <v>4</v>
      </c>
      <c r="G2474" s="4" t="str">
        <f>HYPERLINK("http://141.218.60.56/~jnz1568/getInfo.php?workbook=14_13.xlsx&amp;sheet=U0&amp;row=2474&amp;col=7&amp;number=1.09&amp;sourceID=14","1.09")</f>
        <v>1.09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HYPERLINK("http://141.218.60.56/~jnz1568/getInfo.php?workbook=14_13.xlsx&amp;sheet=U0&amp;row=2475&amp;col=6&amp;number=4.1&amp;sourceID=14","4.1")</f>
        <v>4.1</v>
      </c>
      <c r="G2475" s="4" t="str">
        <f>HYPERLINK("http://141.218.60.56/~jnz1568/getInfo.php?workbook=14_13.xlsx&amp;sheet=U0&amp;row=2475&amp;col=7&amp;number=1.07&amp;sourceID=14","1.07")</f>
        <v>1.07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HYPERLINK("http://141.218.60.56/~jnz1568/getInfo.php?workbook=14_13.xlsx&amp;sheet=U0&amp;row=2476&amp;col=6&amp;number=4.2&amp;sourceID=14","4.2")</f>
        <v>4.2</v>
      </c>
      <c r="G2476" s="4" t="str">
        <f>HYPERLINK("http://141.218.60.56/~jnz1568/getInfo.php?workbook=14_13.xlsx&amp;sheet=U0&amp;row=2476&amp;col=7&amp;number=1.05&amp;sourceID=14","1.05")</f>
        <v>1.05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HYPERLINK("http://141.218.60.56/~jnz1568/getInfo.php?workbook=14_13.xlsx&amp;sheet=U0&amp;row=2477&amp;col=6&amp;number=4.3&amp;sourceID=14","4.3")</f>
        <v>4.3</v>
      </c>
      <c r="G2477" s="4" t="str">
        <f>HYPERLINK("http://141.218.60.56/~jnz1568/getInfo.php?workbook=14_13.xlsx&amp;sheet=U0&amp;row=2477&amp;col=7&amp;number=1.02&amp;sourceID=14","1.02")</f>
        <v>1.02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HYPERLINK("http://141.218.60.56/~jnz1568/getInfo.php?workbook=14_13.xlsx&amp;sheet=U0&amp;row=2478&amp;col=6&amp;number=4.4&amp;sourceID=14","4.4")</f>
        <v>4.4</v>
      </c>
      <c r="G2478" s="4" t="str">
        <f>HYPERLINK("http://141.218.60.56/~jnz1568/getInfo.php?workbook=14_13.xlsx&amp;sheet=U0&amp;row=2478&amp;col=7&amp;number=0.991&amp;sourceID=14","0.991")</f>
        <v>0.991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HYPERLINK("http://141.218.60.56/~jnz1568/getInfo.php?workbook=14_13.xlsx&amp;sheet=U0&amp;row=2479&amp;col=6&amp;number=4.5&amp;sourceID=14","4.5")</f>
        <v>4.5</v>
      </c>
      <c r="G2479" s="4" t="str">
        <f>HYPERLINK("http://141.218.60.56/~jnz1568/getInfo.php?workbook=14_13.xlsx&amp;sheet=U0&amp;row=2479&amp;col=7&amp;number=0.959&amp;sourceID=14","0.959")</f>
        <v>0.959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HYPERLINK("http://141.218.60.56/~jnz1568/getInfo.php?workbook=14_13.xlsx&amp;sheet=U0&amp;row=2480&amp;col=6&amp;number=4.6&amp;sourceID=14","4.6")</f>
        <v>4.6</v>
      </c>
      <c r="G2480" s="4" t="str">
        <f>HYPERLINK("http://141.218.60.56/~jnz1568/getInfo.php?workbook=14_13.xlsx&amp;sheet=U0&amp;row=2480&amp;col=7&amp;number=0.923&amp;sourceID=14","0.923")</f>
        <v>0.923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HYPERLINK("http://141.218.60.56/~jnz1568/getInfo.php?workbook=14_13.xlsx&amp;sheet=U0&amp;row=2481&amp;col=6&amp;number=4.7&amp;sourceID=14","4.7")</f>
        <v>4.7</v>
      </c>
      <c r="G2481" s="4" t="str">
        <f>HYPERLINK("http://141.218.60.56/~jnz1568/getInfo.php?workbook=14_13.xlsx&amp;sheet=U0&amp;row=2481&amp;col=7&amp;number=0.882&amp;sourceID=14","0.882")</f>
        <v>0.882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HYPERLINK("http://141.218.60.56/~jnz1568/getInfo.php?workbook=14_13.xlsx&amp;sheet=U0&amp;row=2482&amp;col=6&amp;number=4.8&amp;sourceID=14","4.8")</f>
        <v>4.8</v>
      </c>
      <c r="G2482" s="4" t="str">
        <f>HYPERLINK("http://141.218.60.56/~jnz1568/getInfo.php?workbook=14_13.xlsx&amp;sheet=U0&amp;row=2482&amp;col=7&amp;number=0.836&amp;sourceID=14","0.836")</f>
        <v>0.836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HYPERLINK("http://141.218.60.56/~jnz1568/getInfo.php?workbook=14_13.xlsx&amp;sheet=U0&amp;row=2483&amp;col=6&amp;number=4.9&amp;sourceID=14","4.9")</f>
        <v>4.9</v>
      </c>
      <c r="G2483" s="4" t="str">
        <f>HYPERLINK("http://141.218.60.56/~jnz1568/getInfo.php?workbook=14_13.xlsx&amp;sheet=U0&amp;row=2483&amp;col=7&amp;number=0.788&amp;sourceID=14","0.788")</f>
        <v>0.788</v>
      </c>
    </row>
    <row r="2484" spans="1:7">
      <c r="A2484" s="3">
        <v>14</v>
      </c>
      <c r="B2484" s="3">
        <v>13</v>
      </c>
      <c r="C2484" s="3">
        <v>5</v>
      </c>
      <c r="D2484" s="3">
        <v>24</v>
      </c>
      <c r="E2484" s="3">
        <v>1</v>
      </c>
      <c r="F2484" s="4" t="str">
        <f>HYPERLINK("http://141.218.60.56/~jnz1568/getInfo.php?workbook=14_13.xlsx&amp;sheet=U0&amp;row=2484&amp;col=6&amp;number=3&amp;sourceID=14","3")</f>
        <v>3</v>
      </c>
      <c r="G2484" s="4" t="str">
        <f>HYPERLINK("http://141.218.60.56/~jnz1568/getInfo.php?workbook=14_13.xlsx&amp;sheet=U0&amp;row=2484&amp;col=7&amp;number=5.5&amp;sourceID=14","5.5")</f>
        <v>5.5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HYPERLINK("http://141.218.60.56/~jnz1568/getInfo.php?workbook=14_13.xlsx&amp;sheet=U0&amp;row=2485&amp;col=6&amp;number=3.1&amp;sourceID=14","3.1")</f>
        <v>3.1</v>
      </c>
      <c r="G2485" s="4" t="str">
        <f>HYPERLINK("http://141.218.60.56/~jnz1568/getInfo.php?workbook=14_13.xlsx&amp;sheet=U0&amp;row=2485&amp;col=7&amp;number=5.48&amp;sourceID=14","5.48")</f>
        <v>5.48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HYPERLINK("http://141.218.60.56/~jnz1568/getInfo.php?workbook=14_13.xlsx&amp;sheet=U0&amp;row=2486&amp;col=6&amp;number=3.2&amp;sourceID=14","3.2")</f>
        <v>3.2</v>
      </c>
      <c r="G2486" s="4" t="str">
        <f>HYPERLINK("http://141.218.60.56/~jnz1568/getInfo.php?workbook=14_13.xlsx&amp;sheet=U0&amp;row=2486&amp;col=7&amp;number=5.47&amp;sourceID=14","5.47")</f>
        <v>5.47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HYPERLINK("http://141.218.60.56/~jnz1568/getInfo.php?workbook=14_13.xlsx&amp;sheet=U0&amp;row=2487&amp;col=6&amp;number=3.3&amp;sourceID=14","3.3")</f>
        <v>3.3</v>
      </c>
      <c r="G2487" s="4" t="str">
        <f>HYPERLINK("http://141.218.60.56/~jnz1568/getInfo.php?workbook=14_13.xlsx&amp;sheet=U0&amp;row=2487&amp;col=7&amp;number=5.45&amp;sourceID=14","5.45")</f>
        <v>5.45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HYPERLINK("http://141.218.60.56/~jnz1568/getInfo.php?workbook=14_13.xlsx&amp;sheet=U0&amp;row=2488&amp;col=6&amp;number=3.4&amp;sourceID=14","3.4")</f>
        <v>3.4</v>
      </c>
      <c r="G2488" s="4" t="str">
        <f>HYPERLINK("http://141.218.60.56/~jnz1568/getInfo.php?workbook=14_13.xlsx&amp;sheet=U0&amp;row=2488&amp;col=7&amp;number=5.43&amp;sourceID=14","5.43")</f>
        <v>5.43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HYPERLINK("http://141.218.60.56/~jnz1568/getInfo.php?workbook=14_13.xlsx&amp;sheet=U0&amp;row=2489&amp;col=6&amp;number=3.5&amp;sourceID=14","3.5")</f>
        <v>3.5</v>
      </c>
      <c r="G2489" s="4" t="str">
        <f>HYPERLINK("http://141.218.60.56/~jnz1568/getInfo.php?workbook=14_13.xlsx&amp;sheet=U0&amp;row=2489&amp;col=7&amp;number=5.4&amp;sourceID=14","5.4")</f>
        <v>5.4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HYPERLINK("http://141.218.60.56/~jnz1568/getInfo.php?workbook=14_13.xlsx&amp;sheet=U0&amp;row=2490&amp;col=6&amp;number=3.6&amp;sourceID=14","3.6")</f>
        <v>3.6</v>
      </c>
      <c r="G2490" s="4" t="str">
        <f>HYPERLINK("http://141.218.60.56/~jnz1568/getInfo.php?workbook=14_13.xlsx&amp;sheet=U0&amp;row=2490&amp;col=7&amp;number=5.37&amp;sourceID=14","5.37")</f>
        <v>5.37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HYPERLINK("http://141.218.60.56/~jnz1568/getInfo.php?workbook=14_13.xlsx&amp;sheet=U0&amp;row=2491&amp;col=6&amp;number=3.7&amp;sourceID=14","3.7")</f>
        <v>3.7</v>
      </c>
      <c r="G2491" s="4" t="str">
        <f>HYPERLINK("http://141.218.60.56/~jnz1568/getInfo.php?workbook=14_13.xlsx&amp;sheet=U0&amp;row=2491&amp;col=7&amp;number=5.33&amp;sourceID=14","5.33")</f>
        <v>5.33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HYPERLINK("http://141.218.60.56/~jnz1568/getInfo.php?workbook=14_13.xlsx&amp;sheet=U0&amp;row=2492&amp;col=6&amp;number=3.8&amp;sourceID=14","3.8")</f>
        <v>3.8</v>
      </c>
      <c r="G2492" s="4" t="str">
        <f>HYPERLINK("http://141.218.60.56/~jnz1568/getInfo.php?workbook=14_13.xlsx&amp;sheet=U0&amp;row=2492&amp;col=7&amp;number=5.27&amp;sourceID=14","5.27")</f>
        <v>5.27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HYPERLINK("http://141.218.60.56/~jnz1568/getInfo.php?workbook=14_13.xlsx&amp;sheet=U0&amp;row=2493&amp;col=6&amp;number=3.9&amp;sourceID=14","3.9")</f>
        <v>3.9</v>
      </c>
      <c r="G2493" s="4" t="str">
        <f>HYPERLINK("http://141.218.60.56/~jnz1568/getInfo.php?workbook=14_13.xlsx&amp;sheet=U0&amp;row=2493&amp;col=7&amp;number=5.21&amp;sourceID=14","5.21")</f>
        <v>5.21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HYPERLINK("http://141.218.60.56/~jnz1568/getInfo.php?workbook=14_13.xlsx&amp;sheet=U0&amp;row=2494&amp;col=6&amp;number=4&amp;sourceID=14","4")</f>
        <v>4</v>
      </c>
      <c r="G2494" s="4" t="str">
        <f>HYPERLINK("http://141.218.60.56/~jnz1568/getInfo.php?workbook=14_13.xlsx&amp;sheet=U0&amp;row=2494&amp;col=7&amp;number=5.13&amp;sourceID=14","5.13")</f>
        <v>5.13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HYPERLINK("http://141.218.60.56/~jnz1568/getInfo.php?workbook=14_13.xlsx&amp;sheet=U0&amp;row=2495&amp;col=6&amp;number=4.1&amp;sourceID=14","4.1")</f>
        <v>4.1</v>
      </c>
      <c r="G2495" s="4" t="str">
        <f>HYPERLINK("http://141.218.60.56/~jnz1568/getInfo.php?workbook=14_13.xlsx&amp;sheet=U0&amp;row=2495&amp;col=7&amp;number=5.03&amp;sourceID=14","5.03")</f>
        <v>5.03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HYPERLINK("http://141.218.60.56/~jnz1568/getInfo.php?workbook=14_13.xlsx&amp;sheet=U0&amp;row=2496&amp;col=6&amp;number=4.2&amp;sourceID=14","4.2")</f>
        <v>4.2</v>
      </c>
      <c r="G2496" s="4" t="str">
        <f>HYPERLINK("http://141.218.60.56/~jnz1568/getInfo.php?workbook=14_13.xlsx&amp;sheet=U0&amp;row=2496&amp;col=7&amp;number=4.91&amp;sourceID=14","4.91")</f>
        <v>4.91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HYPERLINK("http://141.218.60.56/~jnz1568/getInfo.php?workbook=14_13.xlsx&amp;sheet=U0&amp;row=2497&amp;col=6&amp;number=4.3&amp;sourceID=14","4.3")</f>
        <v>4.3</v>
      </c>
      <c r="G2497" s="4" t="str">
        <f>HYPERLINK("http://141.218.60.56/~jnz1568/getInfo.php?workbook=14_13.xlsx&amp;sheet=U0&amp;row=2497&amp;col=7&amp;number=4.78&amp;sourceID=14","4.78")</f>
        <v>4.78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HYPERLINK("http://141.218.60.56/~jnz1568/getInfo.php?workbook=14_13.xlsx&amp;sheet=U0&amp;row=2498&amp;col=6&amp;number=4.4&amp;sourceID=14","4.4")</f>
        <v>4.4</v>
      </c>
      <c r="G2498" s="4" t="str">
        <f>HYPERLINK("http://141.218.60.56/~jnz1568/getInfo.php?workbook=14_13.xlsx&amp;sheet=U0&amp;row=2498&amp;col=7&amp;number=4.62&amp;sourceID=14","4.62")</f>
        <v>4.62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HYPERLINK("http://141.218.60.56/~jnz1568/getInfo.php?workbook=14_13.xlsx&amp;sheet=U0&amp;row=2499&amp;col=6&amp;number=4.5&amp;sourceID=14","4.5")</f>
        <v>4.5</v>
      </c>
      <c r="G2499" s="4" t="str">
        <f>HYPERLINK("http://141.218.60.56/~jnz1568/getInfo.php?workbook=14_13.xlsx&amp;sheet=U0&amp;row=2499&amp;col=7&amp;number=4.45&amp;sourceID=14","4.45")</f>
        <v>4.45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HYPERLINK("http://141.218.60.56/~jnz1568/getInfo.php?workbook=14_13.xlsx&amp;sheet=U0&amp;row=2500&amp;col=6&amp;number=4.6&amp;sourceID=14","4.6")</f>
        <v>4.6</v>
      </c>
      <c r="G2500" s="4" t="str">
        <f>HYPERLINK("http://141.218.60.56/~jnz1568/getInfo.php?workbook=14_13.xlsx&amp;sheet=U0&amp;row=2500&amp;col=7&amp;number=4.25&amp;sourceID=14","4.25")</f>
        <v>4.25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HYPERLINK("http://141.218.60.56/~jnz1568/getInfo.php?workbook=14_13.xlsx&amp;sheet=U0&amp;row=2501&amp;col=6&amp;number=4.7&amp;sourceID=14","4.7")</f>
        <v>4.7</v>
      </c>
      <c r="G2501" s="4" t="str">
        <f>HYPERLINK("http://141.218.60.56/~jnz1568/getInfo.php?workbook=14_13.xlsx&amp;sheet=U0&amp;row=2501&amp;col=7&amp;number=4.04&amp;sourceID=14","4.04")</f>
        <v>4.04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HYPERLINK("http://141.218.60.56/~jnz1568/getInfo.php?workbook=14_13.xlsx&amp;sheet=U0&amp;row=2502&amp;col=6&amp;number=4.8&amp;sourceID=14","4.8")</f>
        <v>4.8</v>
      </c>
      <c r="G2502" s="4" t="str">
        <f>HYPERLINK("http://141.218.60.56/~jnz1568/getInfo.php?workbook=14_13.xlsx&amp;sheet=U0&amp;row=2502&amp;col=7&amp;number=3.8&amp;sourceID=14","3.8")</f>
        <v>3.8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HYPERLINK("http://141.218.60.56/~jnz1568/getInfo.php?workbook=14_13.xlsx&amp;sheet=U0&amp;row=2503&amp;col=6&amp;number=4.9&amp;sourceID=14","4.9")</f>
        <v>4.9</v>
      </c>
      <c r="G2503" s="4" t="str">
        <f>HYPERLINK("http://141.218.60.56/~jnz1568/getInfo.php?workbook=14_13.xlsx&amp;sheet=U0&amp;row=2503&amp;col=7&amp;number=3.55&amp;sourceID=14","3.55")</f>
        <v>3.55</v>
      </c>
    </row>
    <row r="2504" spans="1:7">
      <c r="A2504" s="3">
        <v>14</v>
      </c>
      <c r="B2504" s="3">
        <v>13</v>
      </c>
      <c r="C2504" s="3">
        <v>5</v>
      </c>
      <c r="D2504" s="3">
        <v>25</v>
      </c>
      <c r="E2504" s="3">
        <v>1</v>
      </c>
      <c r="F2504" s="4" t="str">
        <f>HYPERLINK("http://141.218.60.56/~jnz1568/getInfo.php?workbook=14_13.xlsx&amp;sheet=U0&amp;row=2504&amp;col=6&amp;number=3&amp;sourceID=14","3")</f>
        <v>3</v>
      </c>
      <c r="G2504" s="4" t="str">
        <f>HYPERLINK("http://141.218.60.56/~jnz1568/getInfo.php?workbook=14_13.xlsx&amp;sheet=U0&amp;row=2504&amp;col=7&amp;number=0.00466&amp;sourceID=14","0.00466")</f>
        <v>0.00466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HYPERLINK("http://141.218.60.56/~jnz1568/getInfo.php?workbook=14_13.xlsx&amp;sheet=U0&amp;row=2505&amp;col=6&amp;number=3.1&amp;sourceID=14","3.1")</f>
        <v>3.1</v>
      </c>
      <c r="G2505" s="4" t="str">
        <f>HYPERLINK("http://141.218.60.56/~jnz1568/getInfo.php?workbook=14_13.xlsx&amp;sheet=U0&amp;row=2505&amp;col=7&amp;number=0.00483&amp;sourceID=14","0.00483")</f>
        <v>0.00483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HYPERLINK("http://141.218.60.56/~jnz1568/getInfo.php?workbook=14_13.xlsx&amp;sheet=U0&amp;row=2506&amp;col=6&amp;number=3.2&amp;sourceID=14","3.2")</f>
        <v>3.2</v>
      </c>
      <c r="G2506" s="4" t="str">
        <f>HYPERLINK("http://141.218.60.56/~jnz1568/getInfo.php?workbook=14_13.xlsx&amp;sheet=U0&amp;row=2506&amp;col=7&amp;number=0.00503&amp;sourceID=14","0.00503")</f>
        <v>0.00503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HYPERLINK("http://141.218.60.56/~jnz1568/getInfo.php?workbook=14_13.xlsx&amp;sheet=U0&amp;row=2507&amp;col=6&amp;number=3.3&amp;sourceID=14","3.3")</f>
        <v>3.3</v>
      </c>
      <c r="G2507" s="4" t="str">
        <f>HYPERLINK("http://141.218.60.56/~jnz1568/getInfo.php?workbook=14_13.xlsx&amp;sheet=U0&amp;row=2507&amp;col=7&amp;number=0.00524&amp;sourceID=14","0.00524")</f>
        <v>0.00524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HYPERLINK("http://141.218.60.56/~jnz1568/getInfo.php?workbook=14_13.xlsx&amp;sheet=U0&amp;row=2508&amp;col=6&amp;number=3.4&amp;sourceID=14","3.4")</f>
        <v>3.4</v>
      </c>
      <c r="G2508" s="4" t="str">
        <f>HYPERLINK("http://141.218.60.56/~jnz1568/getInfo.php?workbook=14_13.xlsx&amp;sheet=U0&amp;row=2508&amp;col=7&amp;number=0.00545&amp;sourceID=14","0.00545")</f>
        <v>0.00545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HYPERLINK("http://141.218.60.56/~jnz1568/getInfo.php?workbook=14_13.xlsx&amp;sheet=U0&amp;row=2509&amp;col=6&amp;number=3.5&amp;sourceID=14","3.5")</f>
        <v>3.5</v>
      </c>
      <c r="G2509" s="4" t="str">
        <f>HYPERLINK("http://141.218.60.56/~jnz1568/getInfo.php?workbook=14_13.xlsx&amp;sheet=U0&amp;row=2509&amp;col=7&amp;number=0.00562&amp;sourceID=14","0.00562")</f>
        <v>0.00562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HYPERLINK("http://141.218.60.56/~jnz1568/getInfo.php?workbook=14_13.xlsx&amp;sheet=U0&amp;row=2510&amp;col=6&amp;number=3.6&amp;sourceID=14","3.6")</f>
        <v>3.6</v>
      </c>
      <c r="G2510" s="4" t="str">
        <f>HYPERLINK("http://141.218.60.56/~jnz1568/getInfo.php?workbook=14_13.xlsx&amp;sheet=U0&amp;row=2510&amp;col=7&amp;number=0.0057&amp;sourceID=14","0.0057")</f>
        <v>0.0057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HYPERLINK("http://141.218.60.56/~jnz1568/getInfo.php?workbook=14_13.xlsx&amp;sheet=U0&amp;row=2511&amp;col=6&amp;number=3.7&amp;sourceID=14","3.7")</f>
        <v>3.7</v>
      </c>
      <c r="G2511" s="4" t="str">
        <f>HYPERLINK("http://141.218.60.56/~jnz1568/getInfo.php?workbook=14_13.xlsx&amp;sheet=U0&amp;row=2511&amp;col=7&amp;number=0.00566&amp;sourceID=14","0.00566")</f>
        <v>0.00566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HYPERLINK("http://141.218.60.56/~jnz1568/getInfo.php?workbook=14_13.xlsx&amp;sheet=U0&amp;row=2512&amp;col=6&amp;number=3.8&amp;sourceID=14","3.8")</f>
        <v>3.8</v>
      </c>
      <c r="G2512" s="4" t="str">
        <f>HYPERLINK("http://141.218.60.56/~jnz1568/getInfo.php?workbook=14_13.xlsx&amp;sheet=U0&amp;row=2512&amp;col=7&amp;number=0.00553&amp;sourceID=14","0.00553")</f>
        <v>0.00553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HYPERLINK("http://141.218.60.56/~jnz1568/getInfo.php?workbook=14_13.xlsx&amp;sheet=U0&amp;row=2513&amp;col=6&amp;number=3.9&amp;sourceID=14","3.9")</f>
        <v>3.9</v>
      </c>
      <c r="G2513" s="4" t="str">
        <f>HYPERLINK("http://141.218.60.56/~jnz1568/getInfo.php?workbook=14_13.xlsx&amp;sheet=U0&amp;row=2513&amp;col=7&amp;number=0.0054&amp;sourceID=14","0.0054")</f>
        <v>0.0054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HYPERLINK("http://141.218.60.56/~jnz1568/getInfo.php?workbook=14_13.xlsx&amp;sheet=U0&amp;row=2514&amp;col=6&amp;number=4&amp;sourceID=14","4")</f>
        <v>4</v>
      </c>
      <c r="G2514" s="4" t="str">
        <f>HYPERLINK("http://141.218.60.56/~jnz1568/getInfo.php?workbook=14_13.xlsx&amp;sheet=U0&amp;row=2514&amp;col=7&amp;number=0.00534&amp;sourceID=14","0.00534")</f>
        <v>0.00534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HYPERLINK("http://141.218.60.56/~jnz1568/getInfo.php?workbook=14_13.xlsx&amp;sheet=U0&amp;row=2515&amp;col=6&amp;number=4.1&amp;sourceID=14","4.1")</f>
        <v>4.1</v>
      </c>
      <c r="G2515" s="4" t="str">
        <f>HYPERLINK("http://141.218.60.56/~jnz1568/getInfo.php?workbook=14_13.xlsx&amp;sheet=U0&amp;row=2515&amp;col=7&amp;number=0.00531&amp;sourceID=14","0.00531")</f>
        <v>0.00531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HYPERLINK("http://141.218.60.56/~jnz1568/getInfo.php?workbook=14_13.xlsx&amp;sheet=U0&amp;row=2516&amp;col=6&amp;number=4.2&amp;sourceID=14","4.2")</f>
        <v>4.2</v>
      </c>
      <c r="G2516" s="4" t="str">
        <f>HYPERLINK("http://141.218.60.56/~jnz1568/getInfo.php?workbook=14_13.xlsx&amp;sheet=U0&amp;row=2516&amp;col=7&amp;number=0.00526&amp;sourceID=14","0.00526")</f>
        <v>0.00526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HYPERLINK("http://141.218.60.56/~jnz1568/getInfo.php?workbook=14_13.xlsx&amp;sheet=U0&amp;row=2517&amp;col=6&amp;number=4.3&amp;sourceID=14","4.3")</f>
        <v>4.3</v>
      </c>
      <c r="G2517" s="4" t="str">
        <f>HYPERLINK("http://141.218.60.56/~jnz1568/getInfo.php?workbook=14_13.xlsx&amp;sheet=U0&amp;row=2517&amp;col=7&amp;number=0.0052&amp;sourceID=14","0.0052")</f>
        <v>0.0052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HYPERLINK("http://141.218.60.56/~jnz1568/getInfo.php?workbook=14_13.xlsx&amp;sheet=U0&amp;row=2518&amp;col=6&amp;number=4.4&amp;sourceID=14","4.4")</f>
        <v>4.4</v>
      </c>
      <c r="G2518" s="4" t="str">
        <f>HYPERLINK("http://141.218.60.56/~jnz1568/getInfo.php?workbook=14_13.xlsx&amp;sheet=U0&amp;row=2518&amp;col=7&amp;number=0.00516&amp;sourceID=14","0.00516")</f>
        <v>0.00516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HYPERLINK("http://141.218.60.56/~jnz1568/getInfo.php?workbook=14_13.xlsx&amp;sheet=U0&amp;row=2519&amp;col=6&amp;number=4.5&amp;sourceID=14","4.5")</f>
        <v>4.5</v>
      </c>
      <c r="G2519" s="4" t="str">
        <f>HYPERLINK("http://141.218.60.56/~jnz1568/getInfo.php?workbook=14_13.xlsx&amp;sheet=U0&amp;row=2519&amp;col=7&amp;number=0.00513&amp;sourceID=14","0.00513")</f>
        <v>0.00513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HYPERLINK("http://141.218.60.56/~jnz1568/getInfo.php?workbook=14_13.xlsx&amp;sheet=U0&amp;row=2520&amp;col=6&amp;number=4.6&amp;sourceID=14","4.6")</f>
        <v>4.6</v>
      </c>
      <c r="G2520" s="4" t="str">
        <f>HYPERLINK("http://141.218.60.56/~jnz1568/getInfo.php?workbook=14_13.xlsx&amp;sheet=U0&amp;row=2520&amp;col=7&amp;number=0.00507&amp;sourceID=14","0.00507")</f>
        <v>0.00507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HYPERLINK("http://141.218.60.56/~jnz1568/getInfo.php?workbook=14_13.xlsx&amp;sheet=U0&amp;row=2521&amp;col=6&amp;number=4.7&amp;sourceID=14","4.7")</f>
        <v>4.7</v>
      </c>
      <c r="G2521" s="4" t="str">
        <f>HYPERLINK("http://141.218.60.56/~jnz1568/getInfo.php?workbook=14_13.xlsx&amp;sheet=U0&amp;row=2521&amp;col=7&amp;number=0.00497&amp;sourceID=14","0.00497")</f>
        <v>0.00497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HYPERLINK("http://141.218.60.56/~jnz1568/getInfo.php?workbook=14_13.xlsx&amp;sheet=U0&amp;row=2522&amp;col=6&amp;number=4.8&amp;sourceID=14","4.8")</f>
        <v>4.8</v>
      </c>
      <c r="G2522" s="4" t="str">
        <f>HYPERLINK("http://141.218.60.56/~jnz1568/getInfo.php?workbook=14_13.xlsx&amp;sheet=U0&amp;row=2522&amp;col=7&amp;number=0.00483&amp;sourceID=14","0.00483")</f>
        <v>0.00483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HYPERLINK("http://141.218.60.56/~jnz1568/getInfo.php?workbook=14_13.xlsx&amp;sheet=U0&amp;row=2523&amp;col=6&amp;number=4.9&amp;sourceID=14","4.9")</f>
        <v>4.9</v>
      </c>
      <c r="G2523" s="4" t="str">
        <f>HYPERLINK("http://141.218.60.56/~jnz1568/getInfo.php?workbook=14_13.xlsx&amp;sheet=U0&amp;row=2523&amp;col=7&amp;number=0.00465&amp;sourceID=14","0.00465")</f>
        <v>0.00465</v>
      </c>
    </row>
    <row r="2524" spans="1:7">
      <c r="A2524" s="3">
        <v>14</v>
      </c>
      <c r="B2524" s="3">
        <v>13</v>
      </c>
      <c r="C2524" s="3">
        <v>5</v>
      </c>
      <c r="D2524" s="3">
        <v>26</v>
      </c>
      <c r="E2524" s="3">
        <v>1</v>
      </c>
      <c r="F2524" s="4" t="str">
        <f>HYPERLINK("http://141.218.60.56/~jnz1568/getInfo.php?workbook=14_13.xlsx&amp;sheet=U0&amp;row=2524&amp;col=6&amp;number=3&amp;sourceID=14","3")</f>
        <v>3</v>
      </c>
      <c r="G2524" s="4" t="str">
        <f>HYPERLINK("http://141.218.60.56/~jnz1568/getInfo.php?workbook=14_13.xlsx&amp;sheet=U0&amp;row=2524&amp;col=7&amp;number=0.0233&amp;sourceID=14","0.0233")</f>
        <v>0.0233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HYPERLINK("http://141.218.60.56/~jnz1568/getInfo.php?workbook=14_13.xlsx&amp;sheet=U0&amp;row=2525&amp;col=6&amp;number=3.1&amp;sourceID=14","3.1")</f>
        <v>3.1</v>
      </c>
      <c r="G2525" s="4" t="str">
        <f>HYPERLINK("http://141.218.60.56/~jnz1568/getInfo.php?workbook=14_13.xlsx&amp;sheet=U0&amp;row=2525&amp;col=7&amp;number=0.0232&amp;sourceID=14","0.0232")</f>
        <v>0.0232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HYPERLINK("http://141.218.60.56/~jnz1568/getInfo.php?workbook=14_13.xlsx&amp;sheet=U0&amp;row=2526&amp;col=6&amp;number=3.2&amp;sourceID=14","3.2")</f>
        <v>3.2</v>
      </c>
      <c r="G2526" s="4" t="str">
        <f>HYPERLINK("http://141.218.60.56/~jnz1568/getInfo.php?workbook=14_13.xlsx&amp;sheet=U0&amp;row=2526&amp;col=7&amp;number=0.0232&amp;sourceID=14","0.0232")</f>
        <v>0.0232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HYPERLINK("http://141.218.60.56/~jnz1568/getInfo.php?workbook=14_13.xlsx&amp;sheet=U0&amp;row=2527&amp;col=6&amp;number=3.3&amp;sourceID=14","3.3")</f>
        <v>3.3</v>
      </c>
      <c r="G2527" s="4" t="str">
        <f>HYPERLINK("http://141.218.60.56/~jnz1568/getInfo.php?workbook=14_13.xlsx&amp;sheet=U0&amp;row=2527&amp;col=7&amp;number=0.0232&amp;sourceID=14","0.0232")</f>
        <v>0.0232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HYPERLINK("http://141.218.60.56/~jnz1568/getInfo.php?workbook=14_13.xlsx&amp;sheet=U0&amp;row=2528&amp;col=6&amp;number=3.4&amp;sourceID=14","3.4")</f>
        <v>3.4</v>
      </c>
      <c r="G2528" s="4" t="str">
        <f>HYPERLINK("http://141.218.60.56/~jnz1568/getInfo.php?workbook=14_13.xlsx&amp;sheet=U0&amp;row=2528&amp;col=7&amp;number=0.0231&amp;sourceID=14","0.0231")</f>
        <v>0.0231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HYPERLINK("http://141.218.60.56/~jnz1568/getInfo.php?workbook=14_13.xlsx&amp;sheet=U0&amp;row=2529&amp;col=6&amp;number=3.5&amp;sourceID=14","3.5")</f>
        <v>3.5</v>
      </c>
      <c r="G2529" s="4" t="str">
        <f>HYPERLINK("http://141.218.60.56/~jnz1568/getInfo.php?workbook=14_13.xlsx&amp;sheet=U0&amp;row=2529&amp;col=7&amp;number=0.0231&amp;sourceID=14","0.0231")</f>
        <v>0.0231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HYPERLINK("http://141.218.60.56/~jnz1568/getInfo.php?workbook=14_13.xlsx&amp;sheet=U0&amp;row=2530&amp;col=6&amp;number=3.6&amp;sourceID=14","3.6")</f>
        <v>3.6</v>
      </c>
      <c r="G2530" s="4" t="str">
        <f>HYPERLINK("http://141.218.60.56/~jnz1568/getInfo.php?workbook=14_13.xlsx&amp;sheet=U0&amp;row=2530&amp;col=7&amp;number=0.023&amp;sourceID=14","0.023")</f>
        <v>0.023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HYPERLINK("http://141.218.60.56/~jnz1568/getInfo.php?workbook=14_13.xlsx&amp;sheet=U0&amp;row=2531&amp;col=6&amp;number=3.7&amp;sourceID=14","3.7")</f>
        <v>3.7</v>
      </c>
      <c r="G2531" s="4" t="str">
        <f>HYPERLINK("http://141.218.60.56/~jnz1568/getInfo.php?workbook=14_13.xlsx&amp;sheet=U0&amp;row=2531&amp;col=7&amp;number=0.0229&amp;sourceID=14","0.0229")</f>
        <v>0.0229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HYPERLINK("http://141.218.60.56/~jnz1568/getInfo.php?workbook=14_13.xlsx&amp;sheet=U0&amp;row=2532&amp;col=6&amp;number=3.8&amp;sourceID=14","3.8")</f>
        <v>3.8</v>
      </c>
      <c r="G2532" s="4" t="str">
        <f>HYPERLINK("http://141.218.60.56/~jnz1568/getInfo.php?workbook=14_13.xlsx&amp;sheet=U0&amp;row=2532&amp;col=7&amp;number=0.0228&amp;sourceID=14","0.0228")</f>
        <v>0.0228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HYPERLINK("http://141.218.60.56/~jnz1568/getInfo.php?workbook=14_13.xlsx&amp;sheet=U0&amp;row=2533&amp;col=6&amp;number=3.9&amp;sourceID=14","3.9")</f>
        <v>3.9</v>
      </c>
      <c r="G2533" s="4" t="str">
        <f>HYPERLINK("http://141.218.60.56/~jnz1568/getInfo.php?workbook=14_13.xlsx&amp;sheet=U0&amp;row=2533&amp;col=7&amp;number=0.0227&amp;sourceID=14","0.0227")</f>
        <v>0.0227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HYPERLINK("http://141.218.60.56/~jnz1568/getInfo.php?workbook=14_13.xlsx&amp;sheet=U0&amp;row=2534&amp;col=6&amp;number=4&amp;sourceID=14","4")</f>
        <v>4</v>
      </c>
      <c r="G2534" s="4" t="str">
        <f>HYPERLINK("http://141.218.60.56/~jnz1568/getInfo.php?workbook=14_13.xlsx&amp;sheet=U0&amp;row=2534&amp;col=7&amp;number=0.0226&amp;sourceID=14","0.0226")</f>
        <v>0.0226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HYPERLINK("http://141.218.60.56/~jnz1568/getInfo.php?workbook=14_13.xlsx&amp;sheet=U0&amp;row=2535&amp;col=6&amp;number=4.1&amp;sourceID=14","4.1")</f>
        <v>4.1</v>
      </c>
      <c r="G2535" s="4" t="str">
        <f>HYPERLINK("http://141.218.60.56/~jnz1568/getInfo.php?workbook=14_13.xlsx&amp;sheet=U0&amp;row=2535&amp;col=7&amp;number=0.0225&amp;sourceID=14","0.0225")</f>
        <v>0.0225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HYPERLINK("http://141.218.60.56/~jnz1568/getInfo.php?workbook=14_13.xlsx&amp;sheet=U0&amp;row=2536&amp;col=6&amp;number=4.2&amp;sourceID=14","4.2")</f>
        <v>4.2</v>
      </c>
      <c r="G2536" s="4" t="str">
        <f>HYPERLINK("http://141.218.60.56/~jnz1568/getInfo.php?workbook=14_13.xlsx&amp;sheet=U0&amp;row=2536&amp;col=7&amp;number=0.0223&amp;sourceID=14","0.0223")</f>
        <v>0.0223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HYPERLINK("http://141.218.60.56/~jnz1568/getInfo.php?workbook=14_13.xlsx&amp;sheet=U0&amp;row=2537&amp;col=6&amp;number=4.3&amp;sourceID=14","4.3")</f>
        <v>4.3</v>
      </c>
      <c r="G2537" s="4" t="str">
        <f>HYPERLINK("http://141.218.60.56/~jnz1568/getInfo.php?workbook=14_13.xlsx&amp;sheet=U0&amp;row=2537&amp;col=7&amp;number=0.0221&amp;sourceID=14","0.0221")</f>
        <v>0.0221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HYPERLINK("http://141.218.60.56/~jnz1568/getInfo.php?workbook=14_13.xlsx&amp;sheet=U0&amp;row=2538&amp;col=6&amp;number=4.4&amp;sourceID=14","4.4")</f>
        <v>4.4</v>
      </c>
      <c r="G2538" s="4" t="str">
        <f>HYPERLINK("http://141.218.60.56/~jnz1568/getInfo.php?workbook=14_13.xlsx&amp;sheet=U0&amp;row=2538&amp;col=7&amp;number=0.0219&amp;sourceID=14","0.0219")</f>
        <v>0.0219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HYPERLINK("http://141.218.60.56/~jnz1568/getInfo.php?workbook=14_13.xlsx&amp;sheet=U0&amp;row=2539&amp;col=6&amp;number=4.5&amp;sourceID=14","4.5")</f>
        <v>4.5</v>
      </c>
      <c r="G2539" s="4" t="str">
        <f>HYPERLINK("http://141.218.60.56/~jnz1568/getInfo.php?workbook=14_13.xlsx&amp;sheet=U0&amp;row=2539&amp;col=7&amp;number=0.0216&amp;sourceID=14","0.0216")</f>
        <v>0.0216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HYPERLINK("http://141.218.60.56/~jnz1568/getInfo.php?workbook=14_13.xlsx&amp;sheet=U0&amp;row=2540&amp;col=6&amp;number=4.6&amp;sourceID=14","4.6")</f>
        <v>4.6</v>
      </c>
      <c r="G2540" s="4" t="str">
        <f>HYPERLINK("http://141.218.60.56/~jnz1568/getInfo.php?workbook=14_13.xlsx&amp;sheet=U0&amp;row=2540&amp;col=7&amp;number=0.0212&amp;sourceID=14","0.0212")</f>
        <v>0.0212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HYPERLINK("http://141.218.60.56/~jnz1568/getInfo.php?workbook=14_13.xlsx&amp;sheet=U0&amp;row=2541&amp;col=6&amp;number=4.7&amp;sourceID=14","4.7")</f>
        <v>4.7</v>
      </c>
      <c r="G2541" s="4" t="str">
        <f>HYPERLINK("http://141.218.60.56/~jnz1568/getInfo.php?workbook=14_13.xlsx&amp;sheet=U0&amp;row=2541&amp;col=7&amp;number=0.0207&amp;sourceID=14","0.0207")</f>
        <v>0.0207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HYPERLINK("http://141.218.60.56/~jnz1568/getInfo.php?workbook=14_13.xlsx&amp;sheet=U0&amp;row=2542&amp;col=6&amp;number=4.8&amp;sourceID=14","4.8")</f>
        <v>4.8</v>
      </c>
      <c r="G2542" s="4" t="str">
        <f>HYPERLINK("http://141.218.60.56/~jnz1568/getInfo.php?workbook=14_13.xlsx&amp;sheet=U0&amp;row=2542&amp;col=7&amp;number=0.02&amp;sourceID=14","0.02")</f>
        <v>0.02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HYPERLINK("http://141.218.60.56/~jnz1568/getInfo.php?workbook=14_13.xlsx&amp;sheet=U0&amp;row=2543&amp;col=6&amp;number=4.9&amp;sourceID=14","4.9")</f>
        <v>4.9</v>
      </c>
      <c r="G2543" s="4" t="str">
        <f>HYPERLINK("http://141.218.60.56/~jnz1568/getInfo.php?workbook=14_13.xlsx&amp;sheet=U0&amp;row=2543&amp;col=7&amp;number=0.0191&amp;sourceID=14","0.0191")</f>
        <v>0.0191</v>
      </c>
    </row>
    <row r="2544" spans="1:7">
      <c r="A2544" s="3">
        <v>14</v>
      </c>
      <c r="B2544" s="3">
        <v>13</v>
      </c>
      <c r="C2544" s="3">
        <v>5</v>
      </c>
      <c r="D2544" s="3">
        <v>27</v>
      </c>
      <c r="E2544" s="3">
        <v>1</v>
      </c>
      <c r="F2544" s="4" t="str">
        <f>HYPERLINK("http://141.218.60.56/~jnz1568/getInfo.php?workbook=14_13.xlsx&amp;sheet=U0&amp;row=2544&amp;col=6&amp;number=3&amp;sourceID=14","3")</f>
        <v>3</v>
      </c>
      <c r="G2544" s="4" t="str">
        <f>HYPERLINK("http://141.218.60.56/~jnz1568/getInfo.php?workbook=14_13.xlsx&amp;sheet=U0&amp;row=2544&amp;col=7&amp;number=0.0612&amp;sourceID=14","0.0612")</f>
        <v>0.0612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HYPERLINK("http://141.218.60.56/~jnz1568/getInfo.php?workbook=14_13.xlsx&amp;sheet=U0&amp;row=2545&amp;col=6&amp;number=3.1&amp;sourceID=14","3.1")</f>
        <v>3.1</v>
      </c>
      <c r="G2545" s="4" t="str">
        <f>HYPERLINK("http://141.218.60.56/~jnz1568/getInfo.php?workbook=14_13.xlsx&amp;sheet=U0&amp;row=2545&amp;col=7&amp;number=0.0611&amp;sourceID=14","0.0611")</f>
        <v>0.0611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HYPERLINK("http://141.218.60.56/~jnz1568/getInfo.php?workbook=14_13.xlsx&amp;sheet=U0&amp;row=2546&amp;col=6&amp;number=3.2&amp;sourceID=14","3.2")</f>
        <v>3.2</v>
      </c>
      <c r="G2546" s="4" t="str">
        <f>HYPERLINK("http://141.218.60.56/~jnz1568/getInfo.php?workbook=14_13.xlsx&amp;sheet=U0&amp;row=2546&amp;col=7&amp;number=0.061&amp;sourceID=14","0.061")</f>
        <v>0.061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HYPERLINK("http://141.218.60.56/~jnz1568/getInfo.php?workbook=14_13.xlsx&amp;sheet=U0&amp;row=2547&amp;col=6&amp;number=3.3&amp;sourceID=14","3.3")</f>
        <v>3.3</v>
      </c>
      <c r="G2547" s="4" t="str">
        <f>HYPERLINK("http://141.218.60.56/~jnz1568/getInfo.php?workbook=14_13.xlsx&amp;sheet=U0&amp;row=2547&amp;col=7&amp;number=0.0609&amp;sourceID=14","0.0609")</f>
        <v>0.0609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HYPERLINK("http://141.218.60.56/~jnz1568/getInfo.php?workbook=14_13.xlsx&amp;sheet=U0&amp;row=2548&amp;col=6&amp;number=3.4&amp;sourceID=14","3.4")</f>
        <v>3.4</v>
      </c>
      <c r="G2548" s="4" t="str">
        <f>HYPERLINK("http://141.218.60.56/~jnz1568/getInfo.php?workbook=14_13.xlsx&amp;sheet=U0&amp;row=2548&amp;col=7&amp;number=0.0607&amp;sourceID=14","0.0607")</f>
        <v>0.0607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HYPERLINK("http://141.218.60.56/~jnz1568/getInfo.php?workbook=14_13.xlsx&amp;sheet=U0&amp;row=2549&amp;col=6&amp;number=3.5&amp;sourceID=14","3.5")</f>
        <v>3.5</v>
      </c>
      <c r="G2549" s="4" t="str">
        <f>HYPERLINK("http://141.218.60.56/~jnz1568/getInfo.php?workbook=14_13.xlsx&amp;sheet=U0&amp;row=2549&amp;col=7&amp;number=0.0605&amp;sourceID=14","0.0605")</f>
        <v>0.0605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HYPERLINK("http://141.218.60.56/~jnz1568/getInfo.php?workbook=14_13.xlsx&amp;sheet=U0&amp;row=2550&amp;col=6&amp;number=3.6&amp;sourceID=14","3.6")</f>
        <v>3.6</v>
      </c>
      <c r="G2550" s="4" t="str">
        <f>HYPERLINK("http://141.218.60.56/~jnz1568/getInfo.php?workbook=14_13.xlsx&amp;sheet=U0&amp;row=2550&amp;col=7&amp;number=0.0603&amp;sourceID=14","0.0603")</f>
        <v>0.0603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HYPERLINK("http://141.218.60.56/~jnz1568/getInfo.php?workbook=14_13.xlsx&amp;sheet=U0&amp;row=2551&amp;col=6&amp;number=3.7&amp;sourceID=14","3.7")</f>
        <v>3.7</v>
      </c>
      <c r="G2551" s="4" t="str">
        <f>HYPERLINK("http://141.218.60.56/~jnz1568/getInfo.php?workbook=14_13.xlsx&amp;sheet=U0&amp;row=2551&amp;col=7&amp;number=0.0601&amp;sourceID=14","0.0601")</f>
        <v>0.0601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HYPERLINK("http://141.218.60.56/~jnz1568/getInfo.php?workbook=14_13.xlsx&amp;sheet=U0&amp;row=2552&amp;col=6&amp;number=3.8&amp;sourceID=14","3.8")</f>
        <v>3.8</v>
      </c>
      <c r="G2552" s="4" t="str">
        <f>HYPERLINK("http://141.218.60.56/~jnz1568/getInfo.php?workbook=14_13.xlsx&amp;sheet=U0&amp;row=2552&amp;col=7&amp;number=0.0598&amp;sourceID=14","0.0598")</f>
        <v>0.0598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HYPERLINK("http://141.218.60.56/~jnz1568/getInfo.php?workbook=14_13.xlsx&amp;sheet=U0&amp;row=2553&amp;col=6&amp;number=3.9&amp;sourceID=14","3.9")</f>
        <v>3.9</v>
      </c>
      <c r="G2553" s="4" t="str">
        <f>HYPERLINK("http://141.218.60.56/~jnz1568/getInfo.php?workbook=14_13.xlsx&amp;sheet=U0&amp;row=2553&amp;col=7&amp;number=0.0595&amp;sourceID=14","0.0595")</f>
        <v>0.0595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HYPERLINK("http://141.218.60.56/~jnz1568/getInfo.php?workbook=14_13.xlsx&amp;sheet=U0&amp;row=2554&amp;col=6&amp;number=4&amp;sourceID=14","4")</f>
        <v>4</v>
      </c>
      <c r="G2554" s="4" t="str">
        <f>HYPERLINK("http://141.218.60.56/~jnz1568/getInfo.php?workbook=14_13.xlsx&amp;sheet=U0&amp;row=2554&amp;col=7&amp;number=0.0592&amp;sourceID=14","0.0592")</f>
        <v>0.0592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HYPERLINK("http://141.218.60.56/~jnz1568/getInfo.php?workbook=14_13.xlsx&amp;sheet=U0&amp;row=2555&amp;col=6&amp;number=4.1&amp;sourceID=14","4.1")</f>
        <v>4.1</v>
      </c>
      <c r="G2555" s="4" t="str">
        <f>HYPERLINK("http://141.218.60.56/~jnz1568/getInfo.php?workbook=14_13.xlsx&amp;sheet=U0&amp;row=2555&amp;col=7&amp;number=0.0589&amp;sourceID=14","0.0589")</f>
        <v>0.0589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HYPERLINK("http://141.218.60.56/~jnz1568/getInfo.php?workbook=14_13.xlsx&amp;sheet=U0&amp;row=2556&amp;col=6&amp;number=4.2&amp;sourceID=14","4.2")</f>
        <v>4.2</v>
      </c>
      <c r="G2556" s="4" t="str">
        <f>HYPERLINK("http://141.218.60.56/~jnz1568/getInfo.php?workbook=14_13.xlsx&amp;sheet=U0&amp;row=2556&amp;col=7&amp;number=0.0584&amp;sourceID=14","0.0584")</f>
        <v>0.0584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HYPERLINK("http://141.218.60.56/~jnz1568/getInfo.php?workbook=14_13.xlsx&amp;sheet=U0&amp;row=2557&amp;col=6&amp;number=4.3&amp;sourceID=14","4.3")</f>
        <v>4.3</v>
      </c>
      <c r="G2557" s="4" t="str">
        <f>HYPERLINK("http://141.218.60.56/~jnz1568/getInfo.php?workbook=14_13.xlsx&amp;sheet=U0&amp;row=2557&amp;col=7&amp;number=0.0579&amp;sourceID=14","0.0579")</f>
        <v>0.0579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HYPERLINK("http://141.218.60.56/~jnz1568/getInfo.php?workbook=14_13.xlsx&amp;sheet=U0&amp;row=2558&amp;col=6&amp;number=4.4&amp;sourceID=14","4.4")</f>
        <v>4.4</v>
      </c>
      <c r="G2558" s="4" t="str">
        <f>HYPERLINK("http://141.218.60.56/~jnz1568/getInfo.php?workbook=14_13.xlsx&amp;sheet=U0&amp;row=2558&amp;col=7&amp;number=0.0573&amp;sourceID=14","0.0573")</f>
        <v>0.0573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HYPERLINK("http://141.218.60.56/~jnz1568/getInfo.php?workbook=14_13.xlsx&amp;sheet=U0&amp;row=2559&amp;col=6&amp;number=4.5&amp;sourceID=14","4.5")</f>
        <v>4.5</v>
      </c>
      <c r="G2559" s="4" t="str">
        <f>HYPERLINK("http://141.218.60.56/~jnz1568/getInfo.php?workbook=14_13.xlsx&amp;sheet=U0&amp;row=2559&amp;col=7&amp;number=0.0564&amp;sourceID=14","0.0564")</f>
        <v>0.0564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HYPERLINK("http://141.218.60.56/~jnz1568/getInfo.php?workbook=14_13.xlsx&amp;sheet=U0&amp;row=2560&amp;col=6&amp;number=4.6&amp;sourceID=14","4.6")</f>
        <v>4.6</v>
      </c>
      <c r="G2560" s="4" t="str">
        <f>HYPERLINK("http://141.218.60.56/~jnz1568/getInfo.php?workbook=14_13.xlsx&amp;sheet=U0&amp;row=2560&amp;col=7&amp;number=0.0554&amp;sourceID=14","0.0554")</f>
        <v>0.0554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HYPERLINK("http://141.218.60.56/~jnz1568/getInfo.php?workbook=14_13.xlsx&amp;sheet=U0&amp;row=2561&amp;col=6&amp;number=4.7&amp;sourceID=14","4.7")</f>
        <v>4.7</v>
      </c>
      <c r="G2561" s="4" t="str">
        <f>HYPERLINK("http://141.218.60.56/~jnz1568/getInfo.php?workbook=14_13.xlsx&amp;sheet=U0&amp;row=2561&amp;col=7&amp;number=0.054&amp;sourceID=14","0.054")</f>
        <v>0.054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HYPERLINK("http://141.218.60.56/~jnz1568/getInfo.php?workbook=14_13.xlsx&amp;sheet=U0&amp;row=2562&amp;col=6&amp;number=4.8&amp;sourceID=14","4.8")</f>
        <v>4.8</v>
      </c>
      <c r="G2562" s="4" t="str">
        <f>HYPERLINK("http://141.218.60.56/~jnz1568/getInfo.php?workbook=14_13.xlsx&amp;sheet=U0&amp;row=2562&amp;col=7&amp;number=0.0521&amp;sourceID=14","0.0521")</f>
        <v>0.0521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HYPERLINK("http://141.218.60.56/~jnz1568/getInfo.php?workbook=14_13.xlsx&amp;sheet=U0&amp;row=2563&amp;col=6&amp;number=4.9&amp;sourceID=14","4.9")</f>
        <v>4.9</v>
      </c>
      <c r="G2563" s="4" t="str">
        <f>HYPERLINK("http://141.218.60.56/~jnz1568/getInfo.php?workbook=14_13.xlsx&amp;sheet=U0&amp;row=2563&amp;col=7&amp;number=0.0497&amp;sourceID=14","0.0497")</f>
        <v>0.0497</v>
      </c>
    </row>
    <row r="2564" spans="1:7">
      <c r="A2564" s="3">
        <v>14</v>
      </c>
      <c r="B2564" s="3">
        <v>13</v>
      </c>
      <c r="C2564" s="3">
        <v>5</v>
      </c>
      <c r="D2564" s="3">
        <v>28</v>
      </c>
      <c r="E2564" s="3">
        <v>1</v>
      </c>
      <c r="F2564" s="4" t="str">
        <f>HYPERLINK("http://141.218.60.56/~jnz1568/getInfo.php?workbook=14_13.xlsx&amp;sheet=U0&amp;row=2564&amp;col=6&amp;number=3&amp;sourceID=14","3")</f>
        <v>3</v>
      </c>
      <c r="G2564" s="4" t="str">
        <f>HYPERLINK("http://141.218.60.56/~jnz1568/getInfo.php?workbook=14_13.xlsx&amp;sheet=U0&amp;row=2564&amp;col=7&amp;number=0.00785&amp;sourceID=14","0.00785")</f>
        <v>0.00785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HYPERLINK("http://141.218.60.56/~jnz1568/getInfo.php?workbook=14_13.xlsx&amp;sheet=U0&amp;row=2565&amp;col=6&amp;number=3.1&amp;sourceID=14","3.1")</f>
        <v>3.1</v>
      </c>
      <c r="G2565" s="4" t="str">
        <f>HYPERLINK("http://141.218.60.56/~jnz1568/getInfo.php?workbook=14_13.xlsx&amp;sheet=U0&amp;row=2565&amp;col=7&amp;number=0.00783&amp;sourceID=14","0.00783")</f>
        <v>0.00783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HYPERLINK("http://141.218.60.56/~jnz1568/getInfo.php?workbook=14_13.xlsx&amp;sheet=U0&amp;row=2566&amp;col=6&amp;number=3.2&amp;sourceID=14","3.2")</f>
        <v>3.2</v>
      </c>
      <c r="G2566" s="4" t="str">
        <f>HYPERLINK("http://141.218.60.56/~jnz1568/getInfo.php?workbook=14_13.xlsx&amp;sheet=U0&amp;row=2566&amp;col=7&amp;number=0.0078&amp;sourceID=14","0.0078")</f>
        <v>0.0078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HYPERLINK("http://141.218.60.56/~jnz1568/getInfo.php?workbook=14_13.xlsx&amp;sheet=U0&amp;row=2567&amp;col=6&amp;number=3.3&amp;sourceID=14","3.3")</f>
        <v>3.3</v>
      </c>
      <c r="G2567" s="4" t="str">
        <f>HYPERLINK("http://141.218.60.56/~jnz1568/getInfo.php?workbook=14_13.xlsx&amp;sheet=U0&amp;row=2567&amp;col=7&amp;number=0.00777&amp;sourceID=14","0.00777")</f>
        <v>0.00777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HYPERLINK("http://141.218.60.56/~jnz1568/getInfo.php?workbook=14_13.xlsx&amp;sheet=U0&amp;row=2568&amp;col=6&amp;number=3.4&amp;sourceID=14","3.4")</f>
        <v>3.4</v>
      </c>
      <c r="G2568" s="4" t="str">
        <f>HYPERLINK("http://141.218.60.56/~jnz1568/getInfo.php?workbook=14_13.xlsx&amp;sheet=U0&amp;row=2568&amp;col=7&amp;number=0.00773&amp;sourceID=14","0.00773")</f>
        <v>0.00773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HYPERLINK("http://141.218.60.56/~jnz1568/getInfo.php?workbook=14_13.xlsx&amp;sheet=U0&amp;row=2569&amp;col=6&amp;number=3.5&amp;sourceID=14","3.5")</f>
        <v>3.5</v>
      </c>
      <c r="G2569" s="4" t="str">
        <f>HYPERLINK("http://141.218.60.56/~jnz1568/getInfo.php?workbook=14_13.xlsx&amp;sheet=U0&amp;row=2569&amp;col=7&amp;number=0.00768&amp;sourceID=14","0.00768")</f>
        <v>0.00768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HYPERLINK("http://141.218.60.56/~jnz1568/getInfo.php?workbook=14_13.xlsx&amp;sheet=U0&amp;row=2570&amp;col=6&amp;number=3.6&amp;sourceID=14","3.6")</f>
        <v>3.6</v>
      </c>
      <c r="G2570" s="4" t="str">
        <f>HYPERLINK("http://141.218.60.56/~jnz1568/getInfo.php?workbook=14_13.xlsx&amp;sheet=U0&amp;row=2570&amp;col=7&amp;number=0.00763&amp;sourceID=14","0.00763")</f>
        <v>0.00763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HYPERLINK("http://141.218.60.56/~jnz1568/getInfo.php?workbook=14_13.xlsx&amp;sheet=U0&amp;row=2571&amp;col=6&amp;number=3.7&amp;sourceID=14","3.7")</f>
        <v>3.7</v>
      </c>
      <c r="G2571" s="4" t="str">
        <f>HYPERLINK("http://141.218.60.56/~jnz1568/getInfo.php?workbook=14_13.xlsx&amp;sheet=U0&amp;row=2571&amp;col=7&amp;number=0.00758&amp;sourceID=14","0.00758")</f>
        <v>0.00758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HYPERLINK("http://141.218.60.56/~jnz1568/getInfo.php?workbook=14_13.xlsx&amp;sheet=U0&amp;row=2572&amp;col=6&amp;number=3.8&amp;sourceID=14","3.8")</f>
        <v>3.8</v>
      </c>
      <c r="G2572" s="4" t="str">
        <f>HYPERLINK("http://141.218.60.56/~jnz1568/getInfo.php?workbook=14_13.xlsx&amp;sheet=U0&amp;row=2572&amp;col=7&amp;number=0.00754&amp;sourceID=14","0.00754")</f>
        <v>0.00754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HYPERLINK("http://141.218.60.56/~jnz1568/getInfo.php?workbook=14_13.xlsx&amp;sheet=U0&amp;row=2573&amp;col=6&amp;number=3.9&amp;sourceID=14","3.9")</f>
        <v>3.9</v>
      </c>
      <c r="G2573" s="4" t="str">
        <f>HYPERLINK("http://141.218.60.56/~jnz1568/getInfo.php?workbook=14_13.xlsx&amp;sheet=U0&amp;row=2573&amp;col=7&amp;number=0.00749&amp;sourceID=14","0.00749")</f>
        <v>0.00749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HYPERLINK("http://141.218.60.56/~jnz1568/getInfo.php?workbook=14_13.xlsx&amp;sheet=U0&amp;row=2574&amp;col=6&amp;number=4&amp;sourceID=14","4")</f>
        <v>4</v>
      </c>
      <c r="G2574" s="4" t="str">
        <f>HYPERLINK("http://141.218.60.56/~jnz1568/getInfo.php?workbook=14_13.xlsx&amp;sheet=U0&amp;row=2574&amp;col=7&amp;number=0.00745&amp;sourceID=14","0.00745")</f>
        <v>0.00745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HYPERLINK("http://141.218.60.56/~jnz1568/getInfo.php?workbook=14_13.xlsx&amp;sheet=U0&amp;row=2575&amp;col=6&amp;number=4.1&amp;sourceID=14","4.1")</f>
        <v>4.1</v>
      </c>
      <c r="G2575" s="4" t="str">
        <f>HYPERLINK("http://141.218.60.56/~jnz1568/getInfo.php?workbook=14_13.xlsx&amp;sheet=U0&amp;row=2575&amp;col=7&amp;number=0.0074&amp;sourceID=14","0.0074")</f>
        <v>0.0074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HYPERLINK("http://141.218.60.56/~jnz1568/getInfo.php?workbook=14_13.xlsx&amp;sheet=U0&amp;row=2576&amp;col=6&amp;number=4.2&amp;sourceID=14","4.2")</f>
        <v>4.2</v>
      </c>
      <c r="G2576" s="4" t="str">
        <f>HYPERLINK("http://141.218.60.56/~jnz1568/getInfo.php?workbook=14_13.xlsx&amp;sheet=U0&amp;row=2576&amp;col=7&amp;number=0.00734&amp;sourceID=14","0.00734")</f>
        <v>0.00734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HYPERLINK("http://141.218.60.56/~jnz1568/getInfo.php?workbook=14_13.xlsx&amp;sheet=U0&amp;row=2577&amp;col=6&amp;number=4.3&amp;sourceID=14","4.3")</f>
        <v>4.3</v>
      </c>
      <c r="G2577" s="4" t="str">
        <f>HYPERLINK("http://141.218.60.56/~jnz1568/getInfo.php?workbook=14_13.xlsx&amp;sheet=U0&amp;row=2577&amp;col=7&amp;number=0.00728&amp;sourceID=14","0.00728")</f>
        <v>0.00728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HYPERLINK("http://141.218.60.56/~jnz1568/getInfo.php?workbook=14_13.xlsx&amp;sheet=U0&amp;row=2578&amp;col=6&amp;number=4.4&amp;sourceID=14","4.4")</f>
        <v>4.4</v>
      </c>
      <c r="G2578" s="4" t="str">
        <f>HYPERLINK("http://141.218.60.56/~jnz1568/getInfo.php?workbook=14_13.xlsx&amp;sheet=U0&amp;row=2578&amp;col=7&amp;number=0.00722&amp;sourceID=14","0.00722")</f>
        <v>0.00722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HYPERLINK("http://141.218.60.56/~jnz1568/getInfo.php?workbook=14_13.xlsx&amp;sheet=U0&amp;row=2579&amp;col=6&amp;number=4.5&amp;sourceID=14","4.5")</f>
        <v>4.5</v>
      </c>
      <c r="G2579" s="4" t="str">
        <f>HYPERLINK("http://141.218.60.56/~jnz1568/getInfo.php?workbook=14_13.xlsx&amp;sheet=U0&amp;row=2579&amp;col=7&amp;number=0.00716&amp;sourceID=14","0.00716")</f>
        <v>0.00716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HYPERLINK("http://141.218.60.56/~jnz1568/getInfo.php?workbook=14_13.xlsx&amp;sheet=U0&amp;row=2580&amp;col=6&amp;number=4.6&amp;sourceID=14","4.6")</f>
        <v>4.6</v>
      </c>
      <c r="G2580" s="4" t="str">
        <f>HYPERLINK("http://141.218.60.56/~jnz1568/getInfo.php?workbook=14_13.xlsx&amp;sheet=U0&amp;row=2580&amp;col=7&amp;number=0.00709&amp;sourceID=14","0.00709")</f>
        <v>0.00709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HYPERLINK("http://141.218.60.56/~jnz1568/getInfo.php?workbook=14_13.xlsx&amp;sheet=U0&amp;row=2581&amp;col=6&amp;number=4.7&amp;sourceID=14","4.7")</f>
        <v>4.7</v>
      </c>
      <c r="G2581" s="4" t="str">
        <f>HYPERLINK("http://141.218.60.56/~jnz1568/getInfo.php?workbook=14_13.xlsx&amp;sheet=U0&amp;row=2581&amp;col=7&amp;number=0.00701&amp;sourceID=14","0.00701")</f>
        <v>0.00701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HYPERLINK("http://141.218.60.56/~jnz1568/getInfo.php?workbook=14_13.xlsx&amp;sheet=U0&amp;row=2582&amp;col=6&amp;number=4.8&amp;sourceID=14","4.8")</f>
        <v>4.8</v>
      </c>
      <c r="G2582" s="4" t="str">
        <f>HYPERLINK("http://141.218.60.56/~jnz1568/getInfo.php?workbook=14_13.xlsx&amp;sheet=U0&amp;row=2582&amp;col=7&amp;number=0.0069&amp;sourceID=14","0.0069")</f>
        <v>0.0069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HYPERLINK("http://141.218.60.56/~jnz1568/getInfo.php?workbook=14_13.xlsx&amp;sheet=U0&amp;row=2583&amp;col=6&amp;number=4.9&amp;sourceID=14","4.9")</f>
        <v>4.9</v>
      </c>
      <c r="G2583" s="4" t="str">
        <f>HYPERLINK("http://141.218.60.56/~jnz1568/getInfo.php?workbook=14_13.xlsx&amp;sheet=U0&amp;row=2583&amp;col=7&amp;number=0.00673&amp;sourceID=14","0.00673")</f>
        <v>0.00673</v>
      </c>
    </row>
    <row r="2584" spans="1:7">
      <c r="A2584" s="3">
        <v>14</v>
      </c>
      <c r="B2584" s="3">
        <v>13</v>
      </c>
      <c r="C2584" s="3">
        <v>5</v>
      </c>
      <c r="D2584" s="3">
        <v>29</v>
      </c>
      <c r="E2584" s="3">
        <v>1</v>
      </c>
      <c r="F2584" s="4" t="str">
        <f>HYPERLINK("http://141.218.60.56/~jnz1568/getInfo.php?workbook=14_13.xlsx&amp;sheet=U0&amp;row=2584&amp;col=6&amp;number=3&amp;sourceID=14","3")</f>
        <v>3</v>
      </c>
      <c r="G2584" s="4" t="str">
        <f>HYPERLINK("http://141.218.60.56/~jnz1568/getInfo.php?workbook=14_13.xlsx&amp;sheet=U0&amp;row=2584&amp;col=7&amp;number=0.0222&amp;sourceID=14","0.0222")</f>
        <v>0.0222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HYPERLINK("http://141.218.60.56/~jnz1568/getInfo.php?workbook=14_13.xlsx&amp;sheet=U0&amp;row=2585&amp;col=6&amp;number=3.1&amp;sourceID=14","3.1")</f>
        <v>3.1</v>
      </c>
      <c r="G2585" s="4" t="str">
        <f>HYPERLINK("http://141.218.60.56/~jnz1568/getInfo.php?workbook=14_13.xlsx&amp;sheet=U0&amp;row=2585&amp;col=7&amp;number=0.0222&amp;sourceID=14","0.0222")</f>
        <v>0.0222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HYPERLINK("http://141.218.60.56/~jnz1568/getInfo.php?workbook=14_13.xlsx&amp;sheet=U0&amp;row=2586&amp;col=6&amp;number=3.2&amp;sourceID=14","3.2")</f>
        <v>3.2</v>
      </c>
      <c r="G2586" s="4" t="str">
        <f>HYPERLINK("http://141.218.60.56/~jnz1568/getInfo.php?workbook=14_13.xlsx&amp;sheet=U0&amp;row=2586&amp;col=7&amp;number=0.0222&amp;sourceID=14","0.0222")</f>
        <v>0.0222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HYPERLINK("http://141.218.60.56/~jnz1568/getInfo.php?workbook=14_13.xlsx&amp;sheet=U0&amp;row=2587&amp;col=6&amp;number=3.3&amp;sourceID=14","3.3")</f>
        <v>3.3</v>
      </c>
      <c r="G2587" s="4" t="str">
        <f>HYPERLINK("http://141.218.60.56/~jnz1568/getInfo.php?workbook=14_13.xlsx&amp;sheet=U0&amp;row=2587&amp;col=7&amp;number=0.0221&amp;sourceID=14","0.0221")</f>
        <v>0.0221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HYPERLINK("http://141.218.60.56/~jnz1568/getInfo.php?workbook=14_13.xlsx&amp;sheet=U0&amp;row=2588&amp;col=6&amp;number=3.4&amp;sourceID=14","3.4")</f>
        <v>3.4</v>
      </c>
      <c r="G2588" s="4" t="str">
        <f>HYPERLINK("http://141.218.60.56/~jnz1568/getInfo.php?workbook=14_13.xlsx&amp;sheet=U0&amp;row=2588&amp;col=7&amp;number=0.0221&amp;sourceID=14","0.0221")</f>
        <v>0.0221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HYPERLINK("http://141.218.60.56/~jnz1568/getInfo.php?workbook=14_13.xlsx&amp;sheet=U0&amp;row=2589&amp;col=6&amp;number=3.5&amp;sourceID=14","3.5")</f>
        <v>3.5</v>
      </c>
      <c r="G2589" s="4" t="str">
        <f>HYPERLINK("http://141.218.60.56/~jnz1568/getInfo.php?workbook=14_13.xlsx&amp;sheet=U0&amp;row=2589&amp;col=7&amp;number=0.0221&amp;sourceID=14","0.0221")</f>
        <v>0.0221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HYPERLINK("http://141.218.60.56/~jnz1568/getInfo.php?workbook=14_13.xlsx&amp;sheet=U0&amp;row=2590&amp;col=6&amp;number=3.6&amp;sourceID=14","3.6")</f>
        <v>3.6</v>
      </c>
      <c r="G2590" s="4" t="str">
        <f>HYPERLINK("http://141.218.60.56/~jnz1568/getInfo.php?workbook=14_13.xlsx&amp;sheet=U0&amp;row=2590&amp;col=7&amp;number=0.022&amp;sourceID=14","0.022")</f>
        <v>0.022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HYPERLINK("http://141.218.60.56/~jnz1568/getInfo.php?workbook=14_13.xlsx&amp;sheet=U0&amp;row=2591&amp;col=6&amp;number=3.7&amp;sourceID=14","3.7")</f>
        <v>3.7</v>
      </c>
      <c r="G2591" s="4" t="str">
        <f>HYPERLINK("http://141.218.60.56/~jnz1568/getInfo.php?workbook=14_13.xlsx&amp;sheet=U0&amp;row=2591&amp;col=7&amp;number=0.022&amp;sourceID=14","0.022")</f>
        <v>0.022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HYPERLINK("http://141.218.60.56/~jnz1568/getInfo.php?workbook=14_13.xlsx&amp;sheet=U0&amp;row=2592&amp;col=6&amp;number=3.8&amp;sourceID=14","3.8")</f>
        <v>3.8</v>
      </c>
      <c r="G2592" s="4" t="str">
        <f>HYPERLINK("http://141.218.60.56/~jnz1568/getInfo.php?workbook=14_13.xlsx&amp;sheet=U0&amp;row=2592&amp;col=7&amp;number=0.0219&amp;sourceID=14","0.0219")</f>
        <v>0.0219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HYPERLINK("http://141.218.60.56/~jnz1568/getInfo.php?workbook=14_13.xlsx&amp;sheet=U0&amp;row=2593&amp;col=6&amp;number=3.9&amp;sourceID=14","3.9")</f>
        <v>3.9</v>
      </c>
      <c r="G2593" s="4" t="str">
        <f>HYPERLINK("http://141.218.60.56/~jnz1568/getInfo.php?workbook=14_13.xlsx&amp;sheet=U0&amp;row=2593&amp;col=7&amp;number=0.0219&amp;sourceID=14","0.0219")</f>
        <v>0.0219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HYPERLINK("http://141.218.60.56/~jnz1568/getInfo.php?workbook=14_13.xlsx&amp;sheet=U0&amp;row=2594&amp;col=6&amp;number=4&amp;sourceID=14","4")</f>
        <v>4</v>
      </c>
      <c r="G2594" s="4" t="str">
        <f>HYPERLINK("http://141.218.60.56/~jnz1568/getInfo.php?workbook=14_13.xlsx&amp;sheet=U0&amp;row=2594&amp;col=7&amp;number=0.0218&amp;sourceID=14","0.0218")</f>
        <v>0.0218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HYPERLINK("http://141.218.60.56/~jnz1568/getInfo.php?workbook=14_13.xlsx&amp;sheet=U0&amp;row=2595&amp;col=6&amp;number=4.1&amp;sourceID=14","4.1")</f>
        <v>4.1</v>
      </c>
      <c r="G2595" s="4" t="str">
        <f>HYPERLINK("http://141.218.60.56/~jnz1568/getInfo.php?workbook=14_13.xlsx&amp;sheet=U0&amp;row=2595&amp;col=7&amp;number=0.0217&amp;sourceID=14","0.0217")</f>
        <v>0.0217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HYPERLINK("http://141.218.60.56/~jnz1568/getInfo.php?workbook=14_13.xlsx&amp;sheet=U0&amp;row=2596&amp;col=6&amp;number=4.2&amp;sourceID=14","4.2")</f>
        <v>4.2</v>
      </c>
      <c r="G2596" s="4" t="str">
        <f>HYPERLINK("http://141.218.60.56/~jnz1568/getInfo.php?workbook=14_13.xlsx&amp;sheet=U0&amp;row=2596&amp;col=7&amp;number=0.0216&amp;sourceID=14","0.0216")</f>
        <v>0.0216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HYPERLINK("http://141.218.60.56/~jnz1568/getInfo.php?workbook=14_13.xlsx&amp;sheet=U0&amp;row=2597&amp;col=6&amp;number=4.3&amp;sourceID=14","4.3")</f>
        <v>4.3</v>
      </c>
      <c r="G2597" s="4" t="str">
        <f>HYPERLINK("http://141.218.60.56/~jnz1568/getInfo.php?workbook=14_13.xlsx&amp;sheet=U0&amp;row=2597&amp;col=7&amp;number=0.0215&amp;sourceID=14","0.0215")</f>
        <v>0.0215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HYPERLINK("http://141.218.60.56/~jnz1568/getInfo.php?workbook=14_13.xlsx&amp;sheet=U0&amp;row=2598&amp;col=6&amp;number=4.4&amp;sourceID=14","4.4")</f>
        <v>4.4</v>
      </c>
      <c r="G2598" s="4" t="str">
        <f>HYPERLINK("http://141.218.60.56/~jnz1568/getInfo.php?workbook=14_13.xlsx&amp;sheet=U0&amp;row=2598&amp;col=7&amp;number=0.0213&amp;sourceID=14","0.0213")</f>
        <v>0.0213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HYPERLINK("http://141.218.60.56/~jnz1568/getInfo.php?workbook=14_13.xlsx&amp;sheet=U0&amp;row=2599&amp;col=6&amp;number=4.5&amp;sourceID=14","4.5")</f>
        <v>4.5</v>
      </c>
      <c r="G2599" s="4" t="str">
        <f>HYPERLINK("http://141.218.60.56/~jnz1568/getInfo.php?workbook=14_13.xlsx&amp;sheet=U0&amp;row=2599&amp;col=7&amp;number=0.0211&amp;sourceID=14","0.0211")</f>
        <v>0.0211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HYPERLINK("http://141.218.60.56/~jnz1568/getInfo.php?workbook=14_13.xlsx&amp;sheet=U0&amp;row=2600&amp;col=6&amp;number=4.6&amp;sourceID=14","4.6")</f>
        <v>4.6</v>
      </c>
      <c r="G2600" s="4" t="str">
        <f>HYPERLINK("http://141.218.60.56/~jnz1568/getInfo.php?workbook=14_13.xlsx&amp;sheet=U0&amp;row=2600&amp;col=7&amp;number=0.0207&amp;sourceID=14","0.0207")</f>
        <v>0.0207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HYPERLINK("http://141.218.60.56/~jnz1568/getInfo.php?workbook=14_13.xlsx&amp;sheet=U0&amp;row=2601&amp;col=6&amp;number=4.7&amp;sourceID=14","4.7")</f>
        <v>4.7</v>
      </c>
      <c r="G2601" s="4" t="str">
        <f>HYPERLINK("http://141.218.60.56/~jnz1568/getInfo.php?workbook=14_13.xlsx&amp;sheet=U0&amp;row=2601&amp;col=7&amp;number=0.0202&amp;sourceID=14","0.0202")</f>
        <v>0.0202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HYPERLINK("http://141.218.60.56/~jnz1568/getInfo.php?workbook=14_13.xlsx&amp;sheet=U0&amp;row=2602&amp;col=6&amp;number=4.8&amp;sourceID=14","4.8")</f>
        <v>4.8</v>
      </c>
      <c r="G2602" s="4" t="str">
        <f>HYPERLINK("http://141.218.60.56/~jnz1568/getInfo.php?workbook=14_13.xlsx&amp;sheet=U0&amp;row=2602&amp;col=7&amp;number=0.0195&amp;sourceID=14","0.0195")</f>
        <v>0.0195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HYPERLINK("http://141.218.60.56/~jnz1568/getInfo.php?workbook=14_13.xlsx&amp;sheet=U0&amp;row=2603&amp;col=6&amp;number=4.9&amp;sourceID=14","4.9")</f>
        <v>4.9</v>
      </c>
      <c r="G2603" s="4" t="str">
        <f>HYPERLINK("http://141.218.60.56/~jnz1568/getInfo.php?workbook=14_13.xlsx&amp;sheet=U0&amp;row=2603&amp;col=7&amp;number=0.0186&amp;sourceID=14","0.0186")</f>
        <v>0.0186</v>
      </c>
    </row>
    <row r="2604" spans="1:7">
      <c r="A2604" s="3">
        <v>14</v>
      </c>
      <c r="B2604" s="3">
        <v>13</v>
      </c>
      <c r="C2604" s="3">
        <v>6</v>
      </c>
      <c r="D2604" s="3">
        <v>7</v>
      </c>
      <c r="E2604" s="3">
        <v>1</v>
      </c>
      <c r="F2604" s="4" t="str">
        <f>HYPERLINK("http://141.218.60.56/~jnz1568/getInfo.php?workbook=14_13.xlsx&amp;sheet=U0&amp;row=2604&amp;col=6&amp;number=3&amp;sourceID=14","3")</f>
        <v>3</v>
      </c>
      <c r="G2604" s="4" t="str">
        <f>HYPERLINK("http://141.218.60.56/~jnz1568/getInfo.php?workbook=14_13.xlsx&amp;sheet=U0&amp;row=2604&amp;col=7&amp;number=7.08&amp;sourceID=14","7.08")</f>
        <v>7.08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HYPERLINK("http://141.218.60.56/~jnz1568/getInfo.php?workbook=14_13.xlsx&amp;sheet=U0&amp;row=2605&amp;col=6&amp;number=3.1&amp;sourceID=14","3.1")</f>
        <v>3.1</v>
      </c>
      <c r="G2605" s="4" t="str">
        <f>HYPERLINK("http://141.218.60.56/~jnz1568/getInfo.php?workbook=14_13.xlsx&amp;sheet=U0&amp;row=2605&amp;col=7&amp;number=7.08&amp;sourceID=14","7.08")</f>
        <v>7.08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HYPERLINK("http://141.218.60.56/~jnz1568/getInfo.php?workbook=14_13.xlsx&amp;sheet=U0&amp;row=2606&amp;col=6&amp;number=3.2&amp;sourceID=14","3.2")</f>
        <v>3.2</v>
      </c>
      <c r="G2606" s="4" t="str">
        <f>HYPERLINK("http://141.218.60.56/~jnz1568/getInfo.php?workbook=14_13.xlsx&amp;sheet=U0&amp;row=2606&amp;col=7&amp;number=7.07&amp;sourceID=14","7.07")</f>
        <v>7.07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HYPERLINK("http://141.218.60.56/~jnz1568/getInfo.php?workbook=14_13.xlsx&amp;sheet=U0&amp;row=2607&amp;col=6&amp;number=3.3&amp;sourceID=14","3.3")</f>
        <v>3.3</v>
      </c>
      <c r="G2607" s="4" t="str">
        <f>HYPERLINK("http://141.218.60.56/~jnz1568/getInfo.php?workbook=14_13.xlsx&amp;sheet=U0&amp;row=2607&amp;col=7&amp;number=7.07&amp;sourceID=14","7.07")</f>
        <v>7.07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HYPERLINK("http://141.218.60.56/~jnz1568/getInfo.php?workbook=14_13.xlsx&amp;sheet=U0&amp;row=2608&amp;col=6&amp;number=3.4&amp;sourceID=14","3.4")</f>
        <v>3.4</v>
      </c>
      <c r="G2608" s="4" t="str">
        <f>HYPERLINK("http://141.218.60.56/~jnz1568/getInfo.php?workbook=14_13.xlsx&amp;sheet=U0&amp;row=2608&amp;col=7&amp;number=7.06&amp;sourceID=14","7.06")</f>
        <v>7.06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HYPERLINK("http://141.218.60.56/~jnz1568/getInfo.php?workbook=14_13.xlsx&amp;sheet=U0&amp;row=2609&amp;col=6&amp;number=3.5&amp;sourceID=14","3.5")</f>
        <v>3.5</v>
      </c>
      <c r="G2609" s="4" t="str">
        <f>HYPERLINK("http://141.218.60.56/~jnz1568/getInfo.php?workbook=14_13.xlsx&amp;sheet=U0&amp;row=2609&amp;col=7&amp;number=7.05&amp;sourceID=14","7.05")</f>
        <v>7.05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HYPERLINK("http://141.218.60.56/~jnz1568/getInfo.php?workbook=14_13.xlsx&amp;sheet=U0&amp;row=2610&amp;col=6&amp;number=3.6&amp;sourceID=14","3.6")</f>
        <v>3.6</v>
      </c>
      <c r="G2610" s="4" t="str">
        <f>HYPERLINK("http://141.218.60.56/~jnz1568/getInfo.php?workbook=14_13.xlsx&amp;sheet=U0&amp;row=2610&amp;col=7&amp;number=7.01&amp;sourceID=14","7.01")</f>
        <v>7.01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HYPERLINK("http://141.218.60.56/~jnz1568/getInfo.php?workbook=14_13.xlsx&amp;sheet=U0&amp;row=2611&amp;col=6&amp;number=3.7&amp;sourceID=14","3.7")</f>
        <v>3.7</v>
      </c>
      <c r="G2611" s="4" t="str">
        <f>HYPERLINK("http://141.218.60.56/~jnz1568/getInfo.php?workbook=14_13.xlsx&amp;sheet=U0&amp;row=2611&amp;col=7&amp;number=6.96&amp;sourceID=14","6.96")</f>
        <v>6.96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HYPERLINK("http://141.218.60.56/~jnz1568/getInfo.php?workbook=14_13.xlsx&amp;sheet=U0&amp;row=2612&amp;col=6&amp;number=3.8&amp;sourceID=14","3.8")</f>
        <v>3.8</v>
      </c>
      <c r="G2612" s="4" t="str">
        <f>HYPERLINK("http://141.218.60.56/~jnz1568/getInfo.php?workbook=14_13.xlsx&amp;sheet=U0&amp;row=2612&amp;col=7&amp;number=6.86&amp;sourceID=14","6.86")</f>
        <v>6.86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HYPERLINK("http://141.218.60.56/~jnz1568/getInfo.php?workbook=14_13.xlsx&amp;sheet=U0&amp;row=2613&amp;col=6&amp;number=3.9&amp;sourceID=14","3.9")</f>
        <v>3.9</v>
      </c>
      <c r="G2613" s="4" t="str">
        <f>HYPERLINK("http://141.218.60.56/~jnz1568/getInfo.php?workbook=14_13.xlsx&amp;sheet=U0&amp;row=2613&amp;col=7&amp;number=6.73&amp;sourceID=14","6.73")</f>
        <v>6.73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HYPERLINK("http://141.218.60.56/~jnz1568/getInfo.php?workbook=14_13.xlsx&amp;sheet=U0&amp;row=2614&amp;col=6&amp;number=4&amp;sourceID=14","4")</f>
        <v>4</v>
      </c>
      <c r="G2614" s="4" t="str">
        <f>HYPERLINK("http://141.218.60.56/~jnz1568/getInfo.php?workbook=14_13.xlsx&amp;sheet=U0&amp;row=2614&amp;col=7&amp;number=6.55&amp;sourceID=14","6.55")</f>
        <v>6.55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HYPERLINK("http://141.218.60.56/~jnz1568/getInfo.php?workbook=14_13.xlsx&amp;sheet=U0&amp;row=2615&amp;col=6&amp;number=4.1&amp;sourceID=14","4.1")</f>
        <v>4.1</v>
      </c>
      <c r="G2615" s="4" t="str">
        <f>HYPERLINK("http://141.218.60.56/~jnz1568/getInfo.php?workbook=14_13.xlsx&amp;sheet=U0&amp;row=2615&amp;col=7&amp;number=6.34&amp;sourceID=14","6.34")</f>
        <v>6.34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HYPERLINK("http://141.218.60.56/~jnz1568/getInfo.php?workbook=14_13.xlsx&amp;sheet=U0&amp;row=2616&amp;col=6&amp;number=4.2&amp;sourceID=14","4.2")</f>
        <v>4.2</v>
      </c>
      <c r="G2616" s="4" t="str">
        <f>HYPERLINK("http://141.218.60.56/~jnz1568/getInfo.php?workbook=14_13.xlsx&amp;sheet=U0&amp;row=2616&amp;col=7&amp;number=6.1&amp;sourceID=14","6.1")</f>
        <v>6.1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HYPERLINK("http://141.218.60.56/~jnz1568/getInfo.php?workbook=14_13.xlsx&amp;sheet=U0&amp;row=2617&amp;col=6&amp;number=4.3&amp;sourceID=14","4.3")</f>
        <v>4.3</v>
      </c>
      <c r="G2617" s="4" t="str">
        <f>HYPERLINK("http://141.218.60.56/~jnz1568/getInfo.php?workbook=14_13.xlsx&amp;sheet=U0&amp;row=2617&amp;col=7&amp;number=5.83&amp;sourceID=14","5.83")</f>
        <v>5.83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HYPERLINK("http://141.218.60.56/~jnz1568/getInfo.php?workbook=14_13.xlsx&amp;sheet=U0&amp;row=2618&amp;col=6&amp;number=4.4&amp;sourceID=14","4.4")</f>
        <v>4.4</v>
      </c>
      <c r="G2618" s="4" t="str">
        <f>HYPERLINK("http://141.218.60.56/~jnz1568/getInfo.php?workbook=14_13.xlsx&amp;sheet=U0&amp;row=2618&amp;col=7&amp;number=5.54&amp;sourceID=14","5.54")</f>
        <v>5.54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HYPERLINK("http://141.218.60.56/~jnz1568/getInfo.php?workbook=14_13.xlsx&amp;sheet=U0&amp;row=2619&amp;col=6&amp;number=4.5&amp;sourceID=14","4.5")</f>
        <v>4.5</v>
      </c>
      <c r="G2619" s="4" t="str">
        <f>HYPERLINK("http://141.218.60.56/~jnz1568/getInfo.php?workbook=14_13.xlsx&amp;sheet=U0&amp;row=2619&amp;col=7&amp;number=5.23&amp;sourceID=14","5.23")</f>
        <v>5.23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HYPERLINK("http://141.218.60.56/~jnz1568/getInfo.php?workbook=14_13.xlsx&amp;sheet=U0&amp;row=2620&amp;col=6&amp;number=4.6&amp;sourceID=14","4.6")</f>
        <v>4.6</v>
      </c>
      <c r="G2620" s="4" t="str">
        <f>HYPERLINK("http://141.218.60.56/~jnz1568/getInfo.php?workbook=14_13.xlsx&amp;sheet=U0&amp;row=2620&amp;col=7&amp;number=4.92&amp;sourceID=14","4.92")</f>
        <v>4.92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HYPERLINK("http://141.218.60.56/~jnz1568/getInfo.php?workbook=14_13.xlsx&amp;sheet=U0&amp;row=2621&amp;col=6&amp;number=4.7&amp;sourceID=14","4.7")</f>
        <v>4.7</v>
      </c>
      <c r="G2621" s="4" t="str">
        <f>HYPERLINK("http://141.218.60.56/~jnz1568/getInfo.php?workbook=14_13.xlsx&amp;sheet=U0&amp;row=2621&amp;col=7&amp;number=4.63&amp;sourceID=14","4.63")</f>
        <v>4.63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HYPERLINK("http://141.218.60.56/~jnz1568/getInfo.php?workbook=14_13.xlsx&amp;sheet=U0&amp;row=2622&amp;col=6&amp;number=4.8&amp;sourceID=14","4.8")</f>
        <v>4.8</v>
      </c>
      <c r="G2622" s="4" t="str">
        <f>HYPERLINK("http://141.218.60.56/~jnz1568/getInfo.php?workbook=14_13.xlsx&amp;sheet=U0&amp;row=2622&amp;col=7&amp;number=4.34&amp;sourceID=14","4.34")</f>
        <v>4.34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HYPERLINK("http://141.218.60.56/~jnz1568/getInfo.php?workbook=14_13.xlsx&amp;sheet=U0&amp;row=2623&amp;col=6&amp;number=4.9&amp;sourceID=14","4.9")</f>
        <v>4.9</v>
      </c>
      <c r="G2623" s="4" t="str">
        <f>HYPERLINK("http://141.218.60.56/~jnz1568/getInfo.php?workbook=14_13.xlsx&amp;sheet=U0&amp;row=2623&amp;col=7&amp;number=4.07&amp;sourceID=14","4.07")</f>
        <v>4.07</v>
      </c>
    </row>
    <row r="2624" spans="1:7">
      <c r="A2624" s="3">
        <v>14</v>
      </c>
      <c r="B2624" s="3">
        <v>13</v>
      </c>
      <c r="C2624" s="3">
        <v>6</v>
      </c>
      <c r="D2624" s="3">
        <v>8</v>
      </c>
      <c r="E2624" s="3">
        <v>1</v>
      </c>
      <c r="F2624" s="4" t="str">
        <f>HYPERLINK("http://141.218.60.56/~jnz1568/getInfo.php?workbook=14_13.xlsx&amp;sheet=U0&amp;row=2624&amp;col=6&amp;number=3&amp;sourceID=14","3")</f>
        <v>3</v>
      </c>
      <c r="G2624" s="4" t="str">
        <f>HYPERLINK("http://141.218.60.56/~jnz1568/getInfo.php?workbook=14_13.xlsx&amp;sheet=U0&amp;row=2624&amp;col=7&amp;number=0.93&amp;sourceID=14","0.93")</f>
        <v>0.93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HYPERLINK("http://141.218.60.56/~jnz1568/getInfo.php?workbook=14_13.xlsx&amp;sheet=U0&amp;row=2625&amp;col=6&amp;number=3.1&amp;sourceID=14","3.1")</f>
        <v>3.1</v>
      </c>
      <c r="G2625" s="4" t="str">
        <f>HYPERLINK("http://141.218.60.56/~jnz1568/getInfo.php?workbook=14_13.xlsx&amp;sheet=U0&amp;row=2625&amp;col=7&amp;number=0.967&amp;sourceID=14","0.967")</f>
        <v>0.967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HYPERLINK("http://141.218.60.56/~jnz1568/getInfo.php?workbook=14_13.xlsx&amp;sheet=U0&amp;row=2626&amp;col=6&amp;number=3.2&amp;sourceID=14","3.2")</f>
        <v>3.2</v>
      </c>
      <c r="G2626" s="4" t="str">
        <f>HYPERLINK("http://141.218.60.56/~jnz1568/getInfo.php?workbook=14_13.xlsx&amp;sheet=U0&amp;row=2626&amp;col=7&amp;number=1.01&amp;sourceID=14","1.01")</f>
        <v>1.01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HYPERLINK("http://141.218.60.56/~jnz1568/getInfo.php?workbook=14_13.xlsx&amp;sheet=U0&amp;row=2627&amp;col=6&amp;number=3.3&amp;sourceID=14","3.3")</f>
        <v>3.3</v>
      </c>
      <c r="G2627" s="4" t="str">
        <f>HYPERLINK("http://141.218.60.56/~jnz1568/getInfo.php?workbook=14_13.xlsx&amp;sheet=U0&amp;row=2627&amp;col=7&amp;number=1.06&amp;sourceID=14","1.06")</f>
        <v>1.06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HYPERLINK("http://141.218.60.56/~jnz1568/getInfo.php?workbook=14_13.xlsx&amp;sheet=U0&amp;row=2628&amp;col=6&amp;number=3.4&amp;sourceID=14","3.4")</f>
        <v>3.4</v>
      </c>
      <c r="G2628" s="4" t="str">
        <f>HYPERLINK("http://141.218.60.56/~jnz1568/getInfo.php?workbook=14_13.xlsx&amp;sheet=U0&amp;row=2628&amp;col=7&amp;number=1.12&amp;sourceID=14","1.12")</f>
        <v>1.12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HYPERLINK("http://141.218.60.56/~jnz1568/getInfo.php?workbook=14_13.xlsx&amp;sheet=U0&amp;row=2629&amp;col=6&amp;number=3.5&amp;sourceID=14","3.5")</f>
        <v>3.5</v>
      </c>
      <c r="G2629" s="4" t="str">
        <f>HYPERLINK("http://141.218.60.56/~jnz1568/getInfo.php?workbook=14_13.xlsx&amp;sheet=U0&amp;row=2629&amp;col=7&amp;number=1.18&amp;sourceID=14","1.18")</f>
        <v>1.18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HYPERLINK("http://141.218.60.56/~jnz1568/getInfo.php?workbook=14_13.xlsx&amp;sheet=U0&amp;row=2630&amp;col=6&amp;number=3.6&amp;sourceID=14","3.6")</f>
        <v>3.6</v>
      </c>
      <c r="G2630" s="4" t="str">
        <f>HYPERLINK("http://141.218.60.56/~jnz1568/getInfo.php?workbook=14_13.xlsx&amp;sheet=U0&amp;row=2630&amp;col=7&amp;number=1.25&amp;sourceID=14","1.25")</f>
        <v>1.25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HYPERLINK("http://141.218.60.56/~jnz1568/getInfo.php?workbook=14_13.xlsx&amp;sheet=U0&amp;row=2631&amp;col=6&amp;number=3.7&amp;sourceID=14","3.7")</f>
        <v>3.7</v>
      </c>
      <c r="G2631" s="4" t="str">
        <f>HYPERLINK("http://141.218.60.56/~jnz1568/getInfo.php?workbook=14_13.xlsx&amp;sheet=U0&amp;row=2631&amp;col=7&amp;number=1.3&amp;sourceID=14","1.3")</f>
        <v>1.3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HYPERLINK("http://141.218.60.56/~jnz1568/getInfo.php?workbook=14_13.xlsx&amp;sheet=U0&amp;row=2632&amp;col=6&amp;number=3.8&amp;sourceID=14","3.8")</f>
        <v>3.8</v>
      </c>
      <c r="G2632" s="4" t="str">
        <f>HYPERLINK("http://141.218.60.56/~jnz1568/getInfo.php?workbook=14_13.xlsx&amp;sheet=U0&amp;row=2632&amp;col=7&amp;number=1.34&amp;sourceID=14","1.34")</f>
        <v>1.34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HYPERLINK("http://141.218.60.56/~jnz1568/getInfo.php?workbook=14_13.xlsx&amp;sheet=U0&amp;row=2633&amp;col=6&amp;number=3.9&amp;sourceID=14","3.9")</f>
        <v>3.9</v>
      </c>
      <c r="G2633" s="4" t="str">
        <f>HYPERLINK("http://141.218.60.56/~jnz1568/getInfo.php?workbook=14_13.xlsx&amp;sheet=U0&amp;row=2633&amp;col=7&amp;number=1.36&amp;sourceID=14","1.36")</f>
        <v>1.36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HYPERLINK("http://141.218.60.56/~jnz1568/getInfo.php?workbook=14_13.xlsx&amp;sheet=U0&amp;row=2634&amp;col=6&amp;number=4&amp;sourceID=14","4")</f>
        <v>4</v>
      </c>
      <c r="G2634" s="4" t="str">
        <f>HYPERLINK("http://141.218.60.56/~jnz1568/getInfo.php?workbook=14_13.xlsx&amp;sheet=U0&amp;row=2634&amp;col=7&amp;number=1.35&amp;sourceID=14","1.35")</f>
        <v>1.35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HYPERLINK("http://141.218.60.56/~jnz1568/getInfo.php?workbook=14_13.xlsx&amp;sheet=U0&amp;row=2635&amp;col=6&amp;number=4.1&amp;sourceID=14","4.1")</f>
        <v>4.1</v>
      </c>
      <c r="G2635" s="4" t="str">
        <f>HYPERLINK("http://141.218.60.56/~jnz1568/getInfo.php?workbook=14_13.xlsx&amp;sheet=U0&amp;row=2635&amp;col=7&amp;number=1.32&amp;sourceID=14","1.32")</f>
        <v>1.32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HYPERLINK("http://141.218.60.56/~jnz1568/getInfo.php?workbook=14_13.xlsx&amp;sheet=U0&amp;row=2636&amp;col=6&amp;number=4.2&amp;sourceID=14","4.2")</f>
        <v>4.2</v>
      </c>
      <c r="G2636" s="4" t="str">
        <f>HYPERLINK("http://141.218.60.56/~jnz1568/getInfo.php?workbook=14_13.xlsx&amp;sheet=U0&amp;row=2636&amp;col=7&amp;number=1.26&amp;sourceID=14","1.26")</f>
        <v>1.26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HYPERLINK("http://141.218.60.56/~jnz1568/getInfo.php?workbook=14_13.xlsx&amp;sheet=U0&amp;row=2637&amp;col=6&amp;number=4.3&amp;sourceID=14","4.3")</f>
        <v>4.3</v>
      </c>
      <c r="G2637" s="4" t="str">
        <f>HYPERLINK("http://141.218.60.56/~jnz1568/getInfo.php?workbook=14_13.xlsx&amp;sheet=U0&amp;row=2637&amp;col=7&amp;number=1.19&amp;sourceID=14","1.19")</f>
        <v>1.19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HYPERLINK("http://141.218.60.56/~jnz1568/getInfo.php?workbook=14_13.xlsx&amp;sheet=U0&amp;row=2638&amp;col=6&amp;number=4.4&amp;sourceID=14","4.4")</f>
        <v>4.4</v>
      </c>
      <c r="G2638" s="4" t="str">
        <f>HYPERLINK("http://141.218.60.56/~jnz1568/getInfo.php?workbook=14_13.xlsx&amp;sheet=U0&amp;row=2638&amp;col=7&amp;number=1.1&amp;sourceID=14","1.1")</f>
        <v>1.1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HYPERLINK("http://141.218.60.56/~jnz1568/getInfo.php?workbook=14_13.xlsx&amp;sheet=U0&amp;row=2639&amp;col=6&amp;number=4.5&amp;sourceID=14","4.5")</f>
        <v>4.5</v>
      </c>
      <c r="G2639" s="4" t="str">
        <f>HYPERLINK("http://141.218.60.56/~jnz1568/getInfo.php?workbook=14_13.xlsx&amp;sheet=U0&amp;row=2639&amp;col=7&amp;number=1.02&amp;sourceID=14","1.02")</f>
        <v>1.02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HYPERLINK("http://141.218.60.56/~jnz1568/getInfo.php?workbook=14_13.xlsx&amp;sheet=U0&amp;row=2640&amp;col=6&amp;number=4.6&amp;sourceID=14","4.6")</f>
        <v>4.6</v>
      </c>
      <c r="G2640" s="4" t="str">
        <f>HYPERLINK("http://141.218.60.56/~jnz1568/getInfo.php?workbook=14_13.xlsx&amp;sheet=U0&amp;row=2640&amp;col=7&amp;number=0.943&amp;sourceID=14","0.943")</f>
        <v>0.943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HYPERLINK("http://141.218.60.56/~jnz1568/getInfo.php?workbook=14_13.xlsx&amp;sheet=U0&amp;row=2641&amp;col=6&amp;number=4.7&amp;sourceID=14","4.7")</f>
        <v>4.7</v>
      </c>
      <c r="G2641" s="4" t="str">
        <f>HYPERLINK("http://141.218.60.56/~jnz1568/getInfo.php?workbook=14_13.xlsx&amp;sheet=U0&amp;row=2641&amp;col=7&amp;number=0.876&amp;sourceID=14","0.876")</f>
        <v>0.876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HYPERLINK("http://141.218.60.56/~jnz1568/getInfo.php?workbook=14_13.xlsx&amp;sheet=U0&amp;row=2642&amp;col=6&amp;number=4.8&amp;sourceID=14","4.8")</f>
        <v>4.8</v>
      </c>
      <c r="G2642" s="4" t="str">
        <f>HYPERLINK("http://141.218.60.56/~jnz1568/getInfo.php?workbook=14_13.xlsx&amp;sheet=U0&amp;row=2642&amp;col=7&amp;number=0.816&amp;sourceID=14","0.816")</f>
        <v>0.816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HYPERLINK("http://141.218.60.56/~jnz1568/getInfo.php?workbook=14_13.xlsx&amp;sheet=U0&amp;row=2643&amp;col=6&amp;number=4.9&amp;sourceID=14","4.9")</f>
        <v>4.9</v>
      </c>
      <c r="G2643" s="4" t="str">
        <f>HYPERLINK("http://141.218.60.56/~jnz1568/getInfo.php?workbook=14_13.xlsx&amp;sheet=U0&amp;row=2643&amp;col=7&amp;number=0.768&amp;sourceID=14","0.768")</f>
        <v>0.768</v>
      </c>
    </row>
    <row r="2644" spans="1:7">
      <c r="A2644" s="3">
        <v>14</v>
      </c>
      <c r="B2644" s="3">
        <v>13</v>
      </c>
      <c r="C2644" s="3">
        <v>6</v>
      </c>
      <c r="D2644" s="3">
        <v>9</v>
      </c>
      <c r="E2644" s="3">
        <v>1</v>
      </c>
      <c r="F2644" s="4" t="str">
        <f>HYPERLINK("http://141.218.60.56/~jnz1568/getInfo.php?workbook=14_13.xlsx&amp;sheet=U0&amp;row=2644&amp;col=6&amp;number=3&amp;sourceID=14","3")</f>
        <v>3</v>
      </c>
      <c r="G2644" s="4" t="str">
        <f>HYPERLINK("http://141.218.60.56/~jnz1568/getInfo.php?workbook=14_13.xlsx&amp;sheet=U0&amp;row=2644&amp;col=7&amp;number=1.87&amp;sourceID=14","1.87")</f>
        <v>1.87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HYPERLINK("http://141.218.60.56/~jnz1568/getInfo.php?workbook=14_13.xlsx&amp;sheet=U0&amp;row=2645&amp;col=6&amp;number=3.1&amp;sourceID=14","3.1")</f>
        <v>3.1</v>
      </c>
      <c r="G2645" s="4" t="str">
        <f>HYPERLINK("http://141.218.60.56/~jnz1568/getInfo.php?workbook=14_13.xlsx&amp;sheet=U0&amp;row=2645&amp;col=7&amp;number=1.85&amp;sourceID=14","1.85")</f>
        <v>1.85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HYPERLINK("http://141.218.60.56/~jnz1568/getInfo.php?workbook=14_13.xlsx&amp;sheet=U0&amp;row=2646&amp;col=6&amp;number=3.2&amp;sourceID=14","3.2")</f>
        <v>3.2</v>
      </c>
      <c r="G2646" s="4" t="str">
        <f>HYPERLINK("http://141.218.60.56/~jnz1568/getInfo.php?workbook=14_13.xlsx&amp;sheet=U0&amp;row=2646&amp;col=7&amp;number=1.83&amp;sourceID=14","1.83")</f>
        <v>1.83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HYPERLINK("http://141.218.60.56/~jnz1568/getInfo.php?workbook=14_13.xlsx&amp;sheet=U0&amp;row=2647&amp;col=6&amp;number=3.3&amp;sourceID=14","3.3")</f>
        <v>3.3</v>
      </c>
      <c r="G2647" s="4" t="str">
        <f>HYPERLINK("http://141.218.60.56/~jnz1568/getInfo.php?workbook=14_13.xlsx&amp;sheet=U0&amp;row=2647&amp;col=7&amp;number=1.8&amp;sourceID=14","1.8")</f>
        <v>1.8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HYPERLINK("http://141.218.60.56/~jnz1568/getInfo.php?workbook=14_13.xlsx&amp;sheet=U0&amp;row=2648&amp;col=6&amp;number=3.4&amp;sourceID=14","3.4")</f>
        <v>3.4</v>
      </c>
      <c r="G2648" s="4" t="str">
        <f>HYPERLINK("http://141.218.60.56/~jnz1568/getInfo.php?workbook=14_13.xlsx&amp;sheet=U0&amp;row=2648&amp;col=7&amp;number=1.77&amp;sourceID=14","1.77")</f>
        <v>1.77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HYPERLINK("http://141.218.60.56/~jnz1568/getInfo.php?workbook=14_13.xlsx&amp;sheet=U0&amp;row=2649&amp;col=6&amp;number=3.5&amp;sourceID=14","3.5")</f>
        <v>3.5</v>
      </c>
      <c r="G2649" s="4" t="str">
        <f>HYPERLINK("http://141.218.60.56/~jnz1568/getInfo.php?workbook=14_13.xlsx&amp;sheet=U0&amp;row=2649&amp;col=7&amp;number=1.73&amp;sourceID=14","1.73")</f>
        <v>1.73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HYPERLINK("http://141.218.60.56/~jnz1568/getInfo.php?workbook=14_13.xlsx&amp;sheet=U0&amp;row=2650&amp;col=6&amp;number=3.6&amp;sourceID=14","3.6")</f>
        <v>3.6</v>
      </c>
      <c r="G2650" s="4" t="str">
        <f>HYPERLINK("http://141.218.60.56/~jnz1568/getInfo.php?workbook=14_13.xlsx&amp;sheet=U0&amp;row=2650&amp;col=7&amp;number=1.69&amp;sourceID=14","1.69")</f>
        <v>1.69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HYPERLINK("http://141.218.60.56/~jnz1568/getInfo.php?workbook=14_13.xlsx&amp;sheet=U0&amp;row=2651&amp;col=6&amp;number=3.7&amp;sourceID=14","3.7")</f>
        <v>3.7</v>
      </c>
      <c r="G2651" s="4" t="str">
        <f>HYPERLINK("http://141.218.60.56/~jnz1568/getInfo.php?workbook=14_13.xlsx&amp;sheet=U0&amp;row=2651&amp;col=7&amp;number=1.65&amp;sourceID=14","1.65")</f>
        <v>1.65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HYPERLINK("http://141.218.60.56/~jnz1568/getInfo.php?workbook=14_13.xlsx&amp;sheet=U0&amp;row=2652&amp;col=6&amp;number=3.8&amp;sourceID=14","3.8")</f>
        <v>3.8</v>
      </c>
      <c r="G2652" s="4" t="str">
        <f>HYPERLINK("http://141.218.60.56/~jnz1568/getInfo.php?workbook=14_13.xlsx&amp;sheet=U0&amp;row=2652&amp;col=7&amp;number=1.62&amp;sourceID=14","1.62")</f>
        <v>1.62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HYPERLINK("http://141.218.60.56/~jnz1568/getInfo.php?workbook=14_13.xlsx&amp;sheet=U0&amp;row=2653&amp;col=6&amp;number=3.9&amp;sourceID=14","3.9")</f>
        <v>3.9</v>
      </c>
      <c r="G2653" s="4" t="str">
        <f>HYPERLINK("http://141.218.60.56/~jnz1568/getInfo.php?workbook=14_13.xlsx&amp;sheet=U0&amp;row=2653&amp;col=7&amp;number=1.59&amp;sourceID=14","1.59")</f>
        <v>1.59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HYPERLINK("http://141.218.60.56/~jnz1568/getInfo.php?workbook=14_13.xlsx&amp;sheet=U0&amp;row=2654&amp;col=6&amp;number=4&amp;sourceID=14","4")</f>
        <v>4</v>
      </c>
      <c r="G2654" s="4" t="str">
        <f>HYPERLINK("http://141.218.60.56/~jnz1568/getInfo.php?workbook=14_13.xlsx&amp;sheet=U0&amp;row=2654&amp;col=7&amp;number=1.57&amp;sourceID=14","1.57")</f>
        <v>1.57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HYPERLINK("http://141.218.60.56/~jnz1568/getInfo.php?workbook=14_13.xlsx&amp;sheet=U0&amp;row=2655&amp;col=6&amp;number=4.1&amp;sourceID=14","4.1")</f>
        <v>4.1</v>
      </c>
      <c r="G2655" s="4" t="str">
        <f>HYPERLINK("http://141.218.60.56/~jnz1568/getInfo.php?workbook=14_13.xlsx&amp;sheet=U0&amp;row=2655&amp;col=7&amp;number=1.55&amp;sourceID=14","1.55")</f>
        <v>1.55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HYPERLINK("http://141.218.60.56/~jnz1568/getInfo.php?workbook=14_13.xlsx&amp;sheet=U0&amp;row=2656&amp;col=6&amp;number=4.2&amp;sourceID=14","4.2")</f>
        <v>4.2</v>
      </c>
      <c r="G2656" s="4" t="str">
        <f>HYPERLINK("http://141.218.60.56/~jnz1568/getInfo.php?workbook=14_13.xlsx&amp;sheet=U0&amp;row=2656&amp;col=7&amp;number=1.53&amp;sourceID=14","1.53")</f>
        <v>1.53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HYPERLINK("http://141.218.60.56/~jnz1568/getInfo.php?workbook=14_13.xlsx&amp;sheet=U0&amp;row=2657&amp;col=6&amp;number=4.3&amp;sourceID=14","4.3")</f>
        <v>4.3</v>
      </c>
      <c r="G2657" s="4" t="str">
        <f>HYPERLINK("http://141.218.60.56/~jnz1568/getInfo.php?workbook=14_13.xlsx&amp;sheet=U0&amp;row=2657&amp;col=7&amp;number=1.51&amp;sourceID=14","1.51")</f>
        <v>1.51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HYPERLINK("http://141.218.60.56/~jnz1568/getInfo.php?workbook=14_13.xlsx&amp;sheet=U0&amp;row=2658&amp;col=6&amp;number=4.4&amp;sourceID=14","4.4")</f>
        <v>4.4</v>
      </c>
      <c r="G2658" s="4" t="str">
        <f>HYPERLINK("http://141.218.60.56/~jnz1568/getInfo.php?workbook=14_13.xlsx&amp;sheet=U0&amp;row=2658&amp;col=7&amp;number=1.49&amp;sourceID=14","1.49")</f>
        <v>1.49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HYPERLINK("http://141.218.60.56/~jnz1568/getInfo.php?workbook=14_13.xlsx&amp;sheet=U0&amp;row=2659&amp;col=6&amp;number=4.5&amp;sourceID=14","4.5")</f>
        <v>4.5</v>
      </c>
      <c r="G2659" s="4" t="str">
        <f>HYPERLINK("http://141.218.60.56/~jnz1568/getInfo.php?workbook=14_13.xlsx&amp;sheet=U0&amp;row=2659&amp;col=7&amp;number=1.48&amp;sourceID=14","1.48")</f>
        <v>1.48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HYPERLINK("http://141.218.60.56/~jnz1568/getInfo.php?workbook=14_13.xlsx&amp;sheet=U0&amp;row=2660&amp;col=6&amp;number=4.6&amp;sourceID=14","4.6")</f>
        <v>4.6</v>
      </c>
      <c r="G2660" s="4" t="str">
        <f>HYPERLINK("http://141.218.60.56/~jnz1568/getInfo.php?workbook=14_13.xlsx&amp;sheet=U0&amp;row=2660&amp;col=7&amp;number=1.47&amp;sourceID=14","1.47")</f>
        <v>1.47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HYPERLINK("http://141.218.60.56/~jnz1568/getInfo.php?workbook=14_13.xlsx&amp;sheet=U0&amp;row=2661&amp;col=6&amp;number=4.7&amp;sourceID=14","4.7")</f>
        <v>4.7</v>
      </c>
      <c r="G2661" s="4" t="str">
        <f>HYPERLINK("http://141.218.60.56/~jnz1568/getInfo.php?workbook=14_13.xlsx&amp;sheet=U0&amp;row=2661&amp;col=7&amp;number=1.47&amp;sourceID=14","1.47")</f>
        <v>1.47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HYPERLINK("http://141.218.60.56/~jnz1568/getInfo.php?workbook=14_13.xlsx&amp;sheet=U0&amp;row=2662&amp;col=6&amp;number=4.8&amp;sourceID=14","4.8")</f>
        <v>4.8</v>
      </c>
      <c r="G2662" s="4" t="str">
        <f>HYPERLINK("http://141.218.60.56/~jnz1568/getInfo.php?workbook=14_13.xlsx&amp;sheet=U0&amp;row=2662&amp;col=7&amp;number=1.48&amp;sourceID=14","1.48")</f>
        <v>1.48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HYPERLINK("http://141.218.60.56/~jnz1568/getInfo.php?workbook=14_13.xlsx&amp;sheet=U0&amp;row=2663&amp;col=6&amp;number=4.9&amp;sourceID=14","4.9")</f>
        <v>4.9</v>
      </c>
      <c r="G2663" s="4" t="str">
        <f>HYPERLINK("http://141.218.60.56/~jnz1568/getInfo.php?workbook=14_13.xlsx&amp;sheet=U0&amp;row=2663&amp;col=7&amp;number=1.5&amp;sourceID=14","1.5")</f>
        <v>1.5</v>
      </c>
    </row>
    <row r="2664" spans="1:7">
      <c r="A2664" s="3">
        <v>14</v>
      </c>
      <c r="B2664" s="3">
        <v>13</v>
      </c>
      <c r="C2664" s="3">
        <v>6</v>
      </c>
      <c r="D2664" s="3">
        <v>10</v>
      </c>
      <c r="E2664" s="3">
        <v>1</v>
      </c>
      <c r="F2664" s="4" t="str">
        <f>HYPERLINK("http://141.218.60.56/~jnz1568/getInfo.php?workbook=14_13.xlsx&amp;sheet=U0&amp;row=2664&amp;col=6&amp;number=3&amp;sourceID=14","3")</f>
        <v>3</v>
      </c>
      <c r="G2664" s="4" t="str">
        <f>HYPERLINK("http://141.218.60.56/~jnz1568/getInfo.php?workbook=14_13.xlsx&amp;sheet=U0&amp;row=2664&amp;col=7&amp;number=3.79&amp;sourceID=14","3.79")</f>
        <v>3.79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HYPERLINK("http://141.218.60.56/~jnz1568/getInfo.php?workbook=14_13.xlsx&amp;sheet=U0&amp;row=2665&amp;col=6&amp;number=3.1&amp;sourceID=14","3.1")</f>
        <v>3.1</v>
      </c>
      <c r="G2665" s="4" t="str">
        <f>HYPERLINK("http://141.218.60.56/~jnz1568/getInfo.php?workbook=14_13.xlsx&amp;sheet=U0&amp;row=2665&amp;col=7&amp;number=3.76&amp;sourceID=14","3.76")</f>
        <v>3.76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HYPERLINK("http://141.218.60.56/~jnz1568/getInfo.php?workbook=14_13.xlsx&amp;sheet=U0&amp;row=2666&amp;col=6&amp;number=3.2&amp;sourceID=14","3.2")</f>
        <v>3.2</v>
      </c>
      <c r="G2666" s="4" t="str">
        <f>HYPERLINK("http://141.218.60.56/~jnz1568/getInfo.php?workbook=14_13.xlsx&amp;sheet=U0&amp;row=2666&amp;col=7&amp;number=3.74&amp;sourceID=14","3.74")</f>
        <v>3.74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HYPERLINK("http://141.218.60.56/~jnz1568/getInfo.php?workbook=14_13.xlsx&amp;sheet=U0&amp;row=2667&amp;col=6&amp;number=3.3&amp;sourceID=14","3.3")</f>
        <v>3.3</v>
      </c>
      <c r="G2667" s="4" t="str">
        <f>HYPERLINK("http://141.218.60.56/~jnz1568/getInfo.php?workbook=14_13.xlsx&amp;sheet=U0&amp;row=2667&amp;col=7&amp;number=3.7&amp;sourceID=14","3.7")</f>
        <v>3.7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HYPERLINK("http://141.218.60.56/~jnz1568/getInfo.php?workbook=14_13.xlsx&amp;sheet=U0&amp;row=2668&amp;col=6&amp;number=3.4&amp;sourceID=14","3.4")</f>
        <v>3.4</v>
      </c>
      <c r="G2668" s="4" t="str">
        <f>HYPERLINK("http://141.218.60.56/~jnz1568/getInfo.php?workbook=14_13.xlsx&amp;sheet=U0&amp;row=2668&amp;col=7&amp;number=3.67&amp;sourceID=14","3.67")</f>
        <v>3.67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HYPERLINK("http://141.218.60.56/~jnz1568/getInfo.php?workbook=14_13.xlsx&amp;sheet=U0&amp;row=2669&amp;col=6&amp;number=3.5&amp;sourceID=14","3.5")</f>
        <v>3.5</v>
      </c>
      <c r="G2669" s="4" t="str">
        <f>HYPERLINK("http://141.218.60.56/~jnz1568/getInfo.php?workbook=14_13.xlsx&amp;sheet=U0&amp;row=2669&amp;col=7&amp;number=3.63&amp;sourceID=14","3.63")</f>
        <v>3.63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HYPERLINK("http://141.218.60.56/~jnz1568/getInfo.php?workbook=14_13.xlsx&amp;sheet=U0&amp;row=2670&amp;col=6&amp;number=3.6&amp;sourceID=14","3.6")</f>
        <v>3.6</v>
      </c>
      <c r="G2670" s="4" t="str">
        <f>HYPERLINK("http://141.218.60.56/~jnz1568/getInfo.php?workbook=14_13.xlsx&amp;sheet=U0&amp;row=2670&amp;col=7&amp;number=3.59&amp;sourceID=14","3.59")</f>
        <v>3.59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HYPERLINK("http://141.218.60.56/~jnz1568/getInfo.php?workbook=14_13.xlsx&amp;sheet=U0&amp;row=2671&amp;col=6&amp;number=3.7&amp;sourceID=14","3.7")</f>
        <v>3.7</v>
      </c>
      <c r="G2671" s="4" t="str">
        <f>HYPERLINK("http://141.218.60.56/~jnz1568/getInfo.php?workbook=14_13.xlsx&amp;sheet=U0&amp;row=2671&amp;col=7&amp;number=3.56&amp;sourceID=14","3.56")</f>
        <v>3.56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HYPERLINK("http://141.218.60.56/~jnz1568/getInfo.php?workbook=14_13.xlsx&amp;sheet=U0&amp;row=2672&amp;col=6&amp;number=3.8&amp;sourceID=14","3.8")</f>
        <v>3.8</v>
      </c>
      <c r="G2672" s="4" t="str">
        <f>HYPERLINK("http://141.218.60.56/~jnz1568/getInfo.php?workbook=14_13.xlsx&amp;sheet=U0&amp;row=2672&amp;col=7&amp;number=3.55&amp;sourceID=14","3.55")</f>
        <v>3.55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HYPERLINK("http://141.218.60.56/~jnz1568/getInfo.php?workbook=14_13.xlsx&amp;sheet=U0&amp;row=2673&amp;col=6&amp;number=3.9&amp;sourceID=14","3.9")</f>
        <v>3.9</v>
      </c>
      <c r="G2673" s="4" t="str">
        <f>HYPERLINK("http://141.218.60.56/~jnz1568/getInfo.php?workbook=14_13.xlsx&amp;sheet=U0&amp;row=2673&amp;col=7&amp;number=3.54&amp;sourceID=14","3.54")</f>
        <v>3.54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HYPERLINK("http://141.218.60.56/~jnz1568/getInfo.php?workbook=14_13.xlsx&amp;sheet=U0&amp;row=2674&amp;col=6&amp;number=4&amp;sourceID=14","4")</f>
        <v>4</v>
      </c>
      <c r="G2674" s="4" t="str">
        <f>HYPERLINK("http://141.218.60.56/~jnz1568/getInfo.php?workbook=14_13.xlsx&amp;sheet=U0&amp;row=2674&amp;col=7&amp;number=3.55&amp;sourceID=14","3.55")</f>
        <v>3.55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HYPERLINK("http://141.218.60.56/~jnz1568/getInfo.php?workbook=14_13.xlsx&amp;sheet=U0&amp;row=2675&amp;col=6&amp;number=4.1&amp;sourceID=14","4.1")</f>
        <v>4.1</v>
      </c>
      <c r="G2675" s="4" t="str">
        <f>HYPERLINK("http://141.218.60.56/~jnz1568/getInfo.php?workbook=14_13.xlsx&amp;sheet=U0&amp;row=2675&amp;col=7&amp;number=3.56&amp;sourceID=14","3.56")</f>
        <v>3.56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HYPERLINK("http://141.218.60.56/~jnz1568/getInfo.php?workbook=14_13.xlsx&amp;sheet=U0&amp;row=2676&amp;col=6&amp;number=4.2&amp;sourceID=14","4.2")</f>
        <v>4.2</v>
      </c>
      <c r="G2676" s="4" t="str">
        <f>HYPERLINK("http://141.218.60.56/~jnz1568/getInfo.php?workbook=14_13.xlsx&amp;sheet=U0&amp;row=2676&amp;col=7&amp;number=3.57&amp;sourceID=14","3.57")</f>
        <v>3.57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HYPERLINK("http://141.218.60.56/~jnz1568/getInfo.php?workbook=14_13.xlsx&amp;sheet=U0&amp;row=2677&amp;col=6&amp;number=4.3&amp;sourceID=14","4.3")</f>
        <v>4.3</v>
      </c>
      <c r="G2677" s="4" t="str">
        <f>HYPERLINK("http://141.218.60.56/~jnz1568/getInfo.php?workbook=14_13.xlsx&amp;sheet=U0&amp;row=2677&amp;col=7&amp;number=3.58&amp;sourceID=14","3.58")</f>
        <v>3.58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HYPERLINK("http://141.218.60.56/~jnz1568/getInfo.php?workbook=14_13.xlsx&amp;sheet=U0&amp;row=2678&amp;col=6&amp;number=4.4&amp;sourceID=14","4.4")</f>
        <v>4.4</v>
      </c>
      <c r="G2678" s="4" t="str">
        <f>HYPERLINK("http://141.218.60.56/~jnz1568/getInfo.php?workbook=14_13.xlsx&amp;sheet=U0&amp;row=2678&amp;col=7&amp;number=3.57&amp;sourceID=14","3.57")</f>
        <v>3.57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HYPERLINK("http://141.218.60.56/~jnz1568/getInfo.php?workbook=14_13.xlsx&amp;sheet=U0&amp;row=2679&amp;col=6&amp;number=4.5&amp;sourceID=14","4.5")</f>
        <v>4.5</v>
      </c>
      <c r="G2679" s="4" t="str">
        <f>HYPERLINK("http://141.218.60.56/~jnz1568/getInfo.php?workbook=14_13.xlsx&amp;sheet=U0&amp;row=2679&amp;col=7&amp;number=3.56&amp;sourceID=14","3.56")</f>
        <v>3.56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HYPERLINK("http://141.218.60.56/~jnz1568/getInfo.php?workbook=14_13.xlsx&amp;sheet=U0&amp;row=2680&amp;col=6&amp;number=4.6&amp;sourceID=14","4.6")</f>
        <v>4.6</v>
      </c>
      <c r="G2680" s="4" t="str">
        <f>HYPERLINK("http://141.218.60.56/~jnz1568/getInfo.php?workbook=14_13.xlsx&amp;sheet=U0&amp;row=2680&amp;col=7&amp;number=3.53&amp;sourceID=14","3.53")</f>
        <v>3.53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HYPERLINK("http://141.218.60.56/~jnz1568/getInfo.php?workbook=14_13.xlsx&amp;sheet=U0&amp;row=2681&amp;col=6&amp;number=4.7&amp;sourceID=14","4.7")</f>
        <v>4.7</v>
      </c>
      <c r="G2681" s="4" t="str">
        <f>HYPERLINK("http://141.218.60.56/~jnz1568/getInfo.php?workbook=14_13.xlsx&amp;sheet=U0&amp;row=2681&amp;col=7&amp;number=3.48&amp;sourceID=14","3.48")</f>
        <v>3.48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HYPERLINK("http://141.218.60.56/~jnz1568/getInfo.php?workbook=14_13.xlsx&amp;sheet=U0&amp;row=2682&amp;col=6&amp;number=4.8&amp;sourceID=14","4.8")</f>
        <v>4.8</v>
      </c>
      <c r="G2682" s="4" t="str">
        <f>HYPERLINK("http://141.218.60.56/~jnz1568/getInfo.php?workbook=14_13.xlsx&amp;sheet=U0&amp;row=2682&amp;col=7&amp;number=3.41&amp;sourceID=14","3.41")</f>
        <v>3.41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HYPERLINK("http://141.218.60.56/~jnz1568/getInfo.php?workbook=14_13.xlsx&amp;sheet=U0&amp;row=2683&amp;col=6&amp;number=4.9&amp;sourceID=14","4.9")</f>
        <v>4.9</v>
      </c>
      <c r="G2683" s="4" t="str">
        <f>HYPERLINK("http://141.218.60.56/~jnz1568/getInfo.php?workbook=14_13.xlsx&amp;sheet=U0&amp;row=2683&amp;col=7&amp;number=3.32&amp;sourceID=14","3.32")</f>
        <v>3.32</v>
      </c>
    </row>
    <row r="2684" spans="1:7">
      <c r="A2684" s="3">
        <v>14</v>
      </c>
      <c r="B2684" s="3">
        <v>13</v>
      </c>
      <c r="C2684" s="3">
        <v>6</v>
      </c>
      <c r="D2684" s="3">
        <v>11</v>
      </c>
      <c r="E2684" s="3">
        <v>1</v>
      </c>
      <c r="F2684" s="4" t="str">
        <f>HYPERLINK("http://141.218.60.56/~jnz1568/getInfo.php?workbook=14_13.xlsx&amp;sheet=U0&amp;row=2684&amp;col=6&amp;number=3&amp;sourceID=14","3")</f>
        <v>3</v>
      </c>
      <c r="G2684" s="4" t="str">
        <f>HYPERLINK("http://141.218.60.56/~jnz1568/getInfo.php?workbook=14_13.xlsx&amp;sheet=U0&amp;row=2684&amp;col=7&amp;number=2.86&amp;sourceID=14","2.86")</f>
        <v>2.86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HYPERLINK("http://141.218.60.56/~jnz1568/getInfo.php?workbook=14_13.xlsx&amp;sheet=U0&amp;row=2685&amp;col=6&amp;number=3.1&amp;sourceID=14","3.1")</f>
        <v>3.1</v>
      </c>
      <c r="G2685" s="4" t="str">
        <f>HYPERLINK("http://141.218.60.56/~jnz1568/getInfo.php?workbook=14_13.xlsx&amp;sheet=U0&amp;row=2685&amp;col=7&amp;number=2.81&amp;sourceID=14","2.81")</f>
        <v>2.81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HYPERLINK("http://141.218.60.56/~jnz1568/getInfo.php?workbook=14_13.xlsx&amp;sheet=U0&amp;row=2686&amp;col=6&amp;number=3.2&amp;sourceID=14","3.2")</f>
        <v>3.2</v>
      </c>
      <c r="G2686" s="4" t="str">
        <f>HYPERLINK("http://141.218.60.56/~jnz1568/getInfo.php?workbook=14_13.xlsx&amp;sheet=U0&amp;row=2686&amp;col=7&amp;number=2.75&amp;sourceID=14","2.75")</f>
        <v>2.75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HYPERLINK("http://141.218.60.56/~jnz1568/getInfo.php?workbook=14_13.xlsx&amp;sheet=U0&amp;row=2687&amp;col=6&amp;number=3.3&amp;sourceID=14","3.3")</f>
        <v>3.3</v>
      </c>
      <c r="G2687" s="4" t="str">
        <f>HYPERLINK("http://141.218.60.56/~jnz1568/getInfo.php?workbook=14_13.xlsx&amp;sheet=U0&amp;row=2687&amp;col=7&amp;number=2.69&amp;sourceID=14","2.69")</f>
        <v>2.69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HYPERLINK("http://141.218.60.56/~jnz1568/getInfo.php?workbook=14_13.xlsx&amp;sheet=U0&amp;row=2688&amp;col=6&amp;number=3.4&amp;sourceID=14","3.4")</f>
        <v>3.4</v>
      </c>
      <c r="G2688" s="4" t="str">
        <f>HYPERLINK("http://141.218.60.56/~jnz1568/getInfo.php?workbook=14_13.xlsx&amp;sheet=U0&amp;row=2688&amp;col=7&amp;number=2.61&amp;sourceID=14","2.61")</f>
        <v>2.61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HYPERLINK("http://141.218.60.56/~jnz1568/getInfo.php?workbook=14_13.xlsx&amp;sheet=U0&amp;row=2689&amp;col=6&amp;number=3.5&amp;sourceID=14","3.5")</f>
        <v>3.5</v>
      </c>
      <c r="G2689" s="4" t="str">
        <f>HYPERLINK("http://141.218.60.56/~jnz1568/getInfo.php?workbook=14_13.xlsx&amp;sheet=U0&amp;row=2689&amp;col=7&amp;number=2.53&amp;sourceID=14","2.53")</f>
        <v>2.53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HYPERLINK("http://141.218.60.56/~jnz1568/getInfo.php?workbook=14_13.xlsx&amp;sheet=U0&amp;row=2690&amp;col=6&amp;number=3.6&amp;sourceID=14","3.6")</f>
        <v>3.6</v>
      </c>
      <c r="G2690" s="4" t="str">
        <f>HYPERLINK("http://141.218.60.56/~jnz1568/getInfo.php?workbook=14_13.xlsx&amp;sheet=U0&amp;row=2690&amp;col=7&amp;number=2.45&amp;sourceID=14","2.45")</f>
        <v>2.45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HYPERLINK("http://141.218.60.56/~jnz1568/getInfo.php?workbook=14_13.xlsx&amp;sheet=U0&amp;row=2691&amp;col=6&amp;number=3.7&amp;sourceID=14","3.7")</f>
        <v>3.7</v>
      </c>
      <c r="G2691" s="4" t="str">
        <f>HYPERLINK("http://141.218.60.56/~jnz1568/getInfo.php?workbook=14_13.xlsx&amp;sheet=U0&amp;row=2691&amp;col=7&amp;number=2.38&amp;sourceID=14","2.38")</f>
        <v>2.38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HYPERLINK("http://141.218.60.56/~jnz1568/getInfo.php?workbook=14_13.xlsx&amp;sheet=U0&amp;row=2692&amp;col=6&amp;number=3.8&amp;sourceID=14","3.8")</f>
        <v>3.8</v>
      </c>
      <c r="G2692" s="4" t="str">
        <f>HYPERLINK("http://141.218.60.56/~jnz1568/getInfo.php?workbook=14_13.xlsx&amp;sheet=U0&amp;row=2692&amp;col=7&amp;number=2.31&amp;sourceID=14","2.31")</f>
        <v>2.31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HYPERLINK("http://141.218.60.56/~jnz1568/getInfo.php?workbook=14_13.xlsx&amp;sheet=U0&amp;row=2693&amp;col=6&amp;number=3.9&amp;sourceID=14","3.9")</f>
        <v>3.9</v>
      </c>
      <c r="G2693" s="4" t="str">
        <f>HYPERLINK("http://141.218.60.56/~jnz1568/getInfo.php?workbook=14_13.xlsx&amp;sheet=U0&amp;row=2693&amp;col=7&amp;number=2.25&amp;sourceID=14","2.25")</f>
        <v>2.25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HYPERLINK("http://141.218.60.56/~jnz1568/getInfo.php?workbook=14_13.xlsx&amp;sheet=U0&amp;row=2694&amp;col=6&amp;number=4&amp;sourceID=14","4")</f>
        <v>4</v>
      </c>
      <c r="G2694" s="4" t="str">
        <f>HYPERLINK("http://141.218.60.56/~jnz1568/getInfo.php?workbook=14_13.xlsx&amp;sheet=U0&amp;row=2694&amp;col=7&amp;number=2.2&amp;sourceID=14","2.2")</f>
        <v>2.2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HYPERLINK("http://141.218.60.56/~jnz1568/getInfo.php?workbook=14_13.xlsx&amp;sheet=U0&amp;row=2695&amp;col=6&amp;number=4.1&amp;sourceID=14","4.1")</f>
        <v>4.1</v>
      </c>
      <c r="G2695" s="4" t="str">
        <f>HYPERLINK("http://141.218.60.56/~jnz1568/getInfo.php?workbook=14_13.xlsx&amp;sheet=U0&amp;row=2695&amp;col=7&amp;number=2.15&amp;sourceID=14","2.15")</f>
        <v>2.15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HYPERLINK("http://141.218.60.56/~jnz1568/getInfo.php?workbook=14_13.xlsx&amp;sheet=U0&amp;row=2696&amp;col=6&amp;number=4.2&amp;sourceID=14","4.2")</f>
        <v>4.2</v>
      </c>
      <c r="G2696" s="4" t="str">
        <f>HYPERLINK("http://141.218.60.56/~jnz1568/getInfo.php?workbook=14_13.xlsx&amp;sheet=U0&amp;row=2696&amp;col=7&amp;number=2.08&amp;sourceID=14","2.08")</f>
        <v>2.08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HYPERLINK("http://141.218.60.56/~jnz1568/getInfo.php?workbook=14_13.xlsx&amp;sheet=U0&amp;row=2697&amp;col=6&amp;number=4.3&amp;sourceID=14","4.3")</f>
        <v>4.3</v>
      </c>
      <c r="G2697" s="4" t="str">
        <f>HYPERLINK("http://141.218.60.56/~jnz1568/getInfo.php?workbook=14_13.xlsx&amp;sheet=U0&amp;row=2697&amp;col=7&amp;number=2.01&amp;sourceID=14","2.01")</f>
        <v>2.01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HYPERLINK("http://141.218.60.56/~jnz1568/getInfo.php?workbook=14_13.xlsx&amp;sheet=U0&amp;row=2698&amp;col=6&amp;number=4.4&amp;sourceID=14","4.4")</f>
        <v>4.4</v>
      </c>
      <c r="G2698" s="4" t="str">
        <f>HYPERLINK("http://141.218.60.56/~jnz1568/getInfo.php?workbook=14_13.xlsx&amp;sheet=U0&amp;row=2698&amp;col=7&amp;number=1.93&amp;sourceID=14","1.93")</f>
        <v>1.93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HYPERLINK("http://141.218.60.56/~jnz1568/getInfo.php?workbook=14_13.xlsx&amp;sheet=U0&amp;row=2699&amp;col=6&amp;number=4.5&amp;sourceID=14","4.5")</f>
        <v>4.5</v>
      </c>
      <c r="G2699" s="4" t="str">
        <f>HYPERLINK("http://141.218.60.56/~jnz1568/getInfo.php?workbook=14_13.xlsx&amp;sheet=U0&amp;row=2699&amp;col=7&amp;number=1.85&amp;sourceID=14","1.85")</f>
        <v>1.85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HYPERLINK("http://141.218.60.56/~jnz1568/getInfo.php?workbook=14_13.xlsx&amp;sheet=U0&amp;row=2700&amp;col=6&amp;number=4.6&amp;sourceID=14","4.6")</f>
        <v>4.6</v>
      </c>
      <c r="G2700" s="4" t="str">
        <f>HYPERLINK("http://141.218.60.56/~jnz1568/getInfo.php?workbook=14_13.xlsx&amp;sheet=U0&amp;row=2700&amp;col=7&amp;number=1.76&amp;sourceID=14","1.76")</f>
        <v>1.76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HYPERLINK("http://141.218.60.56/~jnz1568/getInfo.php?workbook=14_13.xlsx&amp;sheet=U0&amp;row=2701&amp;col=6&amp;number=4.7&amp;sourceID=14","4.7")</f>
        <v>4.7</v>
      </c>
      <c r="G2701" s="4" t="str">
        <f>HYPERLINK("http://141.218.60.56/~jnz1568/getInfo.php?workbook=14_13.xlsx&amp;sheet=U0&amp;row=2701&amp;col=7&amp;number=1.66&amp;sourceID=14","1.66")</f>
        <v>1.66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HYPERLINK("http://141.218.60.56/~jnz1568/getInfo.php?workbook=14_13.xlsx&amp;sheet=U0&amp;row=2702&amp;col=6&amp;number=4.8&amp;sourceID=14","4.8")</f>
        <v>4.8</v>
      </c>
      <c r="G2702" s="4" t="str">
        <f>HYPERLINK("http://141.218.60.56/~jnz1568/getInfo.php?workbook=14_13.xlsx&amp;sheet=U0&amp;row=2702&amp;col=7&amp;number=1.56&amp;sourceID=14","1.56")</f>
        <v>1.56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HYPERLINK("http://141.218.60.56/~jnz1568/getInfo.php?workbook=14_13.xlsx&amp;sheet=U0&amp;row=2703&amp;col=6&amp;number=4.9&amp;sourceID=14","4.9")</f>
        <v>4.9</v>
      </c>
      <c r="G2703" s="4" t="str">
        <f>HYPERLINK("http://141.218.60.56/~jnz1568/getInfo.php?workbook=14_13.xlsx&amp;sheet=U0&amp;row=2703&amp;col=7&amp;number=1.46&amp;sourceID=14","1.46")</f>
        <v>1.46</v>
      </c>
    </row>
    <row r="2704" spans="1:7">
      <c r="A2704" s="3">
        <v>14</v>
      </c>
      <c r="B2704" s="3">
        <v>13</v>
      </c>
      <c r="C2704" s="3">
        <v>6</v>
      </c>
      <c r="D2704" s="3">
        <v>12</v>
      </c>
      <c r="E2704" s="3">
        <v>1</v>
      </c>
      <c r="F2704" s="4" t="str">
        <f>HYPERLINK("http://141.218.60.56/~jnz1568/getInfo.php?workbook=14_13.xlsx&amp;sheet=U0&amp;row=2704&amp;col=6&amp;number=3&amp;sourceID=14","3")</f>
        <v>3</v>
      </c>
      <c r="G2704" s="4" t="str">
        <f>HYPERLINK("http://141.218.60.56/~jnz1568/getInfo.php?workbook=14_13.xlsx&amp;sheet=U0&amp;row=2704&amp;col=7&amp;number=1.42&amp;sourceID=14","1.42")</f>
        <v>1.42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HYPERLINK("http://141.218.60.56/~jnz1568/getInfo.php?workbook=14_13.xlsx&amp;sheet=U0&amp;row=2705&amp;col=6&amp;number=3.1&amp;sourceID=14","3.1")</f>
        <v>3.1</v>
      </c>
      <c r="G2705" s="4" t="str">
        <f>HYPERLINK("http://141.218.60.56/~jnz1568/getInfo.php?workbook=14_13.xlsx&amp;sheet=U0&amp;row=2705&amp;col=7&amp;number=1.44&amp;sourceID=14","1.44")</f>
        <v>1.44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HYPERLINK("http://141.218.60.56/~jnz1568/getInfo.php?workbook=14_13.xlsx&amp;sheet=U0&amp;row=2706&amp;col=6&amp;number=3.2&amp;sourceID=14","3.2")</f>
        <v>3.2</v>
      </c>
      <c r="G2706" s="4" t="str">
        <f>HYPERLINK("http://141.218.60.56/~jnz1568/getInfo.php?workbook=14_13.xlsx&amp;sheet=U0&amp;row=2706&amp;col=7&amp;number=1.46&amp;sourceID=14","1.46")</f>
        <v>1.46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HYPERLINK("http://141.218.60.56/~jnz1568/getInfo.php?workbook=14_13.xlsx&amp;sheet=U0&amp;row=2707&amp;col=6&amp;number=3.3&amp;sourceID=14","3.3")</f>
        <v>3.3</v>
      </c>
      <c r="G2707" s="4" t="str">
        <f>HYPERLINK("http://141.218.60.56/~jnz1568/getInfo.php?workbook=14_13.xlsx&amp;sheet=U0&amp;row=2707&amp;col=7&amp;number=1.48&amp;sourceID=14","1.48")</f>
        <v>1.48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HYPERLINK("http://141.218.60.56/~jnz1568/getInfo.php?workbook=14_13.xlsx&amp;sheet=U0&amp;row=2708&amp;col=6&amp;number=3.4&amp;sourceID=14","3.4")</f>
        <v>3.4</v>
      </c>
      <c r="G2708" s="4" t="str">
        <f>HYPERLINK("http://141.218.60.56/~jnz1568/getInfo.php?workbook=14_13.xlsx&amp;sheet=U0&amp;row=2708&amp;col=7&amp;number=1.5&amp;sourceID=14","1.5")</f>
        <v>1.5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HYPERLINK("http://141.218.60.56/~jnz1568/getInfo.php?workbook=14_13.xlsx&amp;sheet=U0&amp;row=2709&amp;col=6&amp;number=3.5&amp;sourceID=14","3.5")</f>
        <v>3.5</v>
      </c>
      <c r="G2709" s="4" t="str">
        <f>HYPERLINK("http://141.218.60.56/~jnz1568/getInfo.php?workbook=14_13.xlsx&amp;sheet=U0&amp;row=2709&amp;col=7&amp;number=1.53&amp;sourceID=14","1.53")</f>
        <v>1.53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HYPERLINK("http://141.218.60.56/~jnz1568/getInfo.php?workbook=14_13.xlsx&amp;sheet=U0&amp;row=2710&amp;col=6&amp;number=3.6&amp;sourceID=14","3.6")</f>
        <v>3.6</v>
      </c>
      <c r="G2710" s="4" t="str">
        <f>HYPERLINK("http://141.218.60.56/~jnz1568/getInfo.php?workbook=14_13.xlsx&amp;sheet=U0&amp;row=2710&amp;col=7&amp;number=1.57&amp;sourceID=14","1.57")</f>
        <v>1.57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HYPERLINK("http://141.218.60.56/~jnz1568/getInfo.php?workbook=14_13.xlsx&amp;sheet=U0&amp;row=2711&amp;col=6&amp;number=3.7&amp;sourceID=14","3.7")</f>
        <v>3.7</v>
      </c>
      <c r="G2711" s="4" t="str">
        <f>HYPERLINK("http://141.218.60.56/~jnz1568/getInfo.php?workbook=14_13.xlsx&amp;sheet=U0&amp;row=2711&amp;col=7&amp;number=1.6&amp;sourceID=14","1.6")</f>
        <v>1.6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HYPERLINK("http://141.218.60.56/~jnz1568/getInfo.php?workbook=14_13.xlsx&amp;sheet=U0&amp;row=2712&amp;col=6&amp;number=3.8&amp;sourceID=14","3.8")</f>
        <v>3.8</v>
      </c>
      <c r="G2712" s="4" t="str">
        <f>HYPERLINK("http://141.218.60.56/~jnz1568/getInfo.php?workbook=14_13.xlsx&amp;sheet=U0&amp;row=2712&amp;col=7&amp;number=1.64&amp;sourceID=14","1.64")</f>
        <v>1.64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HYPERLINK("http://141.218.60.56/~jnz1568/getInfo.php?workbook=14_13.xlsx&amp;sheet=U0&amp;row=2713&amp;col=6&amp;number=3.9&amp;sourceID=14","3.9")</f>
        <v>3.9</v>
      </c>
      <c r="G2713" s="4" t="str">
        <f>HYPERLINK("http://141.218.60.56/~jnz1568/getInfo.php?workbook=14_13.xlsx&amp;sheet=U0&amp;row=2713&amp;col=7&amp;number=1.69&amp;sourceID=14","1.69")</f>
        <v>1.69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HYPERLINK("http://141.218.60.56/~jnz1568/getInfo.php?workbook=14_13.xlsx&amp;sheet=U0&amp;row=2714&amp;col=6&amp;number=4&amp;sourceID=14","4")</f>
        <v>4</v>
      </c>
      <c r="G2714" s="4" t="str">
        <f>HYPERLINK("http://141.218.60.56/~jnz1568/getInfo.php?workbook=14_13.xlsx&amp;sheet=U0&amp;row=2714&amp;col=7&amp;number=1.74&amp;sourceID=14","1.74")</f>
        <v>1.74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HYPERLINK("http://141.218.60.56/~jnz1568/getInfo.php?workbook=14_13.xlsx&amp;sheet=U0&amp;row=2715&amp;col=6&amp;number=4.1&amp;sourceID=14","4.1")</f>
        <v>4.1</v>
      </c>
      <c r="G2715" s="4" t="str">
        <f>HYPERLINK("http://141.218.60.56/~jnz1568/getInfo.php?workbook=14_13.xlsx&amp;sheet=U0&amp;row=2715&amp;col=7&amp;number=1.8&amp;sourceID=14","1.8")</f>
        <v>1.8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HYPERLINK("http://141.218.60.56/~jnz1568/getInfo.php?workbook=14_13.xlsx&amp;sheet=U0&amp;row=2716&amp;col=6&amp;number=4.2&amp;sourceID=14","4.2")</f>
        <v>4.2</v>
      </c>
      <c r="G2716" s="4" t="str">
        <f>HYPERLINK("http://141.218.60.56/~jnz1568/getInfo.php?workbook=14_13.xlsx&amp;sheet=U0&amp;row=2716&amp;col=7&amp;number=1.87&amp;sourceID=14","1.87")</f>
        <v>1.87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HYPERLINK("http://141.218.60.56/~jnz1568/getInfo.php?workbook=14_13.xlsx&amp;sheet=U0&amp;row=2717&amp;col=6&amp;number=4.3&amp;sourceID=14","4.3")</f>
        <v>4.3</v>
      </c>
      <c r="G2717" s="4" t="str">
        <f>HYPERLINK("http://141.218.60.56/~jnz1568/getInfo.php?workbook=14_13.xlsx&amp;sheet=U0&amp;row=2717&amp;col=7&amp;number=1.95&amp;sourceID=14","1.95")</f>
        <v>1.95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HYPERLINK("http://141.218.60.56/~jnz1568/getInfo.php?workbook=14_13.xlsx&amp;sheet=U0&amp;row=2718&amp;col=6&amp;number=4.4&amp;sourceID=14","4.4")</f>
        <v>4.4</v>
      </c>
      <c r="G2718" s="4" t="str">
        <f>HYPERLINK("http://141.218.60.56/~jnz1568/getInfo.php?workbook=14_13.xlsx&amp;sheet=U0&amp;row=2718&amp;col=7&amp;number=2.05&amp;sourceID=14","2.05")</f>
        <v>2.05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HYPERLINK("http://141.218.60.56/~jnz1568/getInfo.php?workbook=14_13.xlsx&amp;sheet=U0&amp;row=2719&amp;col=6&amp;number=4.5&amp;sourceID=14","4.5")</f>
        <v>4.5</v>
      </c>
      <c r="G2719" s="4" t="str">
        <f>HYPERLINK("http://141.218.60.56/~jnz1568/getInfo.php?workbook=14_13.xlsx&amp;sheet=U0&amp;row=2719&amp;col=7&amp;number=2.17&amp;sourceID=14","2.17")</f>
        <v>2.17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HYPERLINK("http://141.218.60.56/~jnz1568/getInfo.php?workbook=14_13.xlsx&amp;sheet=U0&amp;row=2720&amp;col=6&amp;number=4.6&amp;sourceID=14","4.6")</f>
        <v>4.6</v>
      </c>
      <c r="G2720" s="4" t="str">
        <f>HYPERLINK("http://141.218.60.56/~jnz1568/getInfo.php?workbook=14_13.xlsx&amp;sheet=U0&amp;row=2720&amp;col=7&amp;number=2.32&amp;sourceID=14","2.32")</f>
        <v>2.32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HYPERLINK("http://141.218.60.56/~jnz1568/getInfo.php?workbook=14_13.xlsx&amp;sheet=U0&amp;row=2721&amp;col=6&amp;number=4.7&amp;sourceID=14","4.7")</f>
        <v>4.7</v>
      </c>
      <c r="G2721" s="4" t="str">
        <f>HYPERLINK("http://141.218.60.56/~jnz1568/getInfo.php?workbook=14_13.xlsx&amp;sheet=U0&amp;row=2721&amp;col=7&amp;number=2.51&amp;sourceID=14","2.51")</f>
        <v>2.51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HYPERLINK("http://141.218.60.56/~jnz1568/getInfo.php?workbook=14_13.xlsx&amp;sheet=U0&amp;row=2722&amp;col=6&amp;number=4.8&amp;sourceID=14","4.8")</f>
        <v>4.8</v>
      </c>
      <c r="G2722" s="4" t="str">
        <f>HYPERLINK("http://141.218.60.56/~jnz1568/getInfo.php?workbook=14_13.xlsx&amp;sheet=U0&amp;row=2722&amp;col=7&amp;number=2.74&amp;sourceID=14","2.74")</f>
        <v>2.74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HYPERLINK("http://141.218.60.56/~jnz1568/getInfo.php?workbook=14_13.xlsx&amp;sheet=U0&amp;row=2723&amp;col=6&amp;number=4.9&amp;sourceID=14","4.9")</f>
        <v>4.9</v>
      </c>
      <c r="G2723" s="4" t="str">
        <f>HYPERLINK("http://141.218.60.56/~jnz1568/getInfo.php?workbook=14_13.xlsx&amp;sheet=U0&amp;row=2723&amp;col=7&amp;number=3.02&amp;sourceID=14","3.02")</f>
        <v>3.02</v>
      </c>
    </row>
    <row r="2724" spans="1:7">
      <c r="A2724" s="3">
        <v>14</v>
      </c>
      <c r="B2724" s="3">
        <v>13</v>
      </c>
      <c r="C2724" s="3">
        <v>6</v>
      </c>
      <c r="D2724" s="3">
        <v>13</v>
      </c>
      <c r="E2724" s="3">
        <v>1</v>
      </c>
      <c r="F2724" s="4" t="str">
        <f>HYPERLINK("http://141.218.60.56/~jnz1568/getInfo.php?workbook=14_13.xlsx&amp;sheet=U0&amp;row=2724&amp;col=6&amp;number=3&amp;sourceID=14","3")</f>
        <v>3</v>
      </c>
      <c r="G2724" s="4" t="str">
        <f>HYPERLINK("http://141.218.60.56/~jnz1568/getInfo.php?workbook=14_13.xlsx&amp;sheet=U0&amp;row=2724&amp;col=7&amp;number=0.949&amp;sourceID=14","0.949")</f>
        <v>0.949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HYPERLINK("http://141.218.60.56/~jnz1568/getInfo.php?workbook=14_13.xlsx&amp;sheet=U0&amp;row=2725&amp;col=6&amp;number=3.1&amp;sourceID=14","3.1")</f>
        <v>3.1</v>
      </c>
      <c r="G2725" s="4" t="str">
        <f>HYPERLINK("http://141.218.60.56/~jnz1568/getInfo.php?workbook=14_13.xlsx&amp;sheet=U0&amp;row=2725&amp;col=7&amp;number=0.948&amp;sourceID=14","0.948")</f>
        <v>0.948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HYPERLINK("http://141.218.60.56/~jnz1568/getInfo.php?workbook=14_13.xlsx&amp;sheet=U0&amp;row=2726&amp;col=6&amp;number=3.2&amp;sourceID=14","3.2")</f>
        <v>3.2</v>
      </c>
      <c r="G2726" s="4" t="str">
        <f>HYPERLINK("http://141.218.60.56/~jnz1568/getInfo.php?workbook=14_13.xlsx&amp;sheet=U0&amp;row=2726&amp;col=7&amp;number=0.948&amp;sourceID=14","0.948")</f>
        <v>0.948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HYPERLINK("http://141.218.60.56/~jnz1568/getInfo.php?workbook=14_13.xlsx&amp;sheet=U0&amp;row=2727&amp;col=6&amp;number=3.3&amp;sourceID=14","3.3")</f>
        <v>3.3</v>
      </c>
      <c r="G2727" s="4" t="str">
        <f>HYPERLINK("http://141.218.60.56/~jnz1568/getInfo.php?workbook=14_13.xlsx&amp;sheet=U0&amp;row=2727&amp;col=7&amp;number=0.947&amp;sourceID=14","0.947")</f>
        <v>0.947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HYPERLINK("http://141.218.60.56/~jnz1568/getInfo.php?workbook=14_13.xlsx&amp;sheet=U0&amp;row=2728&amp;col=6&amp;number=3.4&amp;sourceID=14","3.4")</f>
        <v>3.4</v>
      </c>
      <c r="G2728" s="4" t="str">
        <f>HYPERLINK("http://141.218.60.56/~jnz1568/getInfo.php?workbook=14_13.xlsx&amp;sheet=U0&amp;row=2728&amp;col=7&amp;number=0.947&amp;sourceID=14","0.947")</f>
        <v>0.947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HYPERLINK("http://141.218.60.56/~jnz1568/getInfo.php?workbook=14_13.xlsx&amp;sheet=U0&amp;row=2729&amp;col=6&amp;number=3.5&amp;sourceID=14","3.5")</f>
        <v>3.5</v>
      </c>
      <c r="G2729" s="4" t="str">
        <f>HYPERLINK("http://141.218.60.56/~jnz1568/getInfo.php?workbook=14_13.xlsx&amp;sheet=U0&amp;row=2729&amp;col=7&amp;number=0.948&amp;sourceID=14","0.948")</f>
        <v>0.948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HYPERLINK("http://141.218.60.56/~jnz1568/getInfo.php?workbook=14_13.xlsx&amp;sheet=U0&amp;row=2730&amp;col=6&amp;number=3.6&amp;sourceID=14","3.6")</f>
        <v>3.6</v>
      </c>
      <c r="G2730" s="4" t="str">
        <f>HYPERLINK("http://141.218.60.56/~jnz1568/getInfo.php?workbook=14_13.xlsx&amp;sheet=U0&amp;row=2730&amp;col=7&amp;number=0.951&amp;sourceID=14","0.951")</f>
        <v>0.951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HYPERLINK("http://141.218.60.56/~jnz1568/getInfo.php?workbook=14_13.xlsx&amp;sheet=U0&amp;row=2731&amp;col=6&amp;number=3.7&amp;sourceID=14","3.7")</f>
        <v>3.7</v>
      </c>
      <c r="G2731" s="4" t="str">
        <f>HYPERLINK("http://141.218.60.56/~jnz1568/getInfo.php?workbook=14_13.xlsx&amp;sheet=U0&amp;row=2731&amp;col=7&amp;number=0.956&amp;sourceID=14","0.956")</f>
        <v>0.956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HYPERLINK("http://141.218.60.56/~jnz1568/getInfo.php?workbook=14_13.xlsx&amp;sheet=U0&amp;row=2732&amp;col=6&amp;number=3.8&amp;sourceID=14","3.8")</f>
        <v>3.8</v>
      </c>
      <c r="G2732" s="4" t="str">
        <f>HYPERLINK("http://141.218.60.56/~jnz1568/getInfo.php?workbook=14_13.xlsx&amp;sheet=U0&amp;row=2732&amp;col=7&amp;number=0.964&amp;sourceID=14","0.964")</f>
        <v>0.964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HYPERLINK("http://141.218.60.56/~jnz1568/getInfo.php?workbook=14_13.xlsx&amp;sheet=U0&amp;row=2733&amp;col=6&amp;number=3.9&amp;sourceID=14","3.9")</f>
        <v>3.9</v>
      </c>
      <c r="G2733" s="4" t="str">
        <f>HYPERLINK("http://141.218.60.56/~jnz1568/getInfo.php?workbook=14_13.xlsx&amp;sheet=U0&amp;row=2733&amp;col=7&amp;number=0.972&amp;sourceID=14","0.972")</f>
        <v>0.972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HYPERLINK("http://141.218.60.56/~jnz1568/getInfo.php?workbook=14_13.xlsx&amp;sheet=U0&amp;row=2734&amp;col=6&amp;number=4&amp;sourceID=14","4")</f>
        <v>4</v>
      </c>
      <c r="G2734" s="4" t="str">
        <f>HYPERLINK("http://141.218.60.56/~jnz1568/getInfo.php?workbook=14_13.xlsx&amp;sheet=U0&amp;row=2734&amp;col=7&amp;number=0.979&amp;sourceID=14","0.979")</f>
        <v>0.979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HYPERLINK("http://141.218.60.56/~jnz1568/getInfo.php?workbook=14_13.xlsx&amp;sheet=U0&amp;row=2735&amp;col=6&amp;number=4.1&amp;sourceID=14","4.1")</f>
        <v>4.1</v>
      </c>
      <c r="G2735" s="4" t="str">
        <f>HYPERLINK("http://141.218.60.56/~jnz1568/getInfo.php?workbook=14_13.xlsx&amp;sheet=U0&amp;row=2735&amp;col=7&amp;number=0.984&amp;sourceID=14","0.984")</f>
        <v>0.984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HYPERLINK("http://141.218.60.56/~jnz1568/getInfo.php?workbook=14_13.xlsx&amp;sheet=U0&amp;row=2736&amp;col=6&amp;number=4.2&amp;sourceID=14","4.2")</f>
        <v>4.2</v>
      </c>
      <c r="G2736" s="4" t="str">
        <f>HYPERLINK("http://141.218.60.56/~jnz1568/getInfo.php?workbook=14_13.xlsx&amp;sheet=U0&amp;row=2736&amp;col=7&amp;number=0.986&amp;sourceID=14","0.986")</f>
        <v>0.986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HYPERLINK("http://141.218.60.56/~jnz1568/getInfo.php?workbook=14_13.xlsx&amp;sheet=U0&amp;row=2737&amp;col=6&amp;number=4.3&amp;sourceID=14","4.3")</f>
        <v>4.3</v>
      </c>
      <c r="G2737" s="4" t="str">
        <f>HYPERLINK("http://141.218.60.56/~jnz1568/getInfo.php?workbook=14_13.xlsx&amp;sheet=U0&amp;row=2737&amp;col=7&amp;number=0.988&amp;sourceID=14","0.988")</f>
        <v>0.988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HYPERLINK("http://141.218.60.56/~jnz1568/getInfo.php?workbook=14_13.xlsx&amp;sheet=U0&amp;row=2738&amp;col=6&amp;number=4.4&amp;sourceID=14","4.4")</f>
        <v>4.4</v>
      </c>
      <c r="G2738" s="4" t="str">
        <f>HYPERLINK("http://141.218.60.56/~jnz1568/getInfo.php?workbook=14_13.xlsx&amp;sheet=U0&amp;row=2738&amp;col=7&amp;number=0.991&amp;sourceID=14","0.991")</f>
        <v>0.991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HYPERLINK("http://141.218.60.56/~jnz1568/getInfo.php?workbook=14_13.xlsx&amp;sheet=U0&amp;row=2739&amp;col=6&amp;number=4.5&amp;sourceID=14","4.5")</f>
        <v>4.5</v>
      </c>
      <c r="G2739" s="4" t="str">
        <f>HYPERLINK("http://141.218.60.56/~jnz1568/getInfo.php?workbook=14_13.xlsx&amp;sheet=U0&amp;row=2739&amp;col=7&amp;number=0.998&amp;sourceID=14","0.998")</f>
        <v>0.998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HYPERLINK("http://141.218.60.56/~jnz1568/getInfo.php?workbook=14_13.xlsx&amp;sheet=U0&amp;row=2740&amp;col=6&amp;number=4.6&amp;sourceID=14","4.6")</f>
        <v>4.6</v>
      </c>
      <c r="G2740" s="4" t="str">
        <f>HYPERLINK("http://141.218.60.56/~jnz1568/getInfo.php?workbook=14_13.xlsx&amp;sheet=U0&amp;row=2740&amp;col=7&amp;number=1.01&amp;sourceID=14","1.01")</f>
        <v>1.01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HYPERLINK("http://141.218.60.56/~jnz1568/getInfo.php?workbook=14_13.xlsx&amp;sheet=U0&amp;row=2741&amp;col=6&amp;number=4.7&amp;sourceID=14","4.7")</f>
        <v>4.7</v>
      </c>
      <c r="G2741" s="4" t="str">
        <f>HYPERLINK("http://141.218.60.56/~jnz1568/getInfo.php?workbook=14_13.xlsx&amp;sheet=U0&amp;row=2741&amp;col=7&amp;number=1.03&amp;sourceID=14","1.03")</f>
        <v>1.03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HYPERLINK("http://141.218.60.56/~jnz1568/getInfo.php?workbook=14_13.xlsx&amp;sheet=U0&amp;row=2742&amp;col=6&amp;number=4.8&amp;sourceID=14","4.8")</f>
        <v>4.8</v>
      </c>
      <c r="G2742" s="4" t="str">
        <f>HYPERLINK("http://141.218.60.56/~jnz1568/getInfo.php?workbook=14_13.xlsx&amp;sheet=U0&amp;row=2742&amp;col=7&amp;number=1.07&amp;sourceID=14","1.07")</f>
        <v>1.07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HYPERLINK("http://141.218.60.56/~jnz1568/getInfo.php?workbook=14_13.xlsx&amp;sheet=U0&amp;row=2743&amp;col=6&amp;number=4.9&amp;sourceID=14","4.9")</f>
        <v>4.9</v>
      </c>
      <c r="G2743" s="4" t="str">
        <f>HYPERLINK("http://141.218.60.56/~jnz1568/getInfo.php?workbook=14_13.xlsx&amp;sheet=U0&amp;row=2743&amp;col=7&amp;number=1.11&amp;sourceID=14","1.11")</f>
        <v>1.11</v>
      </c>
    </row>
    <row r="2744" spans="1:7">
      <c r="A2744" s="3">
        <v>14</v>
      </c>
      <c r="B2744" s="3">
        <v>13</v>
      </c>
      <c r="C2744" s="3">
        <v>6</v>
      </c>
      <c r="D2744" s="3">
        <v>14</v>
      </c>
      <c r="E2744" s="3">
        <v>1</v>
      </c>
      <c r="F2744" s="4" t="str">
        <f>HYPERLINK("http://141.218.60.56/~jnz1568/getInfo.php?workbook=14_13.xlsx&amp;sheet=U0&amp;row=2744&amp;col=6&amp;number=3&amp;sourceID=14","3")</f>
        <v>3</v>
      </c>
      <c r="G2744" s="4" t="str">
        <f>HYPERLINK("http://141.218.60.56/~jnz1568/getInfo.php?workbook=14_13.xlsx&amp;sheet=U0&amp;row=2744&amp;col=7&amp;number=0.652&amp;sourceID=14","0.652")</f>
        <v>0.652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HYPERLINK("http://141.218.60.56/~jnz1568/getInfo.php?workbook=14_13.xlsx&amp;sheet=U0&amp;row=2745&amp;col=6&amp;number=3.1&amp;sourceID=14","3.1")</f>
        <v>3.1</v>
      </c>
      <c r="G2745" s="4" t="str">
        <f>HYPERLINK("http://141.218.60.56/~jnz1568/getInfo.php?workbook=14_13.xlsx&amp;sheet=U0&amp;row=2745&amp;col=7&amp;number=0.644&amp;sourceID=14","0.644")</f>
        <v>0.644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HYPERLINK("http://141.218.60.56/~jnz1568/getInfo.php?workbook=14_13.xlsx&amp;sheet=U0&amp;row=2746&amp;col=6&amp;number=3.2&amp;sourceID=14","3.2")</f>
        <v>3.2</v>
      </c>
      <c r="G2746" s="4" t="str">
        <f>HYPERLINK("http://141.218.60.56/~jnz1568/getInfo.php?workbook=14_13.xlsx&amp;sheet=U0&amp;row=2746&amp;col=7&amp;number=0.635&amp;sourceID=14","0.635")</f>
        <v>0.635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HYPERLINK("http://141.218.60.56/~jnz1568/getInfo.php?workbook=14_13.xlsx&amp;sheet=U0&amp;row=2747&amp;col=6&amp;number=3.3&amp;sourceID=14","3.3")</f>
        <v>3.3</v>
      </c>
      <c r="G2747" s="4" t="str">
        <f>HYPERLINK("http://141.218.60.56/~jnz1568/getInfo.php?workbook=14_13.xlsx&amp;sheet=U0&amp;row=2747&amp;col=7&amp;number=0.625&amp;sourceID=14","0.625")</f>
        <v>0.625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HYPERLINK("http://141.218.60.56/~jnz1568/getInfo.php?workbook=14_13.xlsx&amp;sheet=U0&amp;row=2748&amp;col=6&amp;number=3.4&amp;sourceID=14","3.4")</f>
        <v>3.4</v>
      </c>
      <c r="G2748" s="4" t="str">
        <f>HYPERLINK("http://141.218.60.56/~jnz1568/getInfo.php?workbook=14_13.xlsx&amp;sheet=U0&amp;row=2748&amp;col=7&amp;number=0.613&amp;sourceID=14","0.613")</f>
        <v>0.613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HYPERLINK("http://141.218.60.56/~jnz1568/getInfo.php?workbook=14_13.xlsx&amp;sheet=U0&amp;row=2749&amp;col=6&amp;number=3.5&amp;sourceID=14","3.5")</f>
        <v>3.5</v>
      </c>
      <c r="G2749" s="4" t="str">
        <f>HYPERLINK("http://141.218.60.56/~jnz1568/getInfo.php?workbook=14_13.xlsx&amp;sheet=U0&amp;row=2749&amp;col=7&amp;number=0.6&amp;sourceID=14","0.6")</f>
        <v>0.6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HYPERLINK("http://141.218.60.56/~jnz1568/getInfo.php?workbook=14_13.xlsx&amp;sheet=U0&amp;row=2750&amp;col=6&amp;number=3.6&amp;sourceID=14","3.6")</f>
        <v>3.6</v>
      </c>
      <c r="G2750" s="4" t="str">
        <f>HYPERLINK("http://141.218.60.56/~jnz1568/getInfo.php?workbook=14_13.xlsx&amp;sheet=U0&amp;row=2750&amp;col=7&amp;number=0.586&amp;sourceID=14","0.586")</f>
        <v>0.586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HYPERLINK("http://141.218.60.56/~jnz1568/getInfo.php?workbook=14_13.xlsx&amp;sheet=U0&amp;row=2751&amp;col=6&amp;number=3.7&amp;sourceID=14","3.7")</f>
        <v>3.7</v>
      </c>
      <c r="G2751" s="4" t="str">
        <f>HYPERLINK("http://141.218.60.56/~jnz1568/getInfo.php?workbook=14_13.xlsx&amp;sheet=U0&amp;row=2751&amp;col=7&amp;number=0.574&amp;sourceID=14","0.574")</f>
        <v>0.574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HYPERLINK("http://141.218.60.56/~jnz1568/getInfo.php?workbook=14_13.xlsx&amp;sheet=U0&amp;row=2752&amp;col=6&amp;number=3.8&amp;sourceID=14","3.8")</f>
        <v>3.8</v>
      </c>
      <c r="G2752" s="4" t="str">
        <f>HYPERLINK("http://141.218.60.56/~jnz1568/getInfo.php?workbook=14_13.xlsx&amp;sheet=U0&amp;row=2752&amp;col=7&amp;number=0.563&amp;sourceID=14","0.563")</f>
        <v>0.563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HYPERLINK("http://141.218.60.56/~jnz1568/getInfo.php?workbook=14_13.xlsx&amp;sheet=U0&amp;row=2753&amp;col=6&amp;number=3.9&amp;sourceID=14","3.9")</f>
        <v>3.9</v>
      </c>
      <c r="G2753" s="4" t="str">
        <f>HYPERLINK("http://141.218.60.56/~jnz1568/getInfo.php?workbook=14_13.xlsx&amp;sheet=U0&amp;row=2753&amp;col=7&amp;number=0.553&amp;sourceID=14","0.553")</f>
        <v>0.553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HYPERLINK("http://141.218.60.56/~jnz1568/getInfo.php?workbook=14_13.xlsx&amp;sheet=U0&amp;row=2754&amp;col=6&amp;number=4&amp;sourceID=14","4")</f>
        <v>4</v>
      </c>
      <c r="G2754" s="4" t="str">
        <f>HYPERLINK("http://141.218.60.56/~jnz1568/getInfo.php?workbook=14_13.xlsx&amp;sheet=U0&amp;row=2754&amp;col=7&amp;number=0.544&amp;sourceID=14","0.544")</f>
        <v>0.544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HYPERLINK("http://141.218.60.56/~jnz1568/getInfo.php?workbook=14_13.xlsx&amp;sheet=U0&amp;row=2755&amp;col=6&amp;number=4.1&amp;sourceID=14","4.1")</f>
        <v>4.1</v>
      </c>
      <c r="G2755" s="4" t="str">
        <f>HYPERLINK("http://141.218.60.56/~jnz1568/getInfo.php?workbook=14_13.xlsx&amp;sheet=U0&amp;row=2755&amp;col=7&amp;number=0.534&amp;sourceID=14","0.534")</f>
        <v>0.534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HYPERLINK("http://141.218.60.56/~jnz1568/getInfo.php?workbook=14_13.xlsx&amp;sheet=U0&amp;row=2756&amp;col=6&amp;number=4.2&amp;sourceID=14","4.2")</f>
        <v>4.2</v>
      </c>
      <c r="G2756" s="4" t="str">
        <f>HYPERLINK("http://141.218.60.56/~jnz1568/getInfo.php?workbook=14_13.xlsx&amp;sheet=U0&amp;row=2756&amp;col=7&amp;number=0.524&amp;sourceID=14","0.524")</f>
        <v>0.524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HYPERLINK("http://141.218.60.56/~jnz1568/getInfo.php?workbook=14_13.xlsx&amp;sheet=U0&amp;row=2757&amp;col=6&amp;number=4.3&amp;sourceID=14","4.3")</f>
        <v>4.3</v>
      </c>
      <c r="G2757" s="4" t="str">
        <f>HYPERLINK("http://141.218.60.56/~jnz1568/getInfo.php?workbook=14_13.xlsx&amp;sheet=U0&amp;row=2757&amp;col=7&amp;number=0.512&amp;sourceID=14","0.512")</f>
        <v>0.512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HYPERLINK("http://141.218.60.56/~jnz1568/getInfo.php?workbook=14_13.xlsx&amp;sheet=U0&amp;row=2758&amp;col=6&amp;number=4.4&amp;sourceID=14","4.4")</f>
        <v>4.4</v>
      </c>
      <c r="G2758" s="4" t="str">
        <f>HYPERLINK("http://141.218.60.56/~jnz1568/getInfo.php?workbook=14_13.xlsx&amp;sheet=U0&amp;row=2758&amp;col=7&amp;number=0.5&amp;sourceID=14","0.5")</f>
        <v>0.5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HYPERLINK("http://141.218.60.56/~jnz1568/getInfo.php?workbook=14_13.xlsx&amp;sheet=U0&amp;row=2759&amp;col=6&amp;number=4.5&amp;sourceID=14","4.5")</f>
        <v>4.5</v>
      </c>
      <c r="G2759" s="4" t="str">
        <f>HYPERLINK("http://141.218.60.56/~jnz1568/getInfo.php?workbook=14_13.xlsx&amp;sheet=U0&amp;row=2759&amp;col=7&amp;number=0.487&amp;sourceID=14","0.487")</f>
        <v>0.487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HYPERLINK("http://141.218.60.56/~jnz1568/getInfo.php?workbook=14_13.xlsx&amp;sheet=U0&amp;row=2760&amp;col=6&amp;number=4.6&amp;sourceID=14","4.6")</f>
        <v>4.6</v>
      </c>
      <c r="G2760" s="4" t="str">
        <f>HYPERLINK("http://141.218.60.56/~jnz1568/getInfo.php?workbook=14_13.xlsx&amp;sheet=U0&amp;row=2760&amp;col=7&amp;number=0.473&amp;sourceID=14","0.473")</f>
        <v>0.473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HYPERLINK("http://141.218.60.56/~jnz1568/getInfo.php?workbook=14_13.xlsx&amp;sheet=U0&amp;row=2761&amp;col=6&amp;number=4.7&amp;sourceID=14","4.7")</f>
        <v>4.7</v>
      </c>
      <c r="G2761" s="4" t="str">
        <f>HYPERLINK("http://141.218.60.56/~jnz1568/getInfo.php?workbook=14_13.xlsx&amp;sheet=U0&amp;row=2761&amp;col=7&amp;number=0.457&amp;sourceID=14","0.457")</f>
        <v>0.457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HYPERLINK("http://141.218.60.56/~jnz1568/getInfo.php?workbook=14_13.xlsx&amp;sheet=U0&amp;row=2762&amp;col=6&amp;number=4.8&amp;sourceID=14","4.8")</f>
        <v>4.8</v>
      </c>
      <c r="G2762" s="4" t="str">
        <f>HYPERLINK("http://141.218.60.56/~jnz1568/getInfo.php?workbook=14_13.xlsx&amp;sheet=U0&amp;row=2762&amp;col=7&amp;number=0.438&amp;sourceID=14","0.438")</f>
        <v>0.438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HYPERLINK("http://141.218.60.56/~jnz1568/getInfo.php?workbook=14_13.xlsx&amp;sheet=U0&amp;row=2763&amp;col=6&amp;number=4.9&amp;sourceID=14","4.9")</f>
        <v>4.9</v>
      </c>
      <c r="G2763" s="4" t="str">
        <f>HYPERLINK("http://141.218.60.56/~jnz1568/getInfo.php?workbook=14_13.xlsx&amp;sheet=U0&amp;row=2763&amp;col=7&amp;number=0.416&amp;sourceID=14","0.416")</f>
        <v>0.416</v>
      </c>
    </row>
    <row r="2764" spans="1:7">
      <c r="A2764" s="3">
        <v>14</v>
      </c>
      <c r="B2764" s="3">
        <v>13</v>
      </c>
      <c r="C2764" s="3">
        <v>6</v>
      </c>
      <c r="D2764" s="3">
        <v>15</v>
      </c>
      <c r="E2764" s="3">
        <v>1</v>
      </c>
      <c r="F2764" s="4" t="str">
        <f>HYPERLINK("http://141.218.60.56/~jnz1568/getInfo.php?workbook=14_13.xlsx&amp;sheet=U0&amp;row=2764&amp;col=6&amp;number=3&amp;sourceID=14","3")</f>
        <v>3</v>
      </c>
      <c r="G2764" s="4" t="str">
        <f>HYPERLINK("http://141.218.60.56/~jnz1568/getInfo.php?workbook=14_13.xlsx&amp;sheet=U0&amp;row=2764&amp;col=7&amp;number=1.36&amp;sourceID=14","1.36")</f>
        <v>1.36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HYPERLINK("http://141.218.60.56/~jnz1568/getInfo.php?workbook=14_13.xlsx&amp;sheet=U0&amp;row=2765&amp;col=6&amp;number=3.1&amp;sourceID=14","3.1")</f>
        <v>3.1</v>
      </c>
      <c r="G2765" s="4" t="str">
        <f>HYPERLINK("http://141.218.60.56/~jnz1568/getInfo.php?workbook=14_13.xlsx&amp;sheet=U0&amp;row=2765&amp;col=7&amp;number=1.35&amp;sourceID=14","1.35")</f>
        <v>1.35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HYPERLINK("http://141.218.60.56/~jnz1568/getInfo.php?workbook=14_13.xlsx&amp;sheet=U0&amp;row=2766&amp;col=6&amp;number=3.2&amp;sourceID=14","3.2")</f>
        <v>3.2</v>
      </c>
      <c r="G2766" s="4" t="str">
        <f>HYPERLINK("http://141.218.60.56/~jnz1568/getInfo.php?workbook=14_13.xlsx&amp;sheet=U0&amp;row=2766&amp;col=7&amp;number=1.35&amp;sourceID=14","1.35")</f>
        <v>1.35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HYPERLINK("http://141.218.60.56/~jnz1568/getInfo.php?workbook=14_13.xlsx&amp;sheet=U0&amp;row=2767&amp;col=6&amp;number=3.3&amp;sourceID=14","3.3")</f>
        <v>3.3</v>
      </c>
      <c r="G2767" s="4" t="str">
        <f>HYPERLINK("http://141.218.60.56/~jnz1568/getInfo.php?workbook=14_13.xlsx&amp;sheet=U0&amp;row=2767&amp;col=7&amp;number=1.35&amp;sourceID=14","1.35")</f>
        <v>1.35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HYPERLINK("http://141.218.60.56/~jnz1568/getInfo.php?workbook=14_13.xlsx&amp;sheet=U0&amp;row=2768&amp;col=6&amp;number=3.4&amp;sourceID=14","3.4")</f>
        <v>3.4</v>
      </c>
      <c r="G2768" s="4" t="str">
        <f>HYPERLINK("http://141.218.60.56/~jnz1568/getInfo.php?workbook=14_13.xlsx&amp;sheet=U0&amp;row=2768&amp;col=7&amp;number=1.35&amp;sourceID=14","1.35")</f>
        <v>1.35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HYPERLINK("http://141.218.60.56/~jnz1568/getInfo.php?workbook=14_13.xlsx&amp;sheet=U0&amp;row=2769&amp;col=6&amp;number=3.5&amp;sourceID=14","3.5")</f>
        <v>3.5</v>
      </c>
      <c r="G2769" s="4" t="str">
        <f>HYPERLINK("http://141.218.60.56/~jnz1568/getInfo.php?workbook=14_13.xlsx&amp;sheet=U0&amp;row=2769&amp;col=7&amp;number=1.35&amp;sourceID=14","1.35")</f>
        <v>1.35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HYPERLINK("http://141.218.60.56/~jnz1568/getInfo.php?workbook=14_13.xlsx&amp;sheet=U0&amp;row=2770&amp;col=6&amp;number=3.6&amp;sourceID=14","3.6")</f>
        <v>3.6</v>
      </c>
      <c r="G2770" s="4" t="str">
        <f>HYPERLINK("http://141.218.60.56/~jnz1568/getInfo.php?workbook=14_13.xlsx&amp;sheet=U0&amp;row=2770&amp;col=7&amp;number=1.34&amp;sourceID=14","1.34")</f>
        <v>1.34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HYPERLINK("http://141.218.60.56/~jnz1568/getInfo.php?workbook=14_13.xlsx&amp;sheet=U0&amp;row=2771&amp;col=6&amp;number=3.7&amp;sourceID=14","3.7")</f>
        <v>3.7</v>
      </c>
      <c r="G2771" s="4" t="str">
        <f>HYPERLINK("http://141.218.60.56/~jnz1568/getInfo.php?workbook=14_13.xlsx&amp;sheet=U0&amp;row=2771&amp;col=7&amp;number=1.34&amp;sourceID=14","1.34")</f>
        <v>1.34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HYPERLINK("http://141.218.60.56/~jnz1568/getInfo.php?workbook=14_13.xlsx&amp;sheet=U0&amp;row=2772&amp;col=6&amp;number=3.8&amp;sourceID=14","3.8")</f>
        <v>3.8</v>
      </c>
      <c r="G2772" s="4" t="str">
        <f>HYPERLINK("http://141.218.60.56/~jnz1568/getInfo.php?workbook=14_13.xlsx&amp;sheet=U0&amp;row=2772&amp;col=7&amp;number=1.33&amp;sourceID=14","1.33")</f>
        <v>1.33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HYPERLINK("http://141.218.60.56/~jnz1568/getInfo.php?workbook=14_13.xlsx&amp;sheet=U0&amp;row=2773&amp;col=6&amp;number=3.9&amp;sourceID=14","3.9")</f>
        <v>3.9</v>
      </c>
      <c r="G2773" s="4" t="str">
        <f>HYPERLINK("http://141.218.60.56/~jnz1568/getInfo.php?workbook=14_13.xlsx&amp;sheet=U0&amp;row=2773&amp;col=7&amp;number=1.32&amp;sourceID=14","1.32")</f>
        <v>1.32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HYPERLINK("http://141.218.60.56/~jnz1568/getInfo.php?workbook=14_13.xlsx&amp;sheet=U0&amp;row=2774&amp;col=6&amp;number=4&amp;sourceID=14","4")</f>
        <v>4</v>
      </c>
      <c r="G2774" s="4" t="str">
        <f>HYPERLINK("http://141.218.60.56/~jnz1568/getInfo.php?workbook=14_13.xlsx&amp;sheet=U0&amp;row=2774&amp;col=7&amp;number=1.3&amp;sourceID=14","1.3")</f>
        <v>1.3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HYPERLINK("http://141.218.60.56/~jnz1568/getInfo.php?workbook=14_13.xlsx&amp;sheet=U0&amp;row=2775&amp;col=6&amp;number=4.1&amp;sourceID=14","4.1")</f>
        <v>4.1</v>
      </c>
      <c r="G2775" s="4" t="str">
        <f>HYPERLINK("http://141.218.60.56/~jnz1568/getInfo.php?workbook=14_13.xlsx&amp;sheet=U0&amp;row=2775&amp;col=7&amp;number=1.28&amp;sourceID=14","1.28")</f>
        <v>1.28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HYPERLINK("http://141.218.60.56/~jnz1568/getInfo.php?workbook=14_13.xlsx&amp;sheet=U0&amp;row=2776&amp;col=6&amp;number=4.2&amp;sourceID=14","4.2")</f>
        <v>4.2</v>
      </c>
      <c r="G2776" s="4" t="str">
        <f>HYPERLINK("http://141.218.60.56/~jnz1568/getInfo.php?workbook=14_13.xlsx&amp;sheet=U0&amp;row=2776&amp;col=7&amp;number=1.26&amp;sourceID=14","1.26")</f>
        <v>1.26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HYPERLINK("http://141.218.60.56/~jnz1568/getInfo.php?workbook=14_13.xlsx&amp;sheet=U0&amp;row=2777&amp;col=6&amp;number=4.3&amp;sourceID=14","4.3")</f>
        <v>4.3</v>
      </c>
      <c r="G2777" s="4" t="str">
        <f>HYPERLINK("http://141.218.60.56/~jnz1568/getInfo.php?workbook=14_13.xlsx&amp;sheet=U0&amp;row=2777&amp;col=7&amp;number=1.23&amp;sourceID=14","1.23")</f>
        <v>1.23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HYPERLINK("http://141.218.60.56/~jnz1568/getInfo.php?workbook=14_13.xlsx&amp;sheet=U0&amp;row=2778&amp;col=6&amp;number=4.4&amp;sourceID=14","4.4")</f>
        <v>4.4</v>
      </c>
      <c r="G2778" s="4" t="str">
        <f>HYPERLINK("http://141.218.60.56/~jnz1568/getInfo.php?workbook=14_13.xlsx&amp;sheet=U0&amp;row=2778&amp;col=7&amp;number=1.2&amp;sourceID=14","1.2")</f>
        <v>1.2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HYPERLINK("http://141.218.60.56/~jnz1568/getInfo.php?workbook=14_13.xlsx&amp;sheet=U0&amp;row=2779&amp;col=6&amp;number=4.5&amp;sourceID=14","4.5")</f>
        <v>4.5</v>
      </c>
      <c r="G2779" s="4" t="str">
        <f>HYPERLINK("http://141.218.60.56/~jnz1568/getInfo.php?workbook=14_13.xlsx&amp;sheet=U0&amp;row=2779&amp;col=7&amp;number=1.16&amp;sourceID=14","1.16")</f>
        <v>1.16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HYPERLINK("http://141.218.60.56/~jnz1568/getInfo.php?workbook=14_13.xlsx&amp;sheet=U0&amp;row=2780&amp;col=6&amp;number=4.6&amp;sourceID=14","4.6")</f>
        <v>4.6</v>
      </c>
      <c r="G2780" s="4" t="str">
        <f>HYPERLINK("http://141.218.60.56/~jnz1568/getInfo.php?workbook=14_13.xlsx&amp;sheet=U0&amp;row=2780&amp;col=7&amp;number=1.11&amp;sourceID=14","1.11")</f>
        <v>1.11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HYPERLINK("http://141.218.60.56/~jnz1568/getInfo.php?workbook=14_13.xlsx&amp;sheet=U0&amp;row=2781&amp;col=6&amp;number=4.7&amp;sourceID=14","4.7")</f>
        <v>4.7</v>
      </c>
      <c r="G2781" s="4" t="str">
        <f>HYPERLINK("http://141.218.60.56/~jnz1568/getInfo.php?workbook=14_13.xlsx&amp;sheet=U0&amp;row=2781&amp;col=7&amp;number=1.06&amp;sourceID=14","1.06")</f>
        <v>1.06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HYPERLINK("http://141.218.60.56/~jnz1568/getInfo.php?workbook=14_13.xlsx&amp;sheet=U0&amp;row=2782&amp;col=6&amp;number=4.8&amp;sourceID=14","4.8")</f>
        <v>4.8</v>
      </c>
      <c r="G2782" s="4" t="str">
        <f>HYPERLINK("http://141.218.60.56/~jnz1568/getInfo.php?workbook=14_13.xlsx&amp;sheet=U0&amp;row=2782&amp;col=7&amp;number=1.01&amp;sourceID=14","1.01")</f>
        <v>1.01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HYPERLINK("http://141.218.60.56/~jnz1568/getInfo.php?workbook=14_13.xlsx&amp;sheet=U0&amp;row=2783&amp;col=6&amp;number=4.9&amp;sourceID=14","4.9")</f>
        <v>4.9</v>
      </c>
      <c r="G2783" s="4" t="str">
        <f>HYPERLINK("http://141.218.60.56/~jnz1568/getInfo.php?workbook=14_13.xlsx&amp;sheet=U0&amp;row=2783&amp;col=7&amp;number=0.954&amp;sourceID=14","0.954")</f>
        <v>0.954</v>
      </c>
    </row>
    <row r="2784" spans="1:7">
      <c r="A2784" s="3">
        <v>14</v>
      </c>
      <c r="B2784" s="3">
        <v>13</v>
      </c>
      <c r="C2784" s="3">
        <v>6</v>
      </c>
      <c r="D2784" s="3">
        <v>16</v>
      </c>
      <c r="E2784" s="3">
        <v>1</v>
      </c>
      <c r="F2784" s="4" t="str">
        <f>HYPERLINK("http://141.218.60.56/~jnz1568/getInfo.php?workbook=14_13.xlsx&amp;sheet=U0&amp;row=2784&amp;col=6&amp;number=3&amp;sourceID=14","3")</f>
        <v>3</v>
      </c>
      <c r="G2784" s="4" t="str">
        <f>HYPERLINK("http://141.218.60.56/~jnz1568/getInfo.php?workbook=14_13.xlsx&amp;sheet=U0&amp;row=2784&amp;col=7&amp;number=0.447&amp;sourceID=14","0.447")</f>
        <v>0.447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HYPERLINK("http://141.218.60.56/~jnz1568/getInfo.php?workbook=14_13.xlsx&amp;sheet=U0&amp;row=2785&amp;col=6&amp;number=3.1&amp;sourceID=14","3.1")</f>
        <v>3.1</v>
      </c>
      <c r="G2785" s="4" t="str">
        <f>HYPERLINK("http://141.218.60.56/~jnz1568/getInfo.php?workbook=14_13.xlsx&amp;sheet=U0&amp;row=2785&amp;col=7&amp;number=0.44&amp;sourceID=14","0.44")</f>
        <v>0.44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HYPERLINK("http://141.218.60.56/~jnz1568/getInfo.php?workbook=14_13.xlsx&amp;sheet=U0&amp;row=2786&amp;col=6&amp;number=3.2&amp;sourceID=14","3.2")</f>
        <v>3.2</v>
      </c>
      <c r="G2786" s="4" t="str">
        <f>HYPERLINK("http://141.218.60.56/~jnz1568/getInfo.php?workbook=14_13.xlsx&amp;sheet=U0&amp;row=2786&amp;col=7&amp;number=0.432&amp;sourceID=14","0.432")</f>
        <v>0.432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HYPERLINK("http://141.218.60.56/~jnz1568/getInfo.php?workbook=14_13.xlsx&amp;sheet=U0&amp;row=2787&amp;col=6&amp;number=3.3&amp;sourceID=14","3.3")</f>
        <v>3.3</v>
      </c>
      <c r="G2787" s="4" t="str">
        <f>HYPERLINK("http://141.218.60.56/~jnz1568/getInfo.php?workbook=14_13.xlsx&amp;sheet=U0&amp;row=2787&amp;col=7&amp;number=0.422&amp;sourceID=14","0.422")</f>
        <v>0.422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HYPERLINK("http://141.218.60.56/~jnz1568/getInfo.php?workbook=14_13.xlsx&amp;sheet=U0&amp;row=2788&amp;col=6&amp;number=3.4&amp;sourceID=14","3.4")</f>
        <v>3.4</v>
      </c>
      <c r="G2788" s="4" t="str">
        <f>HYPERLINK("http://141.218.60.56/~jnz1568/getInfo.php?workbook=14_13.xlsx&amp;sheet=U0&amp;row=2788&amp;col=7&amp;number=0.41&amp;sourceID=14","0.41")</f>
        <v>0.41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HYPERLINK("http://141.218.60.56/~jnz1568/getInfo.php?workbook=14_13.xlsx&amp;sheet=U0&amp;row=2789&amp;col=6&amp;number=3.5&amp;sourceID=14","3.5")</f>
        <v>3.5</v>
      </c>
      <c r="G2789" s="4" t="str">
        <f>HYPERLINK("http://141.218.60.56/~jnz1568/getInfo.php?workbook=14_13.xlsx&amp;sheet=U0&amp;row=2789&amp;col=7&amp;number=0.396&amp;sourceID=14","0.396")</f>
        <v>0.396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HYPERLINK("http://141.218.60.56/~jnz1568/getInfo.php?workbook=14_13.xlsx&amp;sheet=U0&amp;row=2790&amp;col=6&amp;number=3.6&amp;sourceID=14","3.6")</f>
        <v>3.6</v>
      </c>
      <c r="G2790" s="4" t="str">
        <f>HYPERLINK("http://141.218.60.56/~jnz1568/getInfo.php?workbook=14_13.xlsx&amp;sheet=U0&amp;row=2790&amp;col=7&amp;number=0.38&amp;sourceID=14","0.38")</f>
        <v>0.38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HYPERLINK("http://141.218.60.56/~jnz1568/getInfo.php?workbook=14_13.xlsx&amp;sheet=U0&amp;row=2791&amp;col=6&amp;number=3.7&amp;sourceID=14","3.7")</f>
        <v>3.7</v>
      </c>
      <c r="G2791" s="4" t="str">
        <f>HYPERLINK("http://141.218.60.56/~jnz1568/getInfo.php?workbook=14_13.xlsx&amp;sheet=U0&amp;row=2791&amp;col=7&amp;number=0.362&amp;sourceID=14","0.362")</f>
        <v>0.362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HYPERLINK("http://141.218.60.56/~jnz1568/getInfo.php?workbook=14_13.xlsx&amp;sheet=U0&amp;row=2792&amp;col=6&amp;number=3.8&amp;sourceID=14","3.8")</f>
        <v>3.8</v>
      </c>
      <c r="G2792" s="4" t="str">
        <f>HYPERLINK("http://141.218.60.56/~jnz1568/getInfo.php?workbook=14_13.xlsx&amp;sheet=U0&amp;row=2792&amp;col=7&amp;number=0.343&amp;sourceID=14","0.343")</f>
        <v>0.343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HYPERLINK("http://141.218.60.56/~jnz1568/getInfo.php?workbook=14_13.xlsx&amp;sheet=U0&amp;row=2793&amp;col=6&amp;number=3.9&amp;sourceID=14","3.9")</f>
        <v>3.9</v>
      </c>
      <c r="G2793" s="4" t="str">
        <f>HYPERLINK("http://141.218.60.56/~jnz1568/getInfo.php?workbook=14_13.xlsx&amp;sheet=U0&amp;row=2793&amp;col=7&amp;number=0.324&amp;sourceID=14","0.324")</f>
        <v>0.324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HYPERLINK("http://141.218.60.56/~jnz1568/getInfo.php?workbook=14_13.xlsx&amp;sheet=U0&amp;row=2794&amp;col=6&amp;number=4&amp;sourceID=14","4")</f>
        <v>4</v>
      </c>
      <c r="G2794" s="4" t="str">
        <f>HYPERLINK("http://141.218.60.56/~jnz1568/getInfo.php?workbook=14_13.xlsx&amp;sheet=U0&amp;row=2794&amp;col=7&amp;number=0.305&amp;sourceID=14","0.305")</f>
        <v>0.305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HYPERLINK("http://141.218.60.56/~jnz1568/getInfo.php?workbook=14_13.xlsx&amp;sheet=U0&amp;row=2795&amp;col=6&amp;number=4.1&amp;sourceID=14","4.1")</f>
        <v>4.1</v>
      </c>
      <c r="G2795" s="4" t="str">
        <f>HYPERLINK("http://141.218.60.56/~jnz1568/getInfo.php?workbook=14_13.xlsx&amp;sheet=U0&amp;row=2795&amp;col=7&amp;number=0.288&amp;sourceID=14","0.288")</f>
        <v>0.288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HYPERLINK("http://141.218.60.56/~jnz1568/getInfo.php?workbook=14_13.xlsx&amp;sheet=U0&amp;row=2796&amp;col=6&amp;number=4.2&amp;sourceID=14","4.2")</f>
        <v>4.2</v>
      </c>
      <c r="G2796" s="4" t="str">
        <f>HYPERLINK("http://141.218.60.56/~jnz1568/getInfo.php?workbook=14_13.xlsx&amp;sheet=U0&amp;row=2796&amp;col=7&amp;number=0.273&amp;sourceID=14","0.273")</f>
        <v>0.273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HYPERLINK("http://141.218.60.56/~jnz1568/getInfo.php?workbook=14_13.xlsx&amp;sheet=U0&amp;row=2797&amp;col=6&amp;number=4.3&amp;sourceID=14","4.3")</f>
        <v>4.3</v>
      </c>
      <c r="G2797" s="4" t="str">
        <f>HYPERLINK("http://141.218.60.56/~jnz1568/getInfo.php?workbook=14_13.xlsx&amp;sheet=U0&amp;row=2797&amp;col=7&amp;number=0.26&amp;sourceID=14","0.26")</f>
        <v>0.26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HYPERLINK("http://141.218.60.56/~jnz1568/getInfo.php?workbook=14_13.xlsx&amp;sheet=U0&amp;row=2798&amp;col=6&amp;number=4.4&amp;sourceID=14","4.4")</f>
        <v>4.4</v>
      </c>
      <c r="G2798" s="4" t="str">
        <f>HYPERLINK("http://141.218.60.56/~jnz1568/getInfo.php?workbook=14_13.xlsx&amp;sheet=U0&amp;row=2798&amp;col=7&amp;number=0.251&amp;sourceID=14","0.251")</f>
        <v>0.251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HYPERLINK("http://141.218.60.56/~jnz1568/getInfo.php?workbook=14_13.xlsx&amp;sheet=U0&amp;row=2799&amp;col=6&amp;number=4.5&amp;sourceID=14","4.5")</f>
        <v>4.5</v>
      </c>
      <c r="G2799" s="4" t="str">
        <f>HYPERLINK("http://141.218.60.56/~jnz1568/getInfo.php?workbook=14_13.xlsx&amp;sheet=U0&amp;row=2799&amp;col=7&amp;number=0.243&amp;sourceID=14","0.243")</f>
        <v>0.243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HYPERLINK("http://141.218.60.56/~jnz1568/getInfo.php?workbook=14_13.xlsx&amp;sheet=U0&amp;row=2800&amp;col=6&amp;number=4.6&amp;sourceID=14","4.6")</f>
        <v>4.6</v>
      </c>
      <c r="G2800" s="4" t="str">
        <f>HYPERLINK("http://141.218.60.56/~jnz1568/getInfo.php?workbook=14_13.xlsx&amp;sheet=U0&amp;row=2800&amp;col=7&amp;number=0.236&amp;sourceID=14","0.236")</f>
        <v>0.236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HYPERLINK("http://141.218.60.56/~jnz1568/getInfo.php?workbook=14_13.xlsx&amp;sheet=U0&amp;row=2801&amp;col=6&amp;number=4.7&amp;sourceID=14","4.7")</f>
        <v>4.7</v>
      </c>
      <c r="G2801" s="4" t="str">
        <f>HYPERLINK("http://141.218.60.56/~jnz1568/getInfo.php?workbook=14_13.xlsx&amp;sheet=U0&amp;row=2801&amp;col=7&amp;number=0.231&amp;sourceID=14","0.231")</f>
        <v>0.231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HYPERLINK("http://141.218.60.56/~jnz1568/getInfo.php?workbook=14_13.xlsx&amp;sheet=U0&amp;row=2802&amp;col=6&amp;number=4.8&amp;sourceID=14","4.8")</f>
        <v>4.8</v>
      </c>
      <c r="G2802" s="4" t="str">
        <f>HYPERLINK("http://141.218.60.56/~jnz1568/getInfo.php?workbook=14_13.xlsx&amp;sheet=U0&amp;row=2802&amp;col=7&amp;number=0.225&amp;sourceID=14","0.225")</f>
        <v>0.225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HYPERLINK("http://141.218.60.56/~jnz1568/getInfo.php?workbook=14_13.xlsx&amp;sheet=U0&amp;row=2803&amp;col=6&amp;number=4.9&amp;sourceID=14","4.9")</f>
        <v>4.9</v>
      </c>
      <c r="G2803" s="4" t="str">
        <f>HYPERLINK("http://141.218.60.56/~jnz1568/getInfo.php?workbook=14_13.xlsx&amp;sheet=U0&amp;row=2803&amp;col=7&amp;number=0.218&amp;sourceID=14","0.218")</f>
        <v>0.218</v>
      </c>
    </row>
    <row r="2804" spans="1:7">
      <c r="A2804" s="3">
        <v>14</v>
      </c>
      <c r="B2804" s="3">
        <v>13</v>
      </c>
      <c r="C2804" s="3">
        <v>6</v>
      </c>
      <c r="D2804" s="3">
        <v>17</v>
      </c>
      <c r="E2804" s="3">
        <v>1</v>
      </c>
      <c r="F2804" s="4" t="str">
        <f>HYPERLINK("http://141.218.60.56/~jnz1568/getInfo.php?workbook=14_13.xlsx&amp;sheet=U0&amp;row=2804&amp;col=6&amp;number=3&amp;sourceID=14","3")</f>
        <v>3</v>
      </c>
      <c r="G2804" s="4" t="str">
        <f>HYPERLINK("http://141.218.60.56/~jnz1568/getInfo.php?workbook=14_13.xlsx&amp;sheet=U0&amp;row=2804&amp;col=7&amp;number=0.879&amp;sourceID=14","0.879")</f>
        <v>0.879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HYPERLINK("http://141.218.60.56/~jnz1568/getInfo.php?workbook=14_13.xlsx&amp;sheet=U0&amp;row=2805&amp;col=6&amp;number=3.1&amp;sourceID=14","3.1")</f>
        <v>3.1</v>
      </c>
      <c r="G2805" s="4" t="str">
        <f>HYPERLINK("http://141.218.60.56/~jnz1568/getInfo.php?workbook=14_13.xlsx&amp;sheet=U0&amp;row=2805&amp;col=7&amp;number=0.873&amp;sourceID=14","0.873")</f>
        <v>0.873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HYPERLINK("http://141.218.60.56/~jnz1568/getInfo.php?workbook=14_13.xlsx&amp;sheet=U0&amp;row=2806&amp;col=6&amp;number=3.2&amp;sourceID=14","3.2")</f>
        <v>3.2</v>
      </c>
      <c r="G2806" s="4" t="str">
        <f>HYPERLINK("http://141.218.60.56/~jnz1568/getInfo.php?workbook=14_13.xlsx&amp;sheet=U0&amp;row=2806&amp;col=7&amp;number=0.866&amp;sourceID=14","0.866")</f>
        <v>0.866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HYPERLINK("http://141.218.60.56/~jnz1568/getInfo.php?workbook=14_13.xlsx&amp;sheet=U0&amp;row=2807&amp;col=6&amp;number=3.3&amp;sourceID=14","3.3")</f>
        <v>3.3</v>
      </c>
      <c r="G2807" s="4" t="str">
        <f>HYPERLINK("http://141.218.60.56/~jnz1568/getInfo.php?workbook=14_13.xlsx&amp;sheet=U0&amp;row=2807&amp;col=7&amp;number=0.858&amp;sourceID=14","0.858")</f>
        <v>0.858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HYPERLINK("http://141.218.60.56/~jnz1568/getInfo.php?workbook=14_13.xlsx&amp;sheet=U0&amp;row=2808&amp;col=6&amp;number=3.4&amp;sourceID=14","3.4")</f>
        <v>3.4</v>
      </c>
      <c r="G2808" s="4" t="str">
        <f>HYPERLINK("http://141.218.60.56/~jnz1568/getInfo.php?workbook=14_13.xlsx&amp;sheet=U0&amp;row=2808&amp;col=7&amp;number=0.847&amp;sourceID=14","0.847")</f>
        <v>0.847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HYPERLINK("http://141.218.60.56/~jnz1568/getInfo.php?workbook=14_13.xlsx&amp;sheet=U0&amp;row=2809&amp;col=6&amp;number=3.5&amp;sourceID=14","3.5")</f>
        <v>3.5</v>
      </c>
      <c r="G2809" s="4" t="str">
        <f>HYPERLINK("http://141.218.60.56/~jnz1568/getInfo.php?workbook=14_13.xlsx&amp;sheet=U0&amp;row=2809&amp;col=7&amp;number=0.835&amp;sourceID=14","0.835")</f>
        <v>0.835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HYPERLINK("http://141.218.60.56/~jnz1568/getInfo.php?workbook=14_13.xlsx&amp;sheet=U0&amp;row=2810&amp;col=6&amp;number=3.6&amp;sourceID=14","3.6")</f>
        <v>3.6</v>
      </c>
      <c r="G2810" s="4" t="str">
        <f>HYPERLINK("http://141.218.60.56/~jnz1568/getInfo.php?workbook=14_13.xlsx&amp;sheet=U0&amp;row=2810&amp;col=7&amp;number=0.82&amp;sourceID=14","0.82")</f>
        <v>0.82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HYPERLINK("http://141.218.60.56/~jnz1568/getInfo.php?workbook=14_13.xlsx&amp;sheet=U0&amp;row=2811&amp;col=6&amp;number=3.7&amp;sourceID=14","3.7")</f>
        <v>3.7</v>
      </c>
      <c r="G2811" s="4" t="str">
        <f>HYPERLINK("http://141.218.60.56/~jnz1568/getInfo.php?workbook=14_13.xlsx&amp;sheet=U0&amp;row=2811&amp;col=7&amp;number=0.803&amp;sourceID=14","0.803")</f>
        <v>0.803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HYPERLINK("http://141.218.60.56/~jnz1568/getInfo.php?workbook=14_13.xlsx&amp;sheet=U0&amp;row=2812&amp;col=6&amp;number=3.8&amp;sourceID=14","3.8")</f>
        <v>3.8</v>
      </c>
      <c r="G2812" s="4" t="str">
        <f>HYPERLINK("http://141.218.60.56/~jnz1568/getInfo.php?workbook=14_13.xlsx&amp;sheet=U0&amp;row=2812&amp;col=7&amp;number=0.784&amp;sourceID=14","0.784")</f>
        <v>0.784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HYPERLINK("http://141.218.60.56/~jnz1568/getInfo.php?workbook=14_13.xlsx&amp;sheet=U0&amp;row=2813&amp;col=6&amp;number=3.9&amp;sourceID=14","3.9")</f>
        <v>3.9</v>
      </c>
      <c r="G2813" s="4" t="str">
        <f>HYPERLINK("http://141.218.60.56/~jnz1568/getInfo.php?workbook=14_13.xlsx&amp;sheet=U0&amp;row=2813&amp;col=7&amp;number=0.765&amp;sourceID=14","0.765")</f>
        <v>0.765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HYPERLINK("http://141.218.60.56/~jnz1568/getInfo.php?workbook=14_13.xlsx&amp;sheet=U0&amp;row=2814&amp;col=6&amp;number=4&amp;sourceID=14","4")</f>
        <v>4</v>
      </c>
      <c r="G2814" s="4" t="str">
        <f>HYPERLINK("http://141.218.60.56/~jnz1568/getInfo.php?workbook=14_13.xlsx&amp;sheet=U0&amp;row=2814&amp;col=7&amp;number=0.747&amp;sourceID=14","0.747")</f>
        <v>0.747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HYPERLINK("http://141.218.60.56/~jnz1568/getInfo.php?workbook=14_13.xlsx&amp;sheet=U0&amp;row=2815&amp;col=6&amp;number=4.1&amp;sourceID=14","4.1")</f>
        <v>4.1</v>
      </c>
      <c r="G2815" s="4" t="str">
        <f>HYPERLINK("http://141.218.60.56/~jnz1568/getInfo.php?workbook=14_13.xlsx&amp;sheet=U0&amp;row=2815&amp;col=7&amp;number=0.733&amp;sourceID=14","0.733")</f>
        <v>0.733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HYPERLINK("http://141.218.60.56/~jnz1568/getInfo.php?workbook=14_13.xlsx&amp;sheet=U0&amp;row=2816&amp;col=6&amp;number=4.2&amp;sourceID=14","4.2")</f>
        <v>4.2</v>
      </c>
      <c r="G2816" s="4" t="str">
        <f>HYPERLINK("http://141.218.60.56/~jnz1568/getInfo.php?workbook=14_13.xlsx&amp;sheet=U0&amp;row=2816&amp;col=7&amp;number=0.723&amp;sourceID=14","0.723")</f>
        <v>0.723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HYPERLINK("http://141.218.60.56/~jnz1568/getInfo.php?workbook=14_13.xlsx&amp;sheet=U0&amp;row=2817&amp;col=6&amp;number=4.3&amp;sourceID=14","4.3")</f>
        <v>4.3</v>
      </c>
      <c r="G2817" s="4" t="str">
        <f>HYPERLINK("http://141.218.60.56/~jnz1568/getInfo.php?workbook=14_13.xlsx&amp;sheet=U0&amp;row=2817&amp;col=7&amp;number=0.719&amp;sourceID=14","0.719")</f>
        <v>0.719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HYPERLINK("http://141.218.60.56/~jnz1568/getInfo.php?workbook=14_13.xlsx&amp;sheet=U0&amp;row=2818&amp;col=6&amp;number=4.4&amp;sourceID=14","4.4")</f>
        <v>4.4</v>
      </c>
      <c r="G2818" s="4" t="str">
        <f>HYPERLINK("http://141.218.60.56/~jnz1568/getInfo.php?workbook=14_13.xlsx&amp;sheet=U0&amp;row=2818&amp;col=7&amp;number=0.721&amp;sourceID=14","0.721")</f>
        <v>0.721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HYPERLINK("http://141.218.60.56/~jnz1568/getInfo.php?workbook=14_13.xlsx&amp;sheet=U0&amp;row=2819&amp;col=6&amp;number=4.5&amp;sourceID=14","4.5")</f>
        <v>4.5</v>
      </c>
      <c r="G2819" s="4" t="str">
        <f>HYPERLINK("http://141.218.60.56/~jnz1568/getInfo.php?workbook=14_13.xlsx&amp;sheet=U0&amp;row=2819&amp;col=7&amp;number=0.728&amp;sourceID=14","0.728")</f>
        <v>0.728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HYPERLINK("http://141.218.60.56/~jnz1568/getInfo.php?workbook=14_13.xlsx&amp;sheet=U0&amp;row=2820&amp;col=6&amp;number=4.6&amp;sourceID=14","4.6")</f>
        <v>4.6</v>
      </c>
      <c r="G2820" s="4" t="str">
        <f>HYPERLINK("http://141.218.60.56/~jnz1568/getInfo.php?workbook=14_13.xlsx&amp;sheet=U0&amp;row=2820&amp;col=7&amp;number=0.74&amp;sourceID=14","0.74")</f>
        <v>0.74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HYPERLINK("http://141.218.60.56/~jnz1568/getInfo.php?workbook=14_13.xlsx&amp;sheet=U0&amp;row=2821&amp;col=6&amp;number=4.7&amp;sourceID=14","4.7")</f>
        <v>4.7</v>
      </c>
      <c r="G2821" s="4" t="str">
        <f>HYPERLINK("http://141.218.60.56/~jnz1568/getInfo.php?workbook=14_13.xlsx&amp;sheet=U0&amp;row=2821&amp;col=7&amp;number=0.754&amp;sourceID=14","0.754")</f>
        <v>0.754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HYPERLINK("http://141.218.60.56/~jnz1568/getInfo.php?workbook=14_13.xlsx&amp;sheet=U0&amp;row=2822&amp;col=6&amp;number=4.8&amp;sourceID=14","4.8")</f>
        <v>4.8</v>
      </c>
      <c r="G2822" s="4" t="str">
        <f>HYPERLINK("http://141.218.60.56/~jnz1568/getInfo.php?workbook=14_13.xlsx&amp;sheet=U0&amp;row=2822&amp;col=7&amp;number=0.769&amp;sourceID=14","0.769")</f>
        <v>0.769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HYPERLINK("http://141.218.60.56/~jnz1568/getInfo.php?workbook=14_13.xlsx&amp;sheet=U0&amp;row=2823&amp;col=6&amp;number=4.9&amp;sourceID=14","4.9")</f>
        <v>4.9</v>
      </c>
      <c r="G2823" s="4" t="str">
        <f>HYPERLINK("http://141.218.60.56/~jnz1568/getInfo.php?workbook=14_13.xlsx&amp;sheet=U0&amp;row=2823&amp;col=7&amp;number=0.785&amp;sourceID=14","0.785")</f>
        <v>0.785</v>
      </c>
    </row>
    <row r="2824" spans="1:7">
      <c r="A2824" s="3">
        <v>14</v>
      </c>
      <c r="B2824" s="3">
        <v>13</v>
      </c>
      <c r="C2824" s="3">
        <v>6</v>
      </c>
      <c r="D2824" s="3">
        <v>18</v>
      </c>
      <c r="E2824" s="3">
        <v>1</v>
      </c>
      <c r="F2824" s="4" t="str">
        <f>HYPERLINK("http://141.218.60.56/~jnz1568/getInfo.php?workbook=14_13.xlsx&amp;sheet=U0&amp;row=2824&amp;col=6&amp;number=3&amp;sourceID=14","3")</f>
        <v>3</v>
      </c>
      <c r="G2824" s="4" t="str">
        <f>HYPERLINK("http://141.218.60.56/~jnz1568/getInfo.php?workbook=14_13.xlsx&amp;sheet=U0&amp;row=2824&amp;col=7&amp;number=0.809&amp;sourceID=14","0.809")</f>
        <v>0.809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HYPERLINK("http://141.218.60.56/~jnz1568/getInfo.php?workbook=14_13.xlsx&amp;sheet=U0&amp;row=2825&amp;col=6&amp;number=3.1&amp;sourceID=14","3.1")</f>
        <v>3.1</v>
      </c>
      <c r="G2825" s="4" t="str">
        <f>HYPERLINK("http://141.218.60.56/~jnz1568/getInfo.php?workbook=14_13.xlsx&amp;sheet=U0&amp;row=2825&amp;col=7&amp;number=0.801&amp;sourceID=14","0.801")</f>
        <v>0.801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HYPERLINK("http://141.218.60.56/~jnz1568/getInfo.php?workbook=14_13.xlsx&amp;sheet=U0&amp;row=2826&amp;col=6&amp;number=3.2&amp;sourceID=14","3.2")</f>
        <v>3.2</v>
      </c>
      <c r="G2826" s="4" t="str">
        <f>HYPERLINK("http://141.218.60.56/~jnz1568/getInfo.php?workbook=14_13.xlsx&amp;sheet=U0&amp;row=2826&amp;col=7&amp;number=0.791&amp;sourceID=14","0.791")</f>
        <v>0.791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HYPERLINK("http://141.218.60.56/~jnz1568/getInfo.php?workbook=14_13.xlsx&amp;sheet=U0&amp;row=2827&amp;col=6&amp;number=3.3&amp;sourceID=14","3.3")</f>
        <v>3.3</v>
      </c>
      <c r="G2827" s="4" t="str">
        <f>HYPERLINK("http://141.218.60.56/~jnz1568/getInfo.php?workbook=14_13.xlsx&amp;sheet=U0&amp;row=2827&amp;col=7&amp;number=0.779&amp;sourceID=14","0.779")</f>
        <v>0.779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HYPERLINK("http://141.218.60.56/~jnz1568/getInfo.php?workbook=14_13.xlsx&amp;sheet=U0&amp;row=2828&amp;col=6&amp;number=3.4&amp;sourceID=14","3.4")</f>
        <v>3.4</v>
      </c>
      <c r="G2828" s="4" t="str">
        <f>HYPERLINK("http://141.218.60.56/~jnz1568/getInfo.php?workbook=14_13.xlsx&amp;sheet=U0&amp;row=2828&amp;col=7&amp;number=0.765&amp;sourceID=14","0.765")</f>
        <v>0.765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HYPERLINK("http://141.218.60.56/~jnz1568/getInfo.php?workbook=14_13.xlsx&amp;sheet=U0&amp;row=2829&amp;col=6&amp;number=3.5&amp;sourceID=14","3.5")</f>
        <v>3.5</v>
      </c>
      <c r="G2829" s="4" t="str">
        <f>HYPERLINK("http://141.218.60.56/~jnz1568/getInfo.php?workbook=14_13.xlsx&amp;sheet=U0&amp;row=2829&amp;col=7&amp;number=0.748&amp;sourceID=14","0.748")</f>
        <v>0.748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HYPERLINK("http://141.218.60.56/~jnz1568/getInfo.php?workbook=14_13.xlsx&amp;sheet=U0&amp;row=2830&amp;col=6&amp;number=3.6&amp;sourceID=14","3.6")</f>
        <v>3.6</v>
      </c>
      <c r="G2830" s="4" t="str">
        <f>HYPERLINK("http://141.218.60.56/~jnz1568/getInfo.php?workbook=14_13.xlsx&amp;sheet=U0&amp;row=2830&amp;col=7&amp;number=0.728&amp;sourceID=14","0.728")</f>
        <v>0.728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HYPERLINK("http://141.218.60.56/~jnz1568/getInfo.php?workbook=14_13.xlsx&amp;sheet=U0&amp;row=2831&amp;col=6&amp;number=3.7&amp;sourceID=14","3.7")</f>
        <v>3.7</v>
      </c>
      <c r="G2831" s="4" t="str">
        <f>HYPERLINK("http://141.218.60.56/~jnz1568/getInfo.php?workbook=14_13.xlsx&amp;sheet=U0&amp;row=2831&amp;col=7&amp;number=0.705&amp;sourceID=14","0.705")</f>
        <v>0.705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HYPERLINK("http://141.218.60.56/~jnz1568/getInfo.php?workbook=14_13.xlsx&amp;sheet=U0&amp;row=2832&amp;col=6&amp;number=3.8&amp;sourceID=14","3.8")</f>
        <v>3.8</v>
      </c>
      <c r="G2832" s="4" t="str">
        <f>HYPERLINK("http://141.218.60.56/~jnz1568/getInfo.php?workbook=14_13.xlsx&amp;sheet=U0&amp;row=2832&amp;col=7&amp;number=0.681&amp;sourceID=14","0.681")</f>
        <v>0.681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HYPERLINK("http://141.218.60.56/~jnz1568/getInfo.php?workbook=14_13.xlsx&amp;sheet=U0&amp;row=2833&amp;col=6&amp;number=3.9&amp;sourceID=14","3.9")</f>
        <v>3.9</v>
      </c>
      <c r="G2833" s="4" t="str">
        <f>HYPERLINK("http://141.218.60.56/~jnz1568/getInfo.php?workbook=14_13.xlsx&amp;sheet=U0&amp;row=2833&amp;col=7&amp;number=0.657&amp;sourceID=14","0.657")</f>
        <v>0.657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HYPERLINK("http://141.218.60.56/~jnz1568/getInfo.php?workbook=14_13.xlsx&amp;sheet=U0&amp;row=2834&amp;col=6&amp;number=4&amp;sourceID=14","4")</f>
        <v>4</v>
      </c>
      <c r="G2834" s="4" t="str">
        <f>HYPERLINK("http://141.218.60.56/~jnz1568/getInfo.php?workbook=14_13.xlsx&amp;sheet=U0&amp;row=2834&amp;col=7&amp;number=0.633&amp;sourceID=14","0.633")</f>
        <v>0.633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HYPERLINK("http://141.218.60.56/~jnz1568/getInfo.php?workbook=14_13.xlsx&amp;sheet=U0&amp;row=2835&amp;col=6&amp;number=4.1&amp;sourceID=14","4.1")</f>
        <v>4.1</v>
      </c>
      <c r="G2835" s="4" t="str">
        <f>HYPERLINK("http://141.218.60.56/~jnz1568/getInfo.php?workbook=14_13.xlsx&amp;sheet=U0&amp;row=2835&amp;col=7&amp;number=0.611&amp;sourceID=14","0.611")</f>
        <v>0.611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HYPERLINK("http://141.218.60.56/~jnz1568/getInfo.php?workbook=14_13.xlsx&amp;sheet=U0&amp;row=2836&amp;col=6&amp;number=4.2&amp;sourceID=14","4.2")</f>
        <v>4.2</v>
      </c>
      <c r="G2836" s="4" t="str">
        <f>HYPERLINK("http://141.218.60.56/~jnz1568/getInfo.php?workbook=14_13.xlsx&amp;sheet=U0&amp;row=2836&amp;col=7&amp;number=0.592&amp;sourceID=14","0.592")</f>
        <v>0.592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HYPERLINK("http://141.218.60.56/~jnz1568/getInfo.php?workbook=14_13.xlsx&amp;sheet=U0&amp;row=2837&amp;col=6&amp;number=4.3&amp;sourceID=14","4.3")</f>
        <v>4.3</v>
      </c>
      <c r="G2837" s="4" t="str">
        <f>HYPERLINK("http://141.218.60.56/~jnz1568/getInfo.php?workbook=14_13.xlsx&amp;sheet=U0&amp;row=2837&amp;col=7&amp;number=0.576&amp;sourceID=14","0.576")</f>
        <v>0.576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HYPERLINK("http://141.218.60.56/~jnz1568/getInfo.php?workbook=14_13.xlsx&amp;sheet=U0&amp;row=2838&amp;col=6&amp;number=4.4&amp;sourceID=14","4.4")</f>
        <v>4.4</v>
      </c>
      <c r="G2838" s="4" t="str">
        <f>HYPERLINK("http://141.218.60.56/~jnz1568/getInfo.php?workbook=14_13.xlsx&amp;sheet=U0&amp;row=2838&amp;col=7&amp;number=0.562&amp;sourceID=14","0.562")</f>
        <v>0.562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HYPERLINK("http://141.218.60.56/~jnz1568/getInfo.php?workbook=14_13.xlsx&amp;sheet=U0&amp;row=2839&amp;col=6&amp;number=4.5&amp;sourceID=14","4.5")</f>
        <v>4.5</v>
      </c>
      <c r="G2839" s="4" t="str">
        <f>HYPERLINK("http://141.218.60.56/~jnz1568/getInfo.php?workbook=14_13.xlsx&amp;sheet=U0&amp;row=2839&amp;col=7&amp;number=0.548&amp;sourceID=14","0.548")</f>
        <v>0.548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HYPERLINK("http://141.218.60.56/~jnz1568/getInfo.php?workbook=14_13.xlsx&amp;sheet=U0&amp;row=2840&amp;col=6&amp;number=4.6&amp;sourceID=14","4.6")</f>
        <v>4.6</v>
      </c>
      <c r="G2840" s="4" t="str">
        <f>HYPERLINK("http://141.218.60.56/~jnz1568/getInfo.php?workbook=14_13.xlsx&amp;sheet=U0&amp;row=2840&amp;col=7&amp;number=0.534&amp;sourceID=14","0.534")</f>
        <v>0.534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HYPERLINK("http://141.218.60.56/~jnz1568/getInfo.php?workbook=14_13.xlsx&amp;sheet=U0&amp;row=2841&amp;col=6&amp;number=4.7&amp;sourceID=14","4.7")</f>
        <v>4.7</v>
      </c>
      <c r="G2841" s="4" t="str">
        <f>HYPERLINK("http://141.218.60.56/~jnz1568/getInfo.php?workbook=14_13.xlsx&amp;sheet=U0&amp;row=2841&amp;col=7&amp;number=0.518&amp;sourceID=14","0.518")</f>
        <v>0.518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HYPERLINK("http://141.218.60.56/~jnz1568/getInfo.php?workbook=14_13.xlsx&amp;sheet=U0&amp;row=2842&amp;col=6&amp;number=4.8&amp;sourceID=14","4.8")</f>
        <v>4.8</v>
      </c>
      <c r="G2842" s="4" t="str">
        <f>HYPERLINK("http://141.218.60.56/~jnz1568/getInfo.php?workbook=14_13.xlsx&amp;sheet=U0&amp;row=2842&amp;col=7&amp;number=0.5&amp;sourceID=14","0.5")</f>
        <v>0.5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HYPERLINK("http://141.218.60.56/~jnz1568/getInfo.php?workbook=14_13.xlsx&amp;sheet=U0&amp;row=2843&amp;col=6&amp;number=4.9&amp;sourceID=14","4.9")</f>
        <v>4.9</v>
      </c>
      <c r="G2843" s="4" t="str">
        <f>HYPERLINK("http://141.218.60.56/~jnz1568/getInfo.php?workbook=14_13.xlsx&amp;sheet=U0&amp;row=2843&amp;col=7&amp;number=0.479&amp;sourceID=14","0.479")</f>
        <v>0.479</v>
      </c>
    </row>
    <row r="2844" spans="1:7">
      <c r="A2844" s="3">
        <v>14</v>
      </c>
      <c r="B2844" s="3">
        <v>13</v>
      </c>
      <c r="C2844" s="3">
        <v>6</v>
      </c>
      <c r="D2844" s="3">
        <v>19</v>
      </c>
      <c r="E2844" s="3">
        <v>1</v>
      </c>
      <c r="F2844" s="4" t="str">
        <f>HYPERLINK("http://141.218.60.56/~jnz1568/getInfo.php?workbook=14_13.xlsx&amp;sheet=U0&amp;row=2844&amp;col=6&amp;number=3&amp;sourceID=14","3")</f>
        <v>3</v>
      </c>
      <c r="G2844" s="4" t="str">
        <f>HYPERLINK("http://141.218.60.56/~jnz1568/getInfo.php?workbook=14_13.xlsx&amp;sheet=U0&amp;row=2844&amp;col=7&amp;number=0.178&amp;sourceID=14","0.178")</f>
        <v>0.178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HYPERLINK("http://141.218.60.56/~jnz1568/getInfo.php?workbook=14_13.xlsx&amp;sheet=U0&amp;row=2845&amp;col=6&amp;number=3.1&amp;sourceID=14","3.1")</f>
        <v>3.1</v>
      </c>
      <c r="G2845" s="4" t="str">
        <f>HYPERLINK("http://141.218.60.56/~jnz1568/getInfo.php?workbook=14_13.xlsx&amp;sheet=U0&amp;row=2845&amp;col=7&amp;number=0.179&amp;sourceID=14","0.179")</f>
        <v>0.179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HYPERLINK("http://141.218.60.56/~jnz1568/getInfo.php?workbook=14_13.xlsx&amp;sheet=U0&amp;row=2846&amp;col=6&amp;number=3.2&amp;sourceID=14","3.2")</f>
        <v>3.2</v>
      </c>
      <c r="G2846" s="4" t="str">
        <f>HYPERLINK("http://141.218.60.56/~jnz1568/getInfo.php?workbook=14_13.xlsx&amp;sheet=U0&amp;row=2846&amp;col=7&amp;number=0.182&amp;sourceID=14","0.182")</f>
        <v>0.182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HYPERLINK("http://141.218.60.56/~jnz1568/getInfo.php?workbook=14_13.xlsx&amp;sheet=U0&amp;row=2847&amp;col=6&amp;number=3.3&amp;sourceID=14","3.3")</f>
        <v>3.3</v>
      </c>
      <c r="G2847" s="4" t="str">
        <f>HYPERLINK("http://141.218.60.56/~jnz1568/getInfo.php?workbook=14_13.xlsx&amp;sheet=U0&amp;row=2847&amp;col=7&amp;number=0.184&amp;sourceID=14","0.184")</f>
        <v>0.184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HYPERLINK("http://141.218.60.56/~jnz1568/getInfo.php?workbook=14_13.xlsx&amp;sheet=U0&amp;row=2848&amp;col=6&amp;number=3.4&amp;sourceID=14","3.4")</f>
        <v>3.4</v>
      </c>
      <c r="G2848" s="4" t="str">
        <f>HYPERLINK("http://141.218.60.56/~jnz1568/getInfo.php?workbook=14_13.xlsx&amp;sheet=U0&amp;row=2848&amp;col=7&amp;number=0.187&amp;sourceID=14","0.187")</f>
        <v>0.187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HYPERLINK("http://141.218.60.56/~jnz1568/getInfo.php?workbook=14_13.xlsx&amp;sheet=U0&amp;row=2849&amp;col=6&amp;number=3.5&amp;sourceID=14","3.5")</f>
        <v>3.5</v>
      </c>
      <c r="G2849" s="4" t="str">
        <f>HYPERLINK("http://141.218.60.56/~jnz1568/getInfo.php?workbook=14_13.xlsx&amp;sheet=U0&amp;row=2849&amp;col=7&amp;number=0.19&amp;sourceID=14","0.19")</f>
        <v>0.19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HYPERLINK("http://141.218.60.56/~jnz1568/getInfo.php?workbook=14_13.xlsx&amp;sheet=U0&amp;row=2850&amp;col=6&amp;number=3.6&amp;sourceID=14","3.6")</f>
        <v>3.6</v>
      </c>
      <c r="G2850" s="4" t="str">
        <f>HYPERLINK("http://141.218.60.56/~jnz1568/getInfo.php?workbook=14_13.xlsx&amp;sheet=U0&amp;row=2850&amp;col=7&amp;number=0.194&amp;sourceID=14","0.194")</f>
        <v>0.194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HYPERLINK("http://141.218.60.56/~jnz1568/getInfo.php?workbook=14_13.xlsx&amp;sheet=U0&amp;row=2851&amp;col=6&amp;number=3.7&amp;sourceID=14","3.7")</f>
        <v>3.7</v>
      </c>
      <c r="G2851" s="4" t="str">
        <f>HYPERLINK("http://141.218.60.56/~jnz1568/getInfo.php?workbook=14_13.xlsx&amp;sheet=U0&amp;row=2851&amp;col=7&amp;number=0.196&amp;sourceID=14","0.196")</f>
        <v>0.196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HYPERLINK("http://141.218.60.56/~jnz1568/getInfo.php?workbook=14_13.xlsx&amp;sheet=U0&amp;row=2852&amp;col=6&amp;number=3.8&amp;sourceID=14","3.8")</f>
        <v>3.8</v>
      </c>
      <c r="G2852" s="4" t="str">
        <f>HYPERLINK("http://141.218.60.56/~jnz1568/getInfo.php?workbook=14_13.xlsx&amp;sheet=U0&amp;row=2852&amp;col=7&amp;number=0.198&amp;sourceID=14","0.198")</f>
        <v>0.198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HYPERLINK("http://141.218.60.56/~jnz1568/getInfo.php?workbook=14_13.xlsx&amp;sheet=U0&amp;row=2853&amp;col=6&amp;number=3.9&amp;sourceID=14","3.9")</f>
        <v>3.9</v>
      </c>
      <c r="G2853" s="4" t="str">
        <f>HYPERLINK("http://141.218.60.56/~jnz1568/getInfo.php?workbook=14_13.xlsx&amp;sheet=U0&amp;row=2853&amp;col=7&amp;number=0.2&amp;sourceID=14","0.2")</f>
        <v>0.2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HYPERLINK("http://141.218.60.56/~jnz1568/getInfo.php?workbook=14_13.xlsx&amp;sheet=U0&amp;row=2854&amp;col=6&amp;number=4&amp;sourceID=14","4")</f>
        <v>4</v>
      </c>
      <c r="G2854" s="4" t="str">
        <f>HYPERLINK("http://141.218.60.56/~jnz1568/getInfo.php?workbook=14_13.xlsx&amp;sheet=U0&amp;row=2854&amp;col=7&amp;number=0.201&amp;sourceID=14","0.201")</f>
        <v>0.201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HYPERLINK("http://141.218.60.56/~jnz1568/getInfo.php?workbook=14_13.xlsx&amp;sheet=U0&amp;row=2855&amp;col=6&amp;number=4.1&amp;sourceID=14","4.1")</f>
        <v>4.1</v>
      </c>
      <c r="G2855" s="4" t="str">
        <f>HYPERLINK("http://141.218.60.56/~jnz1568/getInfo.php?workbook=14_13.xlsx&amp;sheet=U0&amp;row=2855&amp;col=7&amp;number=0.205&amp;sourceID=14","0.205")</f>
        <v>0.205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HYPERLINK("http://141.218.60.56/~jnz1568/getInfo.php?workbook=14_13.xlsx&amp;sheet=U0&amp;row=2856&amp;col=6&amp;number=4.2&amp;sourceID=14","4.2")</f>
        <v>4.2</v>
      </c>
      <c r="G2856" s="4" t="str">
        <f>HYPERLINK("http://141.218.60.56/~jnz1568/getInfo.php?workbook=14_13.xlsx&amp;sheet=U0&amp;row=2856&amp;col=7&amp;number=0.211&amp;sourceID=14","0.211")</f>
        <v>0.211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HYPERLINK("http://141.218.60.56/~jnz1568/getInfo.php?workbook=14_13.xlsx&amp;sheet=U0&amp;row=2857&amp;col=6&amp;number=4.3&amp;sourceID=14","4.3")</f>
        <v>4.3</v>
      </c>
      <c r="G2857" s="4" t="str">
        <f>HYPERLINK("http://141.218.60.56/~jnz1568/getInfo.php?workbook=14_13.xlsx&amp;sheet=U0&amp;row=2857&amp;col=7&amp;number=0.221&amp;sourceID=14","0.221")</f>
        <v>0.221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HYPERLINK("http://141.218.60.56/~jnz1568/getInfo.php?workbook=14_13.xlsx&amp;sheet=U0&amp;row=2858&amp;col=6&amp;number=4.4&amp;sourceID=14","4.4")</f>
        <v>4.4</v>
      </c>
      <c r="G2858" s="4" t="str">
        <f>HYPERLINK("http://141.218.60.56/~jnz1568/getInfo.php?workbook=14_13.xlsx&amp;sheet=U0&amp;row=2858&amp;col=7&amp;number=0.235&amp;sourceID=14","0.235")</f>
        <v>0.235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HYPERLINK("http://141.218.60.56/~jnz1568/getInfo.php?workbook=14_13.xlsx&amp;sheet=U0&amp;row=2859&amp;col=6&amp;number=4.5&amp;sourceID=14","4.5")</f>
        <v>4.5</v>
      </c>
      <c r="G2859" s="4" t="str">
        <f>HYPERLINK("http://141.218.60.56/~jnz1568/getInfo.php?workbook=14_13.xlsx&amp;sheet=U0&amp;row=2859&amp;col=7&amp;number=0.255&amp;sourceID=14","0.255")</f>
        <v>0.255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HYPERLINK("http://141.218.60.56/~jnz1568/getInfo.php?workbook=14_13.xlsx&amp;sheet=U0&amp;row=2860&amp;col=6&amp;number=4.6&amp;sourceID=14","4.6")</f>
        <v>4.6</v>
      </c>
      <c r="G2860" s="4" t="str">
        <f>HYPERLINK("http://141.218.60.56/~jnz1568/getInfo.php?workbook=14_13.xlsx&amp;sheet=U0&amp;row=2860&amp;col=7&amp;number=0.279&amp;sourceID=14","0.279")</f>
        <v>0.279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HYPERLINK("http://141.218.60.56/~jnz1568/getInfo.php?workbook=14_13.xlsx&amp;sheet=U0&amp;row=2861&amp;col=6&amp;number=4.7&amp;sourceID=14","4.7")</f>
        <v>4.7</v>
      </c>
      <c r="G2861" s="4" t="str">
        <f>HYPERLINK("http://141.218.60.56/~jnz1568/getInfo.php?workbook=14_13.xlsx&amp;sheet=U0&amp;row=2861&amp;col=7&amp;number=0.309&amp;sourceID=14","0.309")</f>
        <v>0.309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HYPERLINK("http://141.218.60.56/~jnz1568/getInfo.php?workbook=14_13.xlsx&amp;sheet=U0&amp;row=2862&amp;col=6&amp;number=4.8&amp;sourceID=14","4.8")</f>
        <v>4.8</v>
      </c>
      <c r="G2862" s="4" t="str">
        <f>HYPERLINK("http://141.218.60.56/~jnz1568/getInfo.php?workbook=14_13.xlsx&amp;sheet=U0&amp;row=2862&amp;col=7&amp;number=0.344&amp;sourceID=14","0.344")</f>
        <v>0.344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HYPERLINK("http://141.218.60.56/~jnz1568/getInfo.php?workbook=14_13.xlsx&amp;sheet=U0&amp;row=2863&amp;col=6&amp;number=4.9&amp;sourceID=14","4.9")</f>
        <v>4.9</v>
      </c>
      <c r="G2863" s="4" t="str">
        <f>HYPERLINK("http://141.218.60.56/~jnz1568/getInfo.php?workbook=14_13.xlsx&amp;sheet=U0&amp;row=2863&amp;col=7&amp;number=0.383&amp;sourceID=14","0.383")</f>
        <v>0.383</v>
      </c>
    </row>
    <row r="2864" spans="1:7">
      <c r="A2864" s="3">
        <v>14</v>
      </c>
      <c r="B2864" s="3">
        <v>13</v>
      </c>
      <c r="C2864" s="3">
        <v>6</v>
      </c>
      <c r="D2864" s="3">
        <v>20</v>
      </c>
      <c r="E2864" s="3">
        <v>1</v>
      </c>
      <c r="F2864" s="4" t="str">
        <f>HYPERLINK("http://141.218.60.56/~jnz1568/getInfo.php?workbook=14_13.xlsx&amp;sheet=U0&amp;row=2864&amp;col=6&amp;number=3&amp;sourceID=14","3")</f>
        <v>3</v>
      </c>
      <c r="G2864" s="4" t="str">
        <f>HYPERLINK("http://141.218.60.56/~jnz1568/getInfo.php?workbook=14_13.xlsx&amp;sheet=U0&amp;row=2864&amp;col=7&amp;number=0.195&amp;sourceID=14","0.195")</f>
        <v>0.195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HYPERLINK("http://141.218.60.56/~jnz1568/getInfo.php?workbook=14_13.xlsx&amp;sheet=U0&amp;row=2865&amp;col=6&amp;number=3.1&amp;sourceID=14","3.1")</f>
        <v>3.1</v>
      </c>
      <c r="G2865" s="4" t="str">
        <f>HYPERLINK("http://141.218.60.56/~jnz1568/getInfo.php?workbook=14_13.xlsx&amp;sheet=U0&amp;row=2865&amp;col=7&amp;number=0.199&amp;sourceID=14","0.199")</f>
        <v>0.199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HYPERLINK("http://141.218.60.56/~jnz1568/getInfo.php?workbook=14_13.xlsx&amp;sheet=U0&amp;row=2866&amp;col=6&amp;number=3.2&amp;sourceID=14","3.2")</f>
        <v>3.2</v>
      </c>
      <c r="G2866" s="4" t="str">
        <f>HYPERLINK("http://141.218.60.56/~jnz1568/getInfo.php?workbook=14_13.xlsx&amp;sheet=U0&amp;row=2866&amp;col=7&amp;number=0.203&amp;sourceID=14","0.203")</f>
        <v>0.203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HYPERLINK("http://141.218.60.56/~jnz1568/getInfo.php?workbook=14_13.xlsx&amp;sheet=U0&amp;row=2867&amp;col=6&amp;number=3.3&amp;sourceID=14","3.3")</f>
        <v>3.3</v>
      </c>
      <c r="G2867" s="4" t="str">
        <f>HYPERLINK("http://141.218.60.56/~jnz1568/getInfo.php?workbook=14_13.xlsx&amp;sheet=U0&amp;row=2867&amp;col=7&amp;number=0.208&amp;sourceID=14","0.208")</f>
        <v>0.208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HYPERLINK("http://141.218.60.56/~jnz1568/getInfo.php?workbook=14_13.xlsx&amp;sheet=U0&amp;row=2868&amp;col=6&amp;number=3.4&amp;sourceID=14","3.4")</f>
        <v>3.4</v>
      </c>
      <c r="G2868" s="4" t="str">
        <f>HYPERLINK("http://141.218.60.56/~jnz1568/getInfo.php?workbook=14_13.xlsx&amp;sheet=U0&amp;row=2868&amp;col=7&amp;number=0.214&amp;sourceID=14","0.214")</f>
        <v>0.214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HYPERLINK("http://141.218.60.56/~jnz1568/getInfo.php?workbook=14_13.xlsx&amp;sheet=U0&amp;row=2869&amp;col=6&amp;number=3.5&amp;sourceID=14","3.5")</f>
        <v>3.5</v>
      </c>
      <c r="G2869" s="4" t="str">
        <f>HYPERLINK("http://141.218.60.56/~jnz1568/getInfo.php?workbook=14_13.xlsx&amp;sheet=U0&amp;row=2869&amp;col=7&amp;number=0.22&amp;sourceID=14","0.22")</f>
        <v>0.22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HYPERLINK("http://141.218.60.56/~jnz1568/getInfo.php?workbook=14_13.xlsx&amp;sheet=U0&amp;row=2870&amp;col=6&amp;number=3.6&amp;sourceID=14","3.6")</f>
        <v>3.6</v>
      </c>
      <c r="G2870" s="4" t="str">
        <f>HYPERLINK("http://141.218.60.56/~jnz1568/getInfo.php?workbook=14_13.xlsx&amp;sheet=U0&amp;row=2870&amp;col=7&amp;number=0.227&amp;sourceID=14","0.227")</f>
        <v>0.227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HYPERLINK("http://141.218.60.56/~jnz1568/getInfo.php?workbook=14_13.xlsx&amp;sheet=U0&amp;row=2871&amp;col=6&amp;number=3.7&amp;sourceID=14","3.7")</f>
        <v>3.7</v>
      </c>
      <c r="G2871" s="4" t="str">
        <f>HYPERLINK("http://141.218.60.56/~jnz1568/getInfo.php?workbook=14_13.xlsx&amp;sheet=U0&amp;row=2871&amp;col=7&amp;number=0.231&amp;sourceID=14","0.231")</f>
        <v>0.231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HYPERLINK("http://141.218.60.56/~jnz1568/getInfo.php?workbook=14_13.xlsx&amp;sheet=U0&amp;row=2872&amp;col=6&amp;number=3.8&amp;sourceID=14","3.8")</f>
        <v>3.8</v>
      </c>
      <c r="G2872" s="4" t="str">
        <f>HYPERLINK("http://141.218.60.56/~jnz1568/getInfo.php?workbook=14_13.xlsx&amp;sheet=U0&amp;row=2872&amp;col=7&amp;number=0.233&amp;sourceID=14","0.233")</f>
        <v>0.233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HYPERLINK("http://141.218.60.56/~jnz1568/getInfo.php?workbook=14_13.xlsx&amp;sheet=U0&amp;row=2873&amp;col=6&amp;number=3.9&amp;sourceID=14","3.9")</f>
        <v>3.9</v>
      </c>
      <c r="G2873" s="4" t="str">
        <f>HYPERLINK("http://141.218.60.56/~jnz1568/getInfo.php?workbook=14_13.xlsx&amp;sheet=U0&amp;row=2873&amp;col=7&amp;number=0.232&amp;sourceID=14","0.232")</f>
        <v>0.232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HYPERLINK("http://141.218.60.56/~jnz1568/getInfo.php?workbook=14_13.xlsx&amp;sheet=U0&amp;row=2874&amp;col=6&amp;number=4&amp;sourceID=14","4")</f>
        <v>4</v>
      </c>
      <c r="G2874" s="4" t="str">
        <f>HYPERLINK("http://141.218.60.56/~jnz1568/getInfo.php?workbook=14_13.xlsx&amp;sheet=U0&amp;row=2874&amp;col=7&amp;number=0.227&amp;sourceID=14","0.227")</f>
        <v>0.227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HYPERLINK("http://141.218.60.56/~jnz1568/getInfo.php?workbook=14_13.xlsx&amp;sheet=U0&amp;row=2875&amp;col=6&amp;number=4.1&amp;sourceID=14","4.1")</f>
        <v>4.1</v>
      </c>
      <c r="G2875" s="4" t="str">
        <f>HYPERLINK("http://141.218.60.56/~jnz1568/getInfo.php?workbook=14_13.xlsx&amp;sheet=U0&amp;row=2875&amp;col=7&amp;number=0.221&amp;sourceID=14","0.221")</f>
        <v>0.221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HYPERLINK("http://141.218.60.56/~jnz1568/getInfo.php?workbook=14_13.xlsx&amp;sheet=U0&amp;row=2876&amp;col=6&amp;number=4.2&amp;sourceID=14","4.2")</f>
        <v>4.2</v>
      </c>
      <c r="G2876" s="4" t="str">
        <f>HYPERLINK("http://141.218.60.56/~jnz1568/getInfo.php?workbook=14_13.xlsx&amp;sheet=U0&amp;row=2876&amp;col=7&amp;number=0.214&amp;sourceID=14","0.214")</f>
        <v>0.214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HYPERLINK("http://141.218.60.56/~jnz1568/getInfo.php?workbook=14_13.xlsx&amp;sheet=U0&amp;row=2877&amp;col=6&amp;number=4.3&amp;sourceID=14","4.3")</f>
        <v>4.3</v>
      </c>
      <c r="G2877" s="4" t="str">
        <f>HYPERLINK("http://141.218.60.56/~jnz1568/getInfo.php?workbook=14_13.xlsx&amp;sheet=U0&amp;row=2877&amp;col=7&amp;number=0.207&amp;sourceID=14","0.207")</f>
        <v>0.207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HYPERLINK("http://141.218.60.56/~jnz1568/getInfo.php?workbook=14_13.xlsx&amp;sheet=U0&amp;row=2878&amp;col=6&amp;number=4.4&amp;sourceID=14","4.4")</f>
        <v>4.4</v>
      </c>
      <c r="G2878" s="4" t="str">
        <f>HYPERLINK("http://141.218.60.56/~jnz1568/getInfo.php?workbook=14_13.xlsx&amp;sheet=U0&amp;row=2878&amp;col=7&amp;number=0.201&amp;sourceID=14","0.201")</f>
        <v>0.201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HYPERLINK("http://141.218.60.56/~jnz1568/getInfo.php?workbook=14_13.xlsx&amp;sheet=U0&amp;row=2879&amp;col=6&amp;number=4.5&amp;sourceID=14","4.5")</f>
        <v>4.5</v>
      </c>
      <c r="G2879" s="4" t="str">
        <f>HYPERLINK("http://141.218.60.56/~jnz1568/getInfo.php?workbook=14_13.xlsx&amp;sheet=U0&amp;row=2879&amp;col=7&amp;number=0.195&amp;sourceID=14","0.195")</f>
        <v>0.195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HYPERLINK("http://141.218.60.56/~jnz1568/getInfo.php?workbook=14_13.xlsx&amp;sheet=U0&amp;row=2880&amp;col=6&amp;number=4.6&amp;sourceID=14","4.6")</f>
        <v>4.6</v>
      </c>
      <c r="G2880" s="4" t="str">
        <f>HYPERLINK("http://141.218.60.56/~jnz1568/getInfo.php?workbook=14_13.xlsx&amp;sheet=U0&amp;row=2880&amp;col=7&amp;number=0.19&amp;sourceID=14","0.19")</f>
        <v>0.19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HYPERLINK("http://141.218.60.56/~jnz1568/getInfo.php?workbook=14_13.xlsx&amp;sheet=U0&amp;row=2881&amp;col=6&amp;number=4.7&amp;sourceID=14","4.7")</f>
        <v>4.7</v>
      </c>
      <c r="G2881" s="4" t="str">
        <f>HYPERLINK("http://141.218.60.56/~jnz1568/getInfo.php?workbook=14_13.xlsx&amp;sheet=U0&amp;row=2881&amp;col=7&amp;number=0.186&amp;sourceID=14","0.186")</f>
        <v>0.186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HYPERLINK("http://141.218.60.56/~jnz1568/getInfo.php?workbook=14_13.xlsx&amp;sheet=U0&amp;row=2882&amp;col=6&amp;number=4.8&amp;sourceID=14","4.8")</f>
        <v>4.8</v>
      </c>
      <c r="G2882" s="4" t="str">
        <f>HYPERLINK("http://141.218.60.56/~jnz1568/getInfo.php?workbook=14_13.xlsx&amp;sheet=U0&amp;row=2882&amp;col=7&amp;number=0.183&amp;sourceID=14","0.183")</f>
        <v>0.183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HYPERLINK("http://141.218.60.56/~jnz1568/getInfo.php?workbook=14_13.xlsx&amp;sheet=U0&amp;row=2883&amp;col=6&amp;number=4.9&amp;sourceID=14","4.9")</f>
        <v>4.9</v>
      </c>
      <c r="G2883" s="4" t="str">
        <f>HYPERLINK("http://141.218.60.56/~jnz1568/getInfo.php?workbook=14_13.xlsx&amp;sheet=U0&amp;row=2883&amp;col=7&amp;number=0.181&amp;sourceID=14","0.181")</f>
        <v>0.181</v>
      </c>
    </row>
    <row r="2884" spans="1:7">
      <c r="A2884" s="3">
        <v>14</v>
      </c>
      <c r="B2884" s="3">
        <v>13</v>
      </c>
      <c r="C2884" s="3">
        <v>6</v>
      </c>
      <c r="D2884" s="3">
        <v>21</v>
      </c>
      <c r="E2884" s="3">
        <v>1</v>
      </c>
      <c r="F2884" s="4" t="str">
        <f>HYPERLINK("http://141.218.60.56/~jnz1568/getInfo.php?workbook=14_13.xlsx&amp;sheet=U0&amp;row=2884&amp;col=6&amp;number=3&amp;sourceID=14","3")</f>
        <v>3</v>
      </c>
      <c r="G2884" s="4" t="str">
        <f>HYPERLINK("http://141.218.60.56/~jnz1568/getInfo.php?workbook=14_13.xlsx&amp;sheet=U0&amp;row=2884&amp;col=7&amp;number=0.522&amp;sourceID=14","0.522")</f>
        <v>0.522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HYPERLINK("http://141.218.60.56/~jnz1568/getInfo.php?workbook=14_13.xlsx&amp;sheet=U0&amp;row=2885&amp;col=6&amp;number=3.1&amp;sourceID=14","3.1")</f>
        <v>3.1</v>
      </c>
      <c r="G2885" s="4" t="str">
        <f>HYPERLINK("http://141.218.60.56/~jnz1568/getInfo.php?workbook=14_13.xlsx&amp;sheet=U0&amp;row=2885&amp;col=7&amp;number=0.534&amp;sourceID=14","0.534")</f>
        <v>0.534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HYPERLINK("http://141.218.60.56/~jnz1568/getInfo.php?workbook=14_13.xlsx&amp;sheet=U0&amp;row=2886&amp;col=6&amp;number=3.2&amp;sourceID=14","3.2")</f>
        <v>3.2</v>
      </c>
      <c r="G2886" s="4" t="str">
        <f>HYPERLINK("http://141.218.60.56/~jnz1568/getInfo.php?workbook=14_13.xlsx&amp;sheet=U0&amp;row=2886&amp;col=7&amp;number=0.549&amp;sourceID=14","0.549")</f>
        <v>0.549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HYPERLINK("http://141.218.60.56/~jnz1568/getInfo.php?workbook=14_13.xlsx&amp;sheet=U0&amp;row=2887&amp;col=6&amp;number=3.3&amp;sourceID=14","3.3")</f>
        <v>3.3</v>
      </c>
      <c r="G2887" s="4" t="str">
        <f>HYPERLINK("http://141.218.60.56/~jnz1568/getInfo.php?workbook=14_13.xlsx&amp;sheet=U0&amp;row=2887&amp;col=7&amp;number=0.567&amp;sourceID=14","0.567")</f>
        <v>0.567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HYPERLINK("http://141.218.60.56/~jnz1568/getInfo.php?workbook=14_13.xlsx&amp;sheet=U0&amp;row=2888&amp;col=6&amp;number=3.4&amp;sourceID=14","3.4")</f>
        <v>3.4</v>
      </c>
      <c r="G2888" s="4" t="str">
        <f>HYPERLINK("http://141.218.60.56/~jnz1568/getInfo.php?workbook=14_13.xlsx&amp;sheet=U0&amp;row=2888&amp;col=7&amp;number=0.589&amp;sourceID=14","0.589")</f>
        <v>0.589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HYPERLINK("http://141.218.60.56/~jnz1568/getInfo.php?workbook=14_13.xlsx&amp;sheet=U0&amp;row=2889&amp;col=6&amp;number=3.5&amp;sourceID=14","3.5")</f>
        <v>3.5</v>
      </c>
      <c r="G2889" s="4" t="str">
        <f>HYPERLINK("http://141.218.60.56/~jnz1568/getInfo.php?workbook=14_13.xlsx&amp;sheet=U0&amp;row=2889&amp;col=7&amp;number=0.614&amp;sourceID=14","0.614")</f>
        <v>0.614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HYPERLINK("http://141.218.60.56/~jnz1568/getInfo.php?workbook=14_13.xlsx&amp;sheet=U0&amp;row=2890&amp;col=6&amp;number=3.6&amp;sourceID=14","3.6")</f>
        <v>3.6</v>
      </c>
      <c r="G2890" s="4" t="str">
        <f>HYPERLINK("http://141.218.60.56/~jnz1568/getInfo.php?workbook=14_13.xlsx&amp;sheet=U0&amp;row=2890&amp;col=7&amp;number=0.642&amp;sourceID=14","0.642")</f>
        <v>0.642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HYPERLINK("http://141.218.60.56/~jnz1568/getInfo.php?workbook=14_13.xlsx&amp;sheet=U0&amp;row=2891&amp;col=6&amp;number=3.7&amp;sourceID=14","3.7")</f>
        <v>3.7</v>
      </c>
      <c r="G2891" s="4" t="str">
        <f>HYPERLINK("http://141.218.60.56/~jnz1568/getInfo.php?workbook=14_13.xlsx&amp;sheet=U0&amp;row=2891&amp;col=7&amp;number=0.672&amp;sourceID=14","0.672")</f>
        <v>0.672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HYPERLINK("http://141.218.60.56/~jnz1568/getInfo.php?workbook=14_13.xlsx&amp;sheet=U0&amp;row=2892&amp;col=6&amp;number=3.8&amp;sourceID=14","3.8")</f>
        <v>3.8</v>
      </c>
      <c r="G2892" s="4" t="str">
        <f>HYPERLINK("http://141.218.60.56/~jnz1568/getInfo.php?workbook=14_13.xlsx&amp;sheet=U0&amp;row=2892&amp;col=7&amp;number=0.704&amp;sourceID=14","0.704")</f>
        <v>0.704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HYPERLINK("http://141.218.60.56/~jnz1568/getInfo.php?workbook=14_13.xlsx&amp;sheet=U0&amp;row=2893&amp;col=6&amp;number=3.9&amp;sourceID=14","3.9")</f>
        <v>3.9</v>
      </c>
      <c r="G2893" s="4" t="str">
        <f>HYPERLINK("http://141.218.60.56/~jnz1568/getInfo.php?workbook=14_13.xlsx&amp;sheet=U0&amp;row=2893&amp;col=7&amp;number=0.737&amp;sourceID=14","0.737")</f>
        <v>0.737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HYPERLINK("http://141.218.60.56/~jnz1568/getInfo.php?workbook=14_13.xlsx&amp;sheet=U0&amp;row=2894&amp;col=6&amp;number=4&amp;sourceID=14","4")</f>
        <v>4</v>
      </c>
      <c r="G2894" s="4" t="str">
        <f>HYPERLINK("http://141.218.60.56/~jnz1568/getInfo.php?workbook=14_13.xlsx&amp;sheet=U0&amp;row=2894&amp;col=7&amp;number=0.776&amp;sourceID=14","0.776")</f>
        <v>0.776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HYPERLINK("http://141.218.60.56/~jnz1568/getInfo.php?workbook=14_13.xlsx&amp;sheet=U0&amp;row=2895&amp;col=6&amp;number=4.1&amp;sourceID=14","4.1")</f>
        <v>4.1</v>
      </c>
      <c r="G2895" s="4" t="str">
        <f>HYPERLINK("http://141.218.60.56/~jnz1568/getInfo.php?workbook=14_13.xlsx&amp;sheet=U0&amp;row=2895&amp;col=7&amp;number=0.826&amp;sourceID=14","0.826")</f>
        <v>0.826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HYPERLINK("http://141.218.60.56/~jnz1568/getInfo.php?workbook=14_13.xlsx&amp;sheet=U0&amp;row=2896&amp;col=6&amp;number=4.2&amp;sourceID=14","4.2")</f>
        <v>4.2</v>
      </c>
      <c r="G2896" s="4" t="str">
        <f>HYPERLINK("http://141.218.60.56/~jnz1568/getInfo.php?workbook=14_13.xlsx&amp;sheet=U0&amp;row=2896&amp;col=7&amp;number=0.893&amp;sourceID=14","0.893")</f>
        <v>0.893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HYPERLINK("http://141.218.60.56/~jnz1568/getInfo.php?workbook=14_13.xlsx&amp;sheet=U0&amp;row=2897&amp;col=6&amp;number=4.3&amp;sourceID=14","4.3")</f>
        <v>4.3</v>
      </c>
      <c r="G2897" s="4" t="str">
        <f>HYPERLINK("http://141.218.60.56/~jnz1568/getInfo.php?workbook=14_13.xlsx&amp;sheet=U0&amp;row=2897&amp;col=7&amp;number=0.979&amp;sourceID=14","0.979")</f>
        <v>0.979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HYPERLINK("http://141.218.60.56/~jnz1568/getInfo.php?workbook=14_13.xlsx&amp;sheet=U0&amp;row=2898&amp;col=6&amp;number=4.4&amp;sourceID=14","4.4")</f>
        <v>4.4</v>
      </c>
      <c r="G2898" s="4" t="str">
        <f>HYPERLINK("http://141.218.60.56/~jnz1568/getInfo.php?workbook=14_13.xlsx&amp;sheet=U0&amp;row=2898&amp;col=7&amp;number=1.09&amp;sourceID=14","1.09")</f>
        <v>1.09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HYPERLINK("http://141.218.60.56/~jnz1568/getInfo.php?workbook=14_13.xlsx&amp;sheet=U0&amp;row=2899&amp;col=6&amp;number=4.5&amp;sourceID=14","4.5")</f>
        <v>4.5</v>
      </c>
      <c r="G2899" s="4" t="str">
        <f>HYPERLINK("http://141.218.60.56/~jnz1568/getInfo.php?workbook=14_13.xlsx&amp;sheet=U0&amp;row=2899&amp;col=7&amp;number=1.22&amp;sourceID=14","1.22")</f>
        <v>1.22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HYPERLINK("http://141.218.60.56/~jnz1568/getInfo.php?workbook=14_13.xlsx&amp;sheet=U0&amp;row=2900&amp;col=6&amp;number=4.6&amp;sourceID=14","4.6")</f>
        <v>4.6</v>
      </c>
      <c r="G2900" s="4" t="str">
        <f>HYPERLINK("http://141.218.60.56/~jnz1568/getInfo.php?workbook=14_13.xlsx&amp;sheet=U0&amp;row=2900&amp;col=7&amp;number=1.39&amp;sourceID=14","1.39")</f>
        <v>1.39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HYPERLINK("http://141.218.60.56/~jnz1568/getInfo.php?workbook=14_13.xlsx&amp;sheet=U0&amp;row=2901&amp;col=6&amp;number=4.7&amp;sourceID=14","4.7")</f>
        <v>4.7</v>
      </c>
      <c r="G2901" s="4" t="str">
        <f>HYPERLINK("http://141.218.60.56/~jnz1568/getInfo.php?workbook=14_13.xlsx&amp;sheet=U0&amp;row=2901&amp;col=7&amp;number=1.58&amp;sourceID=14","1.58")</f>
        <v>1.58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HYPERLINK("http://141.218.60.56/~jnz1568/getInfo.php?workbook=14_13.xlsx&amp;sheet=U0&amp;row=2902&amp;col=6&amp;number=4.8&amp;sourceID=14","4.8")</f>
        <v>4.8</v>
      </c>
      <c r="G2902" s="4" t="str">
        <f>HYPERLINK("http://141.218.60.56/~jnz1568/getInfo.php?workbook=14_13.xlsx&amp;sheet=U0&amp;row=2902&amp;col=7&amp;number=1.82&amp;sourceID=14","1.82")</f>
        <v>1.82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HYPERLINK("http://141.218.60.56/~jnz1568/getInfo.php?workbook=14_13.xlsx&amp;sheet=U0&amp;row=2903&amp;col=6&amp;number=4.9&amp;sourceID=14","4.9")</f>
        <v>4.9</v>
      </c>
      <c r="G2903" s="4" t="str">
        <f>HYPERLINK("http://141.218.60.56/~jnz1568/getInfo.php?workbook=14_13.xlsx&amp;sheet=U0&amp;row=2903&amp;col=7&amp;number=2.09&amp;sourceID=14","2.09")</f>
        <v>2.09</v>
      </c>
    </row>
    <row r="2904" spans="1:7">
      <c r="A2904" s="3">
        <v>14</v>
      </c>
      <c r="B2904" s="3">
        <v>13</v>
      </c>
      <c r="C2904" s="3">
        <v>6</v>
      </c>
      <c r="D2904" s="3">
        <v>22</v>
      </c>
      <c r="E2904" s="3">
        <v>1</v>
      </c>
      <c r="F2904" s="4" t="str">
        <f>HYPERLINK("http://141.218.60.56/~jnz1568/getInfo.php?workbook=14_13.xlsx&amp;sheet=U0&amp;row=2904&amp;col=6&amp;number=3&amp;sourceID=14","3")</f>
        <v>3</v>
      </c>
      <c r="G2904" s="4" t="str">
        <f>HYPERLINK("http://141.218.60.56/~jnz1568/getInfo.php?workbook=14_13.xlsx&amp;sheet=U0&amp;row=2904&amp;col=7&amp;number=0.289&amp;sourceID=14","0.289")</f>
        <v>0.289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HYPERLINK("http://141.218.60.56/~jnz1568/getInfo.php?workbook=14_13.xlsx&amp;sheet=U0&amp;row=2905&amp;col=6&amp;number=3.1&amp;sourceID=14","3.1")</f>
        <v>3.1</v>
      </c>
      <c r="G2905" s="4" t="str">
        <f>HYPERLINK("http://141.218.60.56/~jnz1568/getInfo.php?workbook=14_13.xlsx&amp;sheet=U0&amp;row=2905&amp;col=7&amp;number=0.296&amp;sourceID=14","0.296")</f>
        <v>0.296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HYPERLINK("http://141.218.60.56/~jnz1568/getInfo.php?workbook=14_13.xlsx&amp;sheet=U0&amp;row=2906&amp;col=6&amp;number=3.2&amp;sourceID=14","3.2")</f>
        <v>3.2</v>
      </c>
      <c r="G2906" s="4" t="str">
        <f>HYPERLINK("http://141.218.60.56/~jnz1568/getInfo.php?workbook=14_13.xlsx&amp;sheet=U0&amp;row=2906&amp;col=7&amp;number=0.305&amp;sourceID=14","0.305")</f>
        <v>0.305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HYPERLINK("http://141.218.60.56/~jnz1568/getInfo.php?workbook=14_13.xlsx&amp;sheet=U0&amp;row=2907&amp;col=6&amp;number=3.3&amp;sourceID=14","3.3")</f>
        <v>3.3</v>
      </c>
      <c r="G2907" s="4" t="str">
        <f>HYPERLINK("http://141.218.60.56/~jnz1568/getInfo.php?workbook=14_13.xlsx&amp;sheet=U0&amp;row=2907&amp;col=7&amp;number=0.314&amp;sourceID=14","0.314")</f>
        <v>0.314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HYPERLINK("http://141.218.60.56/~jnz1568/getInfo.php?workbook=14_13.xlsx&amp;sheet=U0&amp;row=2908&amp;col=6&amp;number=3.4&amp;sourceID=14","3.4")</f>
        <v>3.4</v>
      </c>
      <c r="G2908" s="4" t="str">
        <f>HYPERLINK("http://141.218.60.56/~jnz1568/getInfo.php?workbook=14_13.xlsx&amp;sheet=U0&amp;row=2908&amp;col=7&amp;number=0.325&amp;sourceID=14","0.325")</f>
        <v>0.325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HYPERLINK("http://141.218.60.56/~jnz1568/getInfo.php?workbook=14_13.xlsx&amp;sheet=U0&amp;row=2909&amp;col=6&amp;number=3.5&amp;sourceID=14","3.5")</f>
        <v>3.5</v>
      </c>
      <c r="G2909" s="4" t="str">
        <f>HYPERLINK("http://141.218.60.56/~jnz1568/getInfo.php?workbook=14_13.xlsx&amp;sheet=U0&amp;row=2909&amp;col=7&amp;number=0.336&amp;sourceID=14","0.336")</f>
        <v>0.336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HYPERLINK("http://141.218.60.56/~jnz1568/getInfo.php?workbook=14_13.xlsx&amp;sheet=U0&amp;row=2910&amp;col=6&amp;number=3.6&amp;sourceID=14","3.6")</f>
        <v>3.6</v>
      </c>
      <c r="G2910" s="4" t="str">
        <f>HYPERLINK("http://141.218.60.56/~jnz1568/getInfo.php?workbook=14_13.xlsx&amp;sheet=U0&amp;row=2910&amp;col=7&amp;number=0.346&amp;sourceID=14","0.346")</f>
        <v>0.346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HYPERLINK("http://141.218.60.56/~jnz1568/getInfo.php?workbook=14_13.xlsx&amp;sheet=U0&amp;row=2911&amp;col=6&amp;number=3.7&amp;sourceID=14","3.7")</f>
        <v>3.7</v>
      </c>
      <c r="G2911" s="4" t="str">
        <f>HYPERLINK("http://141.218.60.56/~jnz1568/getInfo.php?workbook=14_13.xlsx&amp;sheet=U0&amp;row=2911&amp;col=7&amp;number=0.353&amp;sourceID=14","0.353")</f>
        <v>0.353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HYPERLINK("http://141.218.60.56/~jnz1568/getInfo.php?workbook=14_13.xlsx&amp;sheet=U0&amp;row=2912&amp;col=6&amp;number=3.8&amp;sourceID=14","3.8")</f>
        <v>3.8</v>
      </c>
      <c r="G2912" s="4" t="str">
        <f>HYPERLINK("http://141.218.60.56/~jnz1568/getInfo.php?workbook=14_13.xlsx&amp;sheet=U0&amp;row=2912&amp;col=7&amp;number=0.356&amp;sourceID=14","0.356")</f>
        <v>0.356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HYPERLINK("http://141.218.60.56/~jnz1568/getInfo.php?workbook=14_13.xlsx&amp;sheet=U0&amp;row=2913&amp;col=6&amp;number=3.9&amp;sourceID=14","3.9")</f>
        <v>3.9</v>
      </c>
      <c r="G2913" s="4" t="str">
        <f>HYPERLINK("http://141.218.60.56/~jnz1568/getInfo.php?workbook=14_13.xlsx&amp;sheet=U0&amp;row=2913&amp;col=7&amp;number=0.356&amp;sourceID=14","0.356")</f>
        <v>0.356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HYPERLINK("http://141.218.60.56/~jnz1568/getInfo.php?workbook=14_13.xlsx&amp;sheet=U0&amp;row=2914&amp;col=6&amp;number=4&amp;sourceID=14","4")</f>
        <v>4</v>
      </c>
      <c r="G2914" s="4" t="str">
        <f>HYPERLINK("http://141.218.60.56/~jnz1568/getInfo.php?workbook=14_13.xlsx&amp;sheet=U0&amp;row=2914&amp;col=7&amp;number=0.353&amp;sourceID=14","0.353")</f>
        <v>0.353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HYPERLINK("http://141.218.60.56/~jnz1568/getInfo.php?workbook=14_13.xlsx&amp;sheet=U0&amp;row=2915&amp;col=6&amp;number=4.1&amp;sourceID=14","4.1")</f>
        <v>4.1</v>
      </c>
      <c r="G2915" s="4" t="str">
        <f>HYPERLINK("http://141.218.60.56/~jnz1568/getInfo.php?workbook=14_13.xlsx&amp;sheet=U0&amp;row=2915&amp;col=7&amp;number=0.347&amp;sourceID=14","0.347")</f>
        <v>0.347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HYPERLINK("http://141.218.60.56/~jnz1568/getInfo.php?workbook=14_13.xlsx&amp;sheet=U0&amp;row=2916&amp;col=6&amp;number=4.2&amp;sourceID=14","4.2")</f>
        <v>4.2</v>
      </c>
      <c r="G2916" s="4" t="str">
        <f>HYPERLINK("http://141.218.60.56/~jnz1568/getInfo.php?workbook=14_13.xlsx&amp;sheet=U0&amp;row=2916&amp;col=7&amp;number=0.339&amp;sourceID=14","0.339")</f>
        <v>0.339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HYPERLINK("http://141.218.60.56/~jnz1568/getInfo.php?workbook=14_13.xlsx&amp;sheet=U0&amp;row=2917&amp;col=6&amp;number=4.3&amp;sourceID=14","4.3")</f>
        <v>4.3</v>
      </c>
      <c r="G2917" s="4" t="str">
        <f>HYPERLINK("http://141.218.60.56/~jnz1568/getInfo.php?workbook=14_13.xlsx&amp;sheet=U0&amp;row=2917&amp;col=7&amp;number=0.331&amp;sourceID=14","0.331")</f>
        <v>0.331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HYPERLINK("http://141.218.60.56/~jnz1568/getInfo.php?workbook=14_13.xlsx&amp;sheet=U0&amp;row=2918&amp;col=6&amp;number=4.4&amp;sourceID=14","4.4")</f>
        <v>4.4</v>
      </c>
      <c r="G2918" s="4" t="str">
        <f>HYPERLINK("http://141.218.60.56/~jnz1568/getInfo.php?workbook=14_13.xlsx&amp;sheet=U0&amp;row=2918&amp;col=7&amp;number=0.321&amp;sourceID=14","0.321")</f>
        <v>0.321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HYPERLINK("http://141.218.60.56/~jnz1568/getInfo.php?workbook=14_13.xlsx&amp;sheet=U0&amp;row=2919&amp;col=6&amp;number=4.5&amp;sourceID=14","4.5")</f>
        <v>4.5</v>
      </c>
      <c r="G2919" s="4" t="str">
        <f>HYPERLINK("http://141.218.60.56/~jnz1568/getInfo.php?workbook=14_13.xlsx&amp;sheet=U0&amp;row=2919&amp;col=7&amp;number=0.311&amp;sourceID=14","0.311")</f>
        <v>0.311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HYPERLINK("http://141.218.60.56/~jnz1568/getInfo.php?workbook=14_13.xlsx&amp;sheet=U0&amp;row=2920&amp;col=6&amp;number=4.6&amp;sourceID=14","4.6")</f>
        <v>4.6</v>
      </c>
      <c r="G2920" s="4" t="str">
        <f>HYPERLINK("http://141.218.60.56/~jnz1568/getInfo.php?workbook=14_13.xlsx&amp;sheet=U0&amp;row=2920&amp;col=7&amp;number=0.3&amp;sourceID=14","0.3")</f>
        <v>0.3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HYPERLINK("http://141.218.60.56/~jnz1568/getInfo.php?workbook=14_13.xlsx&amp;sheet=U0&amp;row=2921&amp;col=6&amp;number=4.7&amp;sourceID=14","4.7")</f>
        <v>4.7</v>
      </c>
      <c r="G2921" s="4" t="str">
        <f>HYPERLINK("http://141.218.60.56/~jnz1568/getInfo.php?workbook=14_13.xlsx&amp;sheet=U0&amp;row=2921&amp;col=7&amp;number=0.29&amp;sourceID=14","0.29")</f>
        <v>0.29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HYPERLINK("http://141.218.60.56/~jnz1568/getInfo.php?workbook=14_13.xlsx&amp;sheet=U0&amp;row=2922&amp;col=6&amp;number=4.8&amp;sourceID=14","4.8")</f>
        <v>4.8</v>
      </c>
      <c r="G2922" s="4" t="str">
        <f>HYPERLINK("http://141.218.60.56/~jnz1568/getInfo.php?workbook=14_13.xlsx&amp;sheet=U0&amp;row=2922&amp;col=7&amp;number=0.279&amp;sourceID=14","0.279")</f>
        <v>0.279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HYPERLINK("http://141.218.60.56/~jnz1568/getInfo.php?workbook=14_13.xlsx&amp;sheet=U0&amp;row=2923&amp;col=6&amp;number=4.9&amp;sourceID=14","4.9")</f>
        <v>4.9</v>
      </c>
      <c r="G2923" s="4" t="str">
        <f>HYPERLINK("http://141.218.60.56/~jnz1568/getInfo.php?workbook=14_13.xlsx&amp;sheet=U0&amp;row=2923&amp;col=7&amp;number=0.268&amp;sourceID=14","0.268")</f>
        <v>0.268</v>
      </c>
    </row>
    <row r="2924" spans="1:7">
      <c r="A2924" s="3">
        <v>14</v>
      </c>
      <c r="B2924" s="3">
        <v>13</v>
      </c>
      <c r="C2924" s="3">
        <v>6</v>
      </c>
      <c r="D2924" s="3">
        <v>23</v>
      </c>
      <c r="E2924" s="3">
        <v>1</v>
      </c>
      <c r="F2924" s="4" t="str">
        <f>HYPERLINK("http://141.218.60.56/~jnz1568/getInfo.php?workbook=14_13.xlsx&amp;sheet=U0&amp;row=2924&amp;col=6&amp;number=3&amp;sourceID=14","3")</f>
        <v>3</v>
      </c>
      <c r="G2924" s="4" t="str">
        <f>HYPERLINK("http://141.218.60.56/~jnz1568/getInfo.php?workbook=14_13.xlsx&amp;sheet=U0&amp;row=2924&amp;col=7&amp;number=1.03&amp;sourceID=14","1.03")</f>
        <v>1.03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HYPERLINK("http://141.218.60.56/~jnz1568/getInfo.php?workbook=14_13.xlsx&amp;sheet=U0&amp;row=2925&amp;col=6&amp;number=3.1&amp;sourceID=14","3.1")</f>
        <v>3.1</v>
      </c>
      <c r="G2925" s="4" t="str">
        <f>HYPERLINK("http://141.218.60.56/~jnz1568/getInfo.php?workbook=14_13.xlsx&amp;sheet=U0&amp;row=2925&amp;col=7&amp;number=1.03&amp;sourceID=14","1.03")</f>
        <v>1.03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HYPERLINK("http://141.218.60.56/~jnz1568/getInfo.php?workbook=14_13.xlsx&amp;sheet=U0&amp;row=2926&amp;col=6&amp;number=3.2&amp;sourceID=14","3.2")</f>
        <v>3.2</v>
      </c>
      <c r="G2926" s="4" t="str">
        <f>HYPERLINK("http://141.218.60.56/~jnz1568/getInfo.php?workbook=14_13.xlsx&amp;sheet=U0&amp;row=2926&amp;col=7&amp;number=1.03&amp;sourceID=14","1.03")</f>
        <v>1.03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HYPERLINK("http://141.218.60.56/~jnz1568/getInfo.php?workbook=14_13.xlsx&amp;sheet=U0&amp;row=2927&amp;col=6&amp;number=3.3&amp;sourceID=14","3.3")</f>
        <v>3.3</v>
      </c>
      <c r="G2927" s="4" t="str">
        <f>HYPERLINK("http://141.218.60.56/~jnz1568/getInfo.php?workbook=14_13.xlsx&amp;sheet=U0&amp;row=2927&amp;col=7&amp;number=1.04&amp;sourceID=14","1.04")</f>
        <v>1.04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HYPERLINK("http://141.218.60.56/~jnz1568/getInfo.php?workbook=14_13.xlsx&amp;sheet=U0&amp;row=2928&amp;col=6&amp;number=3.4&amp;sourceID=14","3.4")</f>
        <v>3.4</v>
      </c>
      <c r="G2928" s="4" t="str">
        <f>HYPERLINK("http://141.218.60.56/~jnz1568/getInfo.php?workbook=14_13.xlsx&amp;sheet=U0&amp;row=2928&amp;col=7&amp;number=1.04&amp;sourceID=14","1.04")</f>
        <v>1.04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HYPERLINK("http://141.218.60.56/~jnz1568/getInfo.php?workbook=14_13.xlsx&amp;sheet=U0&amp;row=2929&amp;col=6&amp;number=3.5&amp;sourceID=14","3.5")</f>
        <v>3.5</v>
      </c>
      <c r="G2929" s="4" t="str">
        <f>HYPERLINK("http://141.218.60.56/~jnz1568/getInfo.php?workbook=14_13.xlsx&amp;sheet=U0&amp;row=2929&amp;col=7&amp;number=1.04&amp;sourceID=14","1.04")</f>
        <v>1.04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HYPERLINK("http://141.218.60.56/~jnz1568/getInfo.php?workbook=14_13.xlsx&amp;sheet=U0&amp;row=2930&amp;col=6&amp;number=3.6&amp;sourceID=14","3.6")</f>
        <v>3.6</v>
      </c>
      <c r="G2930" s="4" t="str">
        <f>HYPERLINK("http://141.218.60.56/~jnz1568/getInfo.php?workbook=14_13.xlsx&amp;sheet=U0&amp;row=2930&amp;col=7&amp;number=1.05&amp;sourceID=14","1.05")</f>
        <v>1.05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HYPERLINK("http://141.218.60.56/~jnz1568/getInfo.php?workbook=14_13.xlsx&amp;sheet=U0&amp;row=2931&amp;col=6&amp;number=3.7&amp;sourceID=14","3.7")</f>
        <v>3.7</v>
      </c>
      <c r="G2931" s="4" t="str">
        <f>HYPERLINK("http://141.218.60.56/~jnz1568/getInfo.php?workbook=14_13.xlsx&amp;sheet=U0&amp;row=2931&amp;col=7&amp;number=1.05&amp;sourceID=14","1.05")</f>
        <v>1.05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HYPERLINK("http://141.218.60.56/~jnz1568/getInfo.php?workbook=14_13.xlsx&amp;sheet=U0&amp;row=2932&amp;col=6&amp;number=3.8&amp;sourceID=14","3.8")</f>
        <v>3.8</v>
      </c>
      <c r="G2932" s="4" t="str">
        <f>HYPERLINK("http://141.218.60.56/~jnz1568/getInfo.php?workbook=14_13.xlsx&amp;sheet=U0&amp;row=2932&amp;col=7&amp;number=1.06&amp;sourceID=14","1.06")</f>
        <v>1.06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HYPERLINK("http://141.218.60.56/~jnz1568/getInfo.php?workbook=14_13.xlsx&amp;sheet=U0&amp;row=2933&amp;col=6&amp;number=3.9&amp;sourceID=14","3.9")</f>
        <v>3.9</v>
      </c>
      <c r="G2933" s="4" t="str">
        <f>HYPERLINK("http://141.218.60.56/~jnz1568/getInfo.php?workbook=14_13.xlsx&amp;sheet=U0&amp;row=2933&amp;col=7&amp;number=1.07&amp;sourceID=14","1.07")</f>
        <v>1.07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HYPERLINK("http://141.218.60.56/~jnz1568/getInfo.php?workbook=14_13.xlsx&amp;sheet=U0&amp;row=2934&amp;col=6&amp;number=4&amp;sourceID=14","4")</f>
        <v>4</v>
      </c>
      <c r="G2934" s="4" t="str">
        <f>HYPERLINK("http://141.218.60.56/~jnz1568/getInfo.php?workbook=14_13.xlsx&amp;sheet=U0&amp;row=2934&amp;col=7&amp;number=1.07&amp;sourceID=14","1.07")</f>
        <v>1.07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HYPERLINK("http://141.218.60.56/~jnz1568/getInfo.php?workbook=14_13.xlsx&amp;sheet=U0&amp;row=2935&amp;col=6&amp;number=4.1&amp;sourceID=14","4.1")</f>
        <v>4.1</v>
      </c>
      <c r="G2935" s="4" t="str">
        <f>HYPERLINK("http://141.218.60.56/~jnz1568/getInfo.php?workbook=14_13.xlsx&amp;sheet=U0&amp;row=2935&amp;col=7&amp;number=1.08&amp;sourceID=14","1.08")</f>
        <v>1.08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HYPERLINK("http://141.218.60.56/~jnz1568/getInfo.php?workbook=14_13.xlsx&amp;sheet=U0&amp;row=2936&amp;col=6&amp;number=4.2&amp;sourceID=14","4.2")</f>
        <v>4.2</v>
      </c>
      <c r="G2936" s="4" t="str">
        <f>HYPERLINK("http://141.218.60.56/~jnz1568/getInfo.php?workbook=14_13.xlsx&amp;sheet=U0&amp;row=2936&amp;col=7&amp;number=1.08&amp;sourceID=14","1.08")</f>
        <v>1.08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HYPERLINK("http://141.218.60.56/~jnz1568/getInfo.php?workbook=14_13.xlsx&amp;sheet=U0&amp;row=2937&amp;col=6&amp;number=4.3&amp;sourceID=14","4.3")</f>
        <v>4.3</v>
      </c>
      <c r="G2937" s="4" t="str">
        <f>HYPERLINK("http://141.218.60.56/~jnz1568/getInfo.php?workbook=14_13.xlsx&amp;sheet=U0&amp;row=2937&amp;col=7&amp;number=1.09&amp;sourceID=14","1.09")</f>
        <v>1.09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HYPERLINK("http://141.218.60.56/~jnz1568/getInfo.php?workbook=14_13.xlsx&amp;sheet=U0&amp;row=2938&amp;col=6&amp;number=4.4&amp;sourceID=14","4.4")</f>
        <v>4.4</v>
      </c>
      <c r="G2938" s="4" t="str">
        <f>HYPERLINK("http://141.218.60.56/~jnz1568/getInfo.php?workbook=14_13.xlsx&amp;sheet=U0&amp;row=2938&amp;col=7&amp;number=1.1&amp;sourceID=14","1.1")</f>
        <v>1.1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HYPERLINK("http://141.218.60.56/~jnz1568/getInfo.php?workbook=14_13.xlsx&amp;sheet=U0&amp;row=2939&amp;col=6&amp;number=4.5&amp;sourceID=14","4.5")</f>
        <v>4.5</v>
      </c>
      <c r="G2939" s="4" t="str">
        <f>HYPERLINK("http://141.218.60.56/~jnz1568/getInfo.php?workbook=14_13.xlsx&amp;sheet=U0&amp;row=2939&amp;col=7&amp;number=1.1&amp;sourceID=14","1.1")</f>
        <v>1.1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HYPERLINK("http://141.218.60.56/~jnz1568/getInfo.php?workbook=14_13.xlsx&amp;sheet=U0&amp;row=2940&amp;col=6&amp;number=4.6&amp;sourceID=14","4.6")</f>
        <v>4.6</v>
      </c>
      <c r="G2940" s="4" t="str">
        <f>HYPERLINK("http://141.218.60.56/~jnz1568/getInfo.php?workbook=14_13.xlsx&amp;sheet=U0&amp;row=2940&amp;col=7&amp;number=1.11&amp;sourceID=14","1.11")</f>
        <v>1.11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HYPERLINK("http://141.218.60.56/~jnz1568/getInfo.php?workbook=14_13.xlsx&amp;sheet=U0&amp;row=2941&amp;col=6&amp;number=4.7&amp;sourceID=14","4.7")</f>
        <v>4.7</v>
      </c>
      <c r="G2941" s="4" t="str">
        <f>HYPERLINK("http://141.218.60.56/~jnz1568/getInfo.php?workbook=14_13.xlsx&amp;sheet=U0&amp;row=2941&amp;col=7&amp;number=1.11&amp;sourceID=14","1.11")</f>
        <v>1.11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HYPERLINK("http://141.218.60.56/~jnz1568/getInfo.php?workbook=14_13.xlsx&amp;sheet=U0&amp;row=2942&amp;col=6&amp;number=4.8&amp;sourceID=14","4.8")</f>
        <v>4.8</v>
      </c>
      <c r="G2942" s="4" t="str">
        <f>HYPERLINK("http://141.218.60.56/~jnz1568/getInfo.php?workbook=14_13.xlsx&amp;sheet=U0&amp;row=2942&amp;col=7&amp;number=1.1&amp;sourceID=14","1.1")</f>
        <v>1.1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HYPERLINK("http://141.218.60.56/~jnz1568/getInfo.php?workbook=14_13.xlsx&amp;sheet=U0&amp;row=2943&amp;col=6&amp;number=4.9&amp;sourceID=14","4.9")</f>
        <v>4.9</v>
      </c>
      <c r="G2943" s="4" t="str">
        <f>HYPERLINK("http://141.218.60.56/~jnz1568/getInfo.php?workbook=14_13.xlsx&amp;sheet=U0&amp;row=2943&amp;col=7&amp;number=1.09&amp;sourceID=14","1.09")</f>
        <v>1.09</v>
      </c>
    </row>
    <row r="2944" spans="1:7">
      <c r="A2944" s="3">
        <v>14</v>
      </c>
      <c r="B2944" s="3">
        <v>13</v>
      </c>
      <c r="C2944" s="3">
        <v>6</v>
      </c>
      <c r="D2944" s="3">
        <v>24</v>
      </c>
      <c r="E2944" s="3">
        <v>1</v>
      </c>
      <c r="F2944" s="4" t="str">
        <f>HYPERLINK("http://141.218.60.56/~jnz1568/getInfo.php?workbook=14_13.xlsx&amp;sheet=U0&amp;row=2944&amp;col=6&amp;number=3&amp;sourceID=14","3")</f>
        <v>3</v>
      </c>
      <c r="G2944" s="4" t="str">
        <f>HYPERLINK("http://141.218.60.56/~jnz1568/getInfo.php?workbook=14_13.xlsx&amp;sheet=U0&amp;row=2944&amp;col=7&amp;number=1.54&amp;sourceID=14","1.54")</f>
        <v>1.54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HYPERLINK("http://141.218.60.56/~jnz1568/getInfo.php?workbook=14_13.xlsx&amp;sheet=U0&amp;row=2945&amp;col=6&amp;number=3.1&amp;sourceID=14","3.1")</f>
        <v>3.1</v>
      </c>
      <c r="G2945" s="4" t="str">
        <f>HYPERLINK("http://141.218.60.56/~jnz1568/getInfo.php?workbook=14_13.xlsx&amp;sheet=U0&amp;row=2945&amp;col=7&amp;number=1.54&amp;sourceID=14","1.54")</f>
        <v>1.54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HYPERLINK("http://141.218.60.56/~jnz1568/getInfo.php?workbook=14_13.xlsx&amp;sheet=U0&amp;row=2946&amp;col=6&amp;number=3.2&amp;sourceID=14","3.2")</f>
        <v>3.2</v>
      </c>
      <c r="G2946" s="4" t="str">
        <f>HYPERLINK("http://141.218.60.56/~jnz1568/getInfo.php?workbook=14_13.xlsx&amp;sheet=U0&amp;row=2946&amp;col=7&amp;number=1.54&amp;sourceID=14","1.54")</f>
        <v>1.54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HYPERLINK("http://141.218.60.56/~jnz1568/getInfo.php?workbook=14_13.xlsx&amp;sheet=U0&amp;row=2947&amp;col=6&amp;number=3.3&amp;sourceID=14","3.3")</f>
        <v>3.3</v>
      </c>
      <c r="G2947" s="4" t="str">
        <f>HYPERLINK("http://141.218.60.56/~jnz1568/getInfo.php?workbook=14_13.xlsx&amp;sheet=U0&amp;row=2947&amp;col=7&amp;number=1.54&amp;sourceID=14","1.54")</f>
        <v>1.54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HYPERLINK("http://141.218.60.56/~jnz1568/getInfo.php?workbook=14_13.xlsx&amp;sheet=U0&amp;row=2948&amp;col=6&amp;number=3.4&amp;sourceID=14","3.4")</f>
        <v>3.4</v>
      </c>
      <c r="G2948" s="4" t="str">
        <f>HYPERLINK("http://141.218.60.56/~jnz1568/getInfo.php?workbook=14_13.xlsx&amp;sheet=U0&amp;row=2948&amp;col=7&amp;number=1.54&amp;sourceID=14","1.54")</f>
        <v>1.54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HYPERLINK("http://141.218.60.56/~jnz1568/getInfo.php?workbook=14_13.xlsx&amp;sheet=U0&amp;row=2949&amp;col=6&amp;number=3.5&amp;sourceID=14","3.5")</f>
        <v>3.5</v>
      </c>
      <c r="G2949" s="4" t="str">
        <f>HYPERLINK("http://141.218.60.56/~jnz1568/getInfo.php?workbook=14_13.xlsx&amp;sheet=U0&amp;row=2949&amp;col=7&amp;number=1.54&amp;sourceID=14","1.54")</f>
        <v>1.54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HYPERLINK("http://141.218.60.56/~jnz1568/getInfo.php?workbook=14_13.xlsx&amp;sheet=U0&amp;row=2950&amp;col=6&amp;number=3.6&amp;sourceID=14","3.6")</f>
        <v>3.6</v>
      </c>
      <c r="G2950" s="4" t="str">
        <f>HYPERLINK("http://141.218.60.56/~jnz1568/getInfo.php?workbook=14_13.xlsx&amp;sheet=U0&amp;row=2950&amp;col=7&amp;number=1.55&amp;sourceID=14","1.55")</f>
        <v>1.55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HYPERLINK("http://141.218.60.56/~jnz1568/getInfo.php?workbook=14_13.xlsx&amp;sheet=U0&amp;row=2951&amp;col=6&amp;number=3.7&amp;sourceID=14","3.7")</f>
        <v>3.7</v>
      </c>
      <c r="G2951" s="4" t="str">
        <f>HYPERLINK("http://141.218.60.56/~jnz1568/getInfo.php?workbook=14_13.xlsx&amp;sheet=U0&amp;row=2951&amp;col=7&amp;number=1.55&amp;sourceID=14","1.55")</f>
        <v>1.55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HYPERLINK("http://141.218.60.56/~jnz1568/getInfo.php?workbook=14_13.xlsx&amp;sheet=U0&amp;row=2952&amp;col=6&amp;number=3.8&amp;sourceID=14","3.8")</f>
        <v>3.8</v>
      </c>
      <c r="G2952" s="4" t="str">
        <f>HYPERLINK("http://141.218.60.56/~jnz1568/getInfo.php?workbook=14_13.xlsx&amp;sheet=U0&amp;row=2952&amp;col=7&amp;number=1.56&amp;sourceID=14","1.56")</f>
        <v>1.56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HYPERLINK("http://141.218.60.56/~jnz1568/getInfo.php?workbook=14_13.xlsx&amp;sheet=U0&amp;row=2953&amp;col=6&amp;number=3.9&amp;sourceID=14","3.9")</f>
        <v>3.9</v>
      </c>
      <c r="G2953" s="4" t="str">
        <f>HYPERLINK("http://141.218.60.56/~jnz1568/getInfo.php?workbook=14_13.xlsx&amp;sheet=U0&amp;row=2953&amp;col=7&amp;number=1.57&amp;sourceID=14","1.57")</f>
        <v>1.57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HYPERLINK("http://141.218.60.56/~jnz1568/getInfo.php?workbook=14_13.xlsx&amp;sheet=U0&amp;row=2954&amp;col=6&amp;number=4&amp;sourceID=14","4")</f>
        <v>4</v>
      </c>
      <c r="G2954" s="4" t="str">
        <f>HYPERLINK("http://141.218.60.56/~jnz1568/getInfo.php?workbook=14_13.xlsx&amp;sheet=U0&amp;row=2954&amp;col=7&amp;number=1.58&amp;sourceID=14","1.58")</f>
        <v>1.58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HYPERLINK("http://141.218.60.56/~jnz1568/getInfo.php?workbook=14_13.xlsx&amp;sheet=U0&amp;row=2955&amp;col=6&amp;number=4.1&amp;sourceID=14","4.1")</f>
        <v>4.1</v>
      </c>
      <c r="G2955" s="4" t="str">
        <f>HYPERLINK("http://141.218.60.56/~jnz1568/getInfo.php?workbook=14_13.xlsx&amp;sheet=U0&amp;row=2955&amp;col=7&amp;number=1.59&amp;sourceID=14","1.59")</f>
        <v>1.59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HYPERLINK("http://141.218.60.56/~jnz1568/getInfo.php?workbook=14_13.xlsx&amp;sheet=U0&amp;row=2956&amp;col=6&amp;number=4.2&amp;sourceID=14","4.2")</f>
        <v>4.2</v>
      </c>
      <c r="G2956" s="4" t="str">
        <f>HYPERLINK("http://141.218.60.56/~jnz1568/getInfo.php?workbook=14_13.xlsx&amp;sheet=U0&amp;row=2956&amp;col=7&amp;number=1.6&amp;sourceID=14","1.6")</f>
        <v>1.6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HYPERLINK("http://141.218.60.56/~jnz1568/getInfo.php?workbook=14_13.xlsx&amp;sheet=U0&amp;row=2957&amp;col=6&amp;number=4.3&amp;sourceID=14","4.3")</f>
        <v>4.3</v>
      </c>
      <c r="G2957" s="4" t="str">
        <f>HYPERLINK("http://141.218.60.56/~jnz1568/getInfo.php?workbook=14_13.xlsx&amp;sheet=U0&amp;row=2957&amp;col=7&amp;number=1.6&amp;sourceID=14","1.6")</f>
        <v>1.6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HYPERLINK("http://141.218.60.56/~jnz1568/getInfo.php?workbook=14_13.xlsx&amp;sheet=U0&amp;row=2958&amp;col=6&amp;number=4.4&amp;sourceID=14","4.4")</f>
        <v>4.4</v>
      </c>
      <c r="G2958" s="4" t="str">
        <f>HYPERLINK("http://141.218.60.56/~jnz1568/getInfo.php?workbook=14_13.xlsx&amp;sheet=U0&amp;row=2958&amp;col=7&amp;number=1.6&amp;sourceID=14","1.6")</f>
        <v>1.6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HYPERLINK("http://141.218.60.56/~jnz1568/getInfo.php?workbook=14_13.xlsx&amp;sheet=U0&amp;row=2959&amp;col=6&amp;number=4.5&amp;sourceID=14","4.5")</f>
        <v>4.5</v>
      </c>
      <c r="G2959" s="4" t="str">
        <f>HYPERLINK("http://141.218.60.56/~jnz1568/getInfo.php?workbook=14_13.xlsx&amp;sheet=U0&amp;row=2959&amp;col=7&amp;number=1.6&amp;sourceID=14","1.6")</f>
        <v>1.6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HYPERLINK("http://141.218.60.56/~jnz1568/getInfo.php?workbook=14_13.xlsx&amp;sheet=U0&amp;row=2960&amp;col=6&amp;number=4.6&amp;sourceID=14","4.6")</f>
        <v>4.6</v>
      </c>
      <c r="G2960" s="4" t="str">
        <f>HYPERLINK("http://141.218.60.56/~jnz1568/getInfo.php?workbook=14_13.xlsx&amp;sheet=U0&amp;row=2960&amp;col=7&amp;number=1.58&amp;sourceID=14","1.58")</f>
        <v>1.58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HYPERLINK("http://141.218.60.56/~jnz1568/getInfo.php?workbook=14_13.xlsx&amp;sheet=U0&amp;row=2961&amp;col=6&amp;number=4.7&amp;sourceID=14","4.7")</f>
        <v>4.7</v>
      </c>
      <c r="G2961" s="4" t="str">
        <f>HYPERLINK("http://141.218.60.56/~jnz1568/getInfo.php?workbook=14_13.xlsx&amp;sheet=U0&amp;row=2961&amp;col=7&amp;number=1.56&amp;sourceID=14","1.56")</f>
        <v>1.56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HYPERLINK("http://141.218.60.56/~jnz1568/getInfo.php?workbook=14_13.xlsx&amp;sheet=U0&amp;row=2962&amp;col=6&amp;number=4.8&amp;sourceID=14","4.8")</f>
        <v>4.8</v>
      </c>
      <c r="G2962" s="4" t="str">
        <f>HYPERLINK("http://141.218.60.56/~jnz1568/getInfo.php?workbook=14_13.xlsx&amp;sheet=U0&amp;row=2962&amp;col=7&amp;number=1.52&amp;sourceID=14","1.52")</f>
        <v>1.52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HYPERLINK("http://141.218.60.56/~jnz1568/getInfo.php?workbook=14_13.xlsx&amp;sheet=U0&amp;row=2963&amp;col=6&amp;number=4.9&amp;sourceID=14","4.9")</f>
        <v>4.9</v>
      </c>
      <c r="G2963" s="4" t="str">
        <f>HYPERLINK("http://141.218.60.56/~jnz1568/getInfo.php?workbook=14_13.xlsx&amp;sheet=U0&amp;row=2963&amp;col=7&amp;number=1.47&amp;sourceID=14","1.47")</f>
        <v>1.47</v>
      </c>
    </row>
    <row r="2964" spans="1:7">
      <c r="A2964" s="3">
        <v>14</v>
      </c>
      <c r="B2964" s="3">
        <v>13</v>
      </c>
      <c r="C2964" s="3">
        <v>6</v>
      </c>
      <c r="D2964" s="3">
        <v>25</v>
      </c>
      <c r="E2964" s="3">
        <v>1</v>
      </c>
      <c r="F2964" s="4" t="str">
        <f>HYPERLINK("http://141.218.60.56/~jnz1568/getInfo.php?workbook=14_13.xlsx&amp;sheet=U0&amp;row=2964&amp;col=6&amp;number=3&amp;sourceID=14","3")</f>
        <v>3</v>
      </c>
      <c r="G2964" s="4" t="str">
        <f>HYPERLINK("http://141.218.60.56/~jnz1568/getInfo.php?workbook=14_13.xlsx&amp;sheet=U0&amp;row=2964&amp;col=7&amp;number=0.186&amp;sourceID=14","0.186")</f>
        <v>0.186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HYPERLINK("http://141.218.60.56/~jnz1568/getInfo.php?workbook=14_13.xlsx&amp;sheet=U0&amp;row=2965&amp;col=6&amp;number=3.1&amp;sourceID=14","3.1")</f>
        <v>3.1</v>
      </c>
      <c r="G2965" s="4" t="str">
        <f>HYPERLINK("http://141.218.60.56/~jnz1568/getInfo.php?workbook=14_13.xlsx&amp;sheet=U0&amp;row=2965&amp;col=7&amp;number=0.183&amp;sourceID=14","0.183")</f>
        <v>0.183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HYPERLINK("http://141.218.60.56/~jnz1568/getInfo.php?workbook=14_13.xlsx&amp;sheet=U0&amp;row=2966&amp;col=6&amp;number=3.2&amp;sourceID=14","3.2")</f>
        <v>3.2</v>
      </c>
      <c r="G2966" s="4" t="str">
        <f>HYPERLINK("http://141.218.60.56/~jnz1568/getInfo.php?workbook=14_13.xlsx&amp;sheet=U0&amp;row=2966&amp;col=7&amp;number=0.18&amp;sourceID=14","0.18")</f>
        <v>0.18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HYPERLINK("http://141.218.60.56/~jnz1568/getInfo.php?workbook=14_13.xlsx&amp;sheet=U0&amp;row=2967&amp;col=6&amp;number=3.3&amp;sourceID=14","3.3")</f>
        <v>3.3</v>
      </c>
      <c r="G2967" s="4" t="str">
        <f>HYPERLINK("http://141.218.60.56/~jnz1568/getInfo.php?workbook=14_13.xlsx&amp;sheet=U0&amp;row=2967&amp;col=7&amp;number=0.176&amp;sourceID=14","0.176")</f>
        <v>0.176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HYPERLINK("http://141.218.60.56/~jnz1568/getInfo.php?workbook=14_13.xlsx&amp;sheet=U0&amp;row=2968&amp;col=6&amp;number=3.4&amp;sourceID=14","3.4")</f>
        <v>3.4</v>
      </c>
      <c r="G2968" s="4" t="str">
        <f>HYPERLINK("http://141.218.60.56/~jnz1568/getInfo.php?workbook=14_13.xlsx&amp;sheet=U0&amp;row=2968&amp;col=7&amp;number=0.171&amp;sourceID=14","0.171")</f>
        <v>0.171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HYPERLINK("http://141.218.60.56/~jnz1568/getInfo.php?workbook=14_13.xlsx&amp;sheet=U0&amp;row=2969&amp;col=6&amp;number=3.5&amp;sourceID=14","3.5")</f>
        <v>3.5</v>
      </c>
      <c r="G2969" s="4" t="str">
        <f>HYPERLINK("http://141.218.60.56/~jnz1568/getInfo.php?workbook=14_13.xlsx&amp;sheet=U0&amp;row=2969&amp;col=7&amp;number=0.166&amp;sourceID=14","0.166")</f>
        <v>0.166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HYPERLINK("http://141.218.60.56/~jnz1568/getInfo.php?workbook=14_13.xlsx&amp;sheet=U0&amp;row=2970&amp;col=6&amp;number=3.6&amp;sourceID=14","3.6")</f>
        <v>3.6</v>
      </c>
      <c r="G2970" s="4" t="str">
        <f>HYPERLINK("http://141.218.60.56/~jnz1568/getInfo.php?workbook=14_13.xlsx&amp;sheet=U0&amp;row=2970&amp;col=7&amp;number=0.161&amp;sourceID=14","0.161")</f>
        <v>0.161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HYPERLINK("http://141.218.60.56/~jnz1568/getInfo.php?workbook=14_13.xlsx&amp;sheet=U0&amp;row=2971&amp;col=6&amp;number=3.7&amp;sourceID=14","3.7")</f>
        <v>3.7</v>
      </c>
      <c r="G2971" s="4" t="str">
        <f>HYPERLINK("http://141.218.60.56/~jnz1568/getInfo.php?workbook=14_13.xlsx&amp;sheet=U0&amp;row=2971&amp;col=7&amp;number=0.157&amp;sourceID=14","0.157")</f>
        <v>0.157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HYPERLINK("http://141.218.60.56/~jnz1568/getInfo.php?workbook=14_13.xlsx&amp;sheet=U0&amp;row=2972&amp;col=6&amp;number=3.8&amp;sourceID=14","3.8")</f>
        <v>3.8</v>
      </c>
      <c r="G2972" s="4" t="str">
        <f>HYPERLINK("http://141.218.60.56/~jnz1568/getInfo.php?workbook=14_13.xlsx&amp;sheet=U0&amp;row=2972&amp;col=7&amp;number=0.154&amp;sourceID=14","0.154")</f>
        <v>0.154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HYPERLINK("http://141.218.60.56/~jnz1568/getInfo.php?workbook=14_13.xlsx&amp;sheet=U0&amp;row=2973&amp;col=6&amp;number=3.9&amp;sourceID=14","3.9")</f>
        <v>3.9</v>
      </c>
      <c r="G2973" s="4" t="str">
        <f>HYPERLINK("http://141.218.60.56/~jnz1568/getInfo.php?workbook=14_13.xlsx&amp;sheet=U0&amp;row=2973&amp;col=7&amp;number=0.152&amp;sourceID=14","0.152")</f>
        <v>0.152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HYPERLINK("http://141.218.60.56/~jnz1568/getInfo.php?workbook=14_13.xlsx&amp;sheet=U0&amp;row=2974&amp;col=6&amp;number=4&amp;sourceID=14","4")</f>
        <v>4</v>
      </c>
      <c r="G2974" s="4" t="str">
        <f>HYPERLINK("http://141.218.60.56/~jnz1568/getInfo.php?workbook=14_13.xlsx&amp;sheet=U0&amp;row=2974&amp;col=7&amp;number=0.151&amp;sourceID=14","0.151")</f>
        <v>0.151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HYPERLINK("http://141.218.60.56/~jnz1568/getInfo.php?workbook=14_13.xlsx&amp;sheet=U0&amp;row=2975&amp;col=6&amp;number=4.1&amp;sourceID=14","4.1")</f>
        <v>4.1</v>
      </c>
      <c r="G2975" s="4" t="str">
        <f>HYPERLINK("http://141.218.60.56/~jnz1568/getInfo.php?workbook=14_13.xlsx&amp;sheet=U0&amp;row=2975&amp;col=7&amp;number=0.151&amp;sourceID=14","0.151")</f>
        <v>0.151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HYPERLINK("http://141.218.60.56/~jnz1568/getInfo.php?workbook=14_13.xlsx&amp;sheet=U0&amp;row=2976&amp;col=6&amp;number=4.2&amp;sourceID=14","4.2")</f>
        <v>4.2</v>
      </c>
      <c r="G2976" s="4" t="str">
        <f>HYPERLINK("http://141.218.60.56/~jnz1568/getInfo.php?workbook=14_13.xlsx&amp;sheet=U0&amp;row=2976&amp;col=7&amp;number=0.152&amp;sourceID=14","0.152")</f>
        <v>0.152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HYPERLINK("http://141.218.60.56/~jnz1568/getInfo.php?workbook=14_13.xlsx&amp;sheet=U0&amp;row=2977&amp;col=6&amp;number=4.3&amp;sourceID=14","4.3")</f>
        <v>4.3</v>
      </c>
      <c r="G2977" s="4" t="str">
        <f>HYPERLINK("http://141.218.60.56/~jnz1568/getInfo.php?workbook=14_13.xlsx&amp;sheet=U0&amp;row=2977&amp;col=7&amp;number=0.152&amp;sourceID=14","0.152")</f>
        <v>0.152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HYPERLINK("http://141.218.60.56/~jnz1568/getInfo.php?workbook=14_13.xlsx&amp;sheet=U0&amp;row=2978&amp;col=6&amp;number=4.4&amp;sourceID=14","4.4")</f>
        <v>4.4</v>
      </c>
      <c r="G2978" s="4" t="str">
        <f>HYPERLINK("http://141.218.60.56/~jnz1568/getInfo.php?workbook=14_13.xlsx&amp;sheet=U0&amp;row=2978&amp;col=7&amp;number=0.153&amp;sourceID=14","0.153")</f>
        <v>0.153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HYPERLINK("http://141.218.60.56/~jnz1568/getInfo.php?workbook=14_13.xlsx&amp;sheet=U0&amp;row=2979&amp;col=6&amp;number=4.5&amp;sourceID=14","4.5")</f>
        <v>4.5</v>
      </c>
      <c r="G2979" s="4" t="str">
        <f>HYPERLINK("http://141.218.60.56/~jnz1568/getInfo.php?workbook=14_13.xlsx&amp;sheet=U0&amp;row=2979&amp;col=7&amp;number=0.153&amp;sourceID=14","0.153")</f>
        <v>0.153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HYPERLINK("http://141.218.60.56/~jnz1568/getInfo.php?workbook=14_13.xlsx&amp;sheet=U0&amp;row=2980&amp;col=6&amp;number=4.6&amp;sourceID=14","4.6")</f>
        <v>4.6</v>
      </c>
      <c r="G2980" s="4" t="str">
        <f>HYPERLINK("http://141.218.60.56/~jnz1568/getInfo.php?workbook=14_13.xlsx&amp;sheet=U0&amp;row=2980&amp;col=7&amp;number=0.152&amp;sourceID=14","0.152")</f>
        <v>0.152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HYPERLINK("http://141.218.60.56/~jnz1568/getInfo.php?workbook=14_13.xlsx&amp;sheet=U0&amp;row=2981&amp;col=6&amp;number=4.7&amp;sourceID=14","4.7")</f>
        <v>4.7</v>
      </c>
      <c r="G2981" s="4" t="str">
        <f>HYPERLINK("http://141.218.60.56/~jnz1568/getInfo.php?workbook=14_13.xlsx&amp;sheet=U0&amp;row=2981&amp;col=7&amp;number=0.149&amp;sourceID=14","0.149")</f>
        <v>0.149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HYPERLINK("http://141.218.60.56/~jnz1568/getInfo.php?workbook=14_13.xlsx&amp;sheet=U0&amp;row=2982&amp;col=6&amp;number=4.8&amp;sourceID=14","4.8")</f>
        <v>4.8</v>
      </c>
      <c r="G2982" s="4" t="str">
        <f>HYPERLINK("http://141.218.60.56/~jnz1568/getInfo.php?workbook=14_13.xlsx&amp;sheet=U0&amp;row=2982&amp;col=7&amp;number=0.145&amp;sourceID=14","0.145")</f>
        <v>0.145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HYPERLINK("http://141.218.60.56/~jnz1568/getInfo.php?workbook=14_13.xlsx&amp;sheet=U0&amp;row=2983&amp;col=6&amp;number=4.9&amp;sourceID=14","4.9")</f>
        <v>4.9</v>
      </c>
      <c r="G2983" s="4" t="str">
        <f>HYPERLINK("http://141.218.60.56/~jnz1568/getInfo.php?workbook=14_13.xlsx&amp;sheet=U0&amp;row=2983&amp;col=7&amp;number=0.14&amp;sourceID=14","0.14")</f>
        <v>0.14</v>
      </c>
    </row>
    <row r="2984" spans="1:7">
      <c r="A2984" s="3">
        <v>14</v>
      </c>
      <c r="B2984" s="3">
        <v>13</v>
      </c>
      <c r="C2984" s="3">
        <v>6</v>
      </c>
      <c r="D2984" s="3">
        <v>26</v>
      </c>
      <c r="E2984" s="3">
        <v>1</v>
      </c>
      <c r="F2984" s="4" t="str">
        <f>HYPERLINK("http://141.218.60.56/~jnz1568/getInfo.php?workbook=14_13.xlsx&amp;sheet=U0&amp;row=2984&amp;col=6&amp;number=3&amp;sourceID=14","3")</f>
        <v>3</v>
      </c>
      <c r="G2984" s="4" t="str">
        <f>HYPERLINK("http://141.218.60.56/~jnz1568/getInfo.php?workbook=14_13.xlsx&amp;sheet=U0&amp;row=2984&amp;col=7&amp;number=0.466&amp;sourceID=14","0.466")</f>
        <v>0.466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HYPERLINK("http://141.218.60.56/~jnz1568/getInfo.php?workbook=14_13.xlsx&amp;sheet=U0&amp;row=2985&amp;col=6&amp;number=3.1&amp;sourceID=14","3.1")</f>
        <v>3.1</v>
      </c>
      <c r="G2985" s="4" t="str">
        <f>HYPERLINK("http://141.218.60.56/~jnz1568/getInfo.php?workbook=14_13.xlsx&amp;sheet=U0&amp;row=2985&amp;col=7&amp;number=0.469&amp;sourceID=14","0.469")</f>
        <v>0.469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HYPERLINK("http://141.218.60.56/~jnz1568/getInfo.php?workbook=14_13.xlsx&amp;sheet=U0&amp;row=2986&amp;col=6&amp;number=3.2&amp;sourceID=14","3.2")</f>
        <v>3.2</v>
      </c>
      <c r="G2986" s="4" t="str">
        <f>HYPERLINK("http://141.218.60.56/~jnz1568/getInfo.php?workbook=14_13.xlsx&amp;sheet=U0&amp;row=2986&amp;col=7&amp;number=0.473&amp;sourceID=14","0.473")</f>
        <v>0.473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HYPERLINK("http://141.218.60.56/~jnz1568/getInfo.php?workbook=14_13.xlsx&amp;sheet=U0&amp;row=2987&amp;col=6&amp;number=3.3&amp;sourceID=14","3.3")</f>
        <v>3.3</v>
      </c>
      <c r="G2987" s="4" t="str">
        <f>HYPERLINK("http://141.218.60.56/~jnz1568/getInfo.php?workbook=14_13.xlsx&amp;sheet=U0&amp;row=2987&amp;col=7&amp;number=0.478&amp;sourceID=14","0.478")</f>
        <v>0.478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HYPERLINK("http://141.218.60.56/~jnz1568/getInfo.php?workbook=14_13.xlsx&amp;sheet=U0&amp;row=2988&amp;col=6&amp;number=3.4&amp;sourceID=14","3.4")</f>
        <v>3.4</v>
      </c>
      <c r="G2988" s="4" t="str">
        <f>HYPERLINK("http://141.218.60.56/~jnz1568/getInfo.php?workbook=14_13.xlsx&amp;sheet=U0&amp;row=2988&amp;col=7&amp;number=0.484&amp;sourceID=14","0.484")</f>
        <v>0.484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HYPERLINK("http://141.218.60.56/~jnz1568/getInfo.php?workbook=14_13.xlsx&amp;sheet=U0&amp;row=2989&amp;col=6&amp;number=3.5&amp;sourceID=14","3.5")</f>
        <v>3.5</v>
      </c>
      <c r="G2989" s="4" t="str">
        <f>HYPERLINK("http://141.218.60.56/~jnz1568/getInfo.php?workbook=14_13.xlsx&amp;sheet=U0&amp;row=2989&amp;col=7&amp;number=0.492&amp;sourceID=14","0.492")</f>
        <v>0.492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HYPERLINK("http://141.218.60.56/~jnz1568/getInfo.php?workbook=14_13.xlsx&amp;sheet=U0&amp;row=2990&amp;col=6&amp;number=3.6&amp;sourceID=14","3.6")</f>
        <v>3.6</v>
      </c>
      <c r="G2990" s="4" t="str">
        <f>HYPERLINK("http://141.218.60.56/~jnz1568/getInfo.php?workbook=14_13.xlsx&amp;sheet=U0&amp;row=2990&amp;col=7&amp;number=0.501&amp;sourceID=14","0.501")</f>
        <v>0.501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HYPERLINK("http://141.218.60.56/~jnz1568/getInfo.php?workbook=14_13.xlsx&amp;sheet=U0&amp;row=2991&amp;col=6&amp;number=3.7&amp;sourceID=14","3.7")</f>
        <v>3.7</v>
      </c>
      <c r="G2991" s="4" t="str">
        <f>HYPERLINK("http://141.218.60.56/~jnz1568/getInfo.php?workbook=14_13.xlsx&amp;sheet=U0&amp;row=2991&amp;col=7&amp;number=0.513&amp;sourceID=14","0.513")</f>
        <v>0.513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HYPERLINK("http://141.218.60.56/~jnz1568/getInfo.php?workbook=14_13.xlsx&amp;sheet=U0&amp;row=2992&amp;col=6&amp;number=3.8&amp;sourceID=14","3.8")</f>
        <v>3.8</v>
      </c>
      <c r="G2992" s="4" t="str">
        <f>HYPERLINK("http://141.218.60.56/~jnz1568/getInfo.php?workbook=14_13.xlsx&amp;sheet=U0&amp;row=2992&amp;col=7&amp;number=0.529&amp;sourceID=14","0.529")</f>
        <v>0.529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HYPERLINK("http://141.218.60.56/~jnz1568/getInfo.php?workbook=14_13.xlsx&amp;sheet=U0&amp;row=2993&amp;col=6&amp;number=3.9&amp;sourceID=14","3.9")</f>
        <v>3.9</v>
      </c>
      <c r="G2993" s="4" t="str">
        <f>HYPERLINK("http://141.218.60.56/~jnz1568/getInfo.php?workbook=14_13.xlsx&amp;sheet=U0&amp;row=2993&amp;col=7&amp;number=0.548&amp;sourceID=14","0.548")</f>
        <v>0.548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HYPERLINK("http://141.218.60.56/~jnz1568/getInfo.php?workbook=14_13.xlsx&amp;sheet=U0&amp;row=2994&amp;col=6&amp;number=4&amp;sourceID=14","4")</f>
        <v>4</v>
      </c>
      <c r="G2994" s="4" t="str">
        <f>HYPERLINK("http://141.218.60.56/~jnz1568/getInfo.php?workbook=14_13.xlsx&amp;sheet=U0&amp;row=2994&amp;col=7&amp;number=0.569&amp;sourceID=14","0.569")</f>
        <v>0.569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HYPERLINK("http://141.218.60.56/~jnz1568/getInfo.php?workbook=14_13.xlsx&amp;sheet=U0&amp;row=2995&amp;col=6&amp;number=4.1&amp;sourceID=14","4.1")</f>
        <v>4.1</v>
      </c>
      <c r="G2995" s="4" t="str">
        <f>HYPERLINK("http://141.218.60.56/~jnz1568/getInfo.php?workbook=14_13.xlsx&amp;sheet=U0&amp;row=2995&amp;col=7&amp;number=0.591&amp;sourceID=14","0.591")</f>
        <v>0.591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HYPERLINK("http://141.218.60.56/~jnz1568/getInfo.php?workbook=14_13.xlsx&amp;sheet=U0&amp;row=2996&amp;col=6&amp;number=4.2&amp;sourceID=14","4.2")</f>
        <v>4.2</v>
      </c>
      <c r="G2996" s="4" t="str">
        <f>HYPERLINK("http://141.218.60.56/~jnz1568/getInfo.php?workbook=14_13.xlsx&amp;sheet=U0&amp;row=2996&amp;col=7&amp;number=0.613&amp;sourceID=14","0.613")</f>
        <v>0.613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HYPERLINK("http://141.218.60.56/~jnz1568/getInfo.php?workbook=14_13.xlsx&amp;sheet=U0&amp;row=2997&amp;col=6&amp;number=4.3&amp;sourceID=14","4.3")</f>
        <v>4.3</v>
      </c>
      <c r="G2997" s="4" t="str">
        <f>HYPERLINK("http://141.218.60.56/~jnz1568/getInfo.php?workbook=14_13.xlsx&amp;sheet=U0&amp;row=2997&amp;col=7&amp;number=0.633&amp;sourceID=14","0.633")</f>
        <v>0.633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HYPERLINK("http://141.218.60.56/~jnz1568/getInfo.php?workbook=14_13.xlsx&amp;sheet=U0&amp;row=2998&amp;col=6&amp;number=4.4&amp;sourceID=14","4.4")</f>
        <v>4.4</v>
      </c>
      <c r="G2998" s="4" t="str">
        <f>HYPERLINK("http://141.218.60.56/~jnz1568/getInfo.php?workbook=14_13.xlsx&amp;sheet=U0&amp;row=2998&amp;col=7&amp;number=0.648&amp;sourceID=14","0.648")</f>
        <v>0.648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HYPERLINK("http://141.218.60.56/~jnz1568/getInfo.php?workbook=14_13.xlsx&amp;sheet=U0&amp;row=2999&amp;col=6&amp;number=4.5&amp;sourceID=14","4.5")</f>
        <v>4.5</v>
      </c>
      <c r="G2999" s="4" t="str">
        <f>HYPERLINK("http://141.218.60.56/~jnz1568/getInfo.php?workbook=14_13.xlsx&amp;sheet=U0&amp;row=2999&amp;col=7&amp;number=0.659&amp;sourceID=14","0.659")</f>
        <v>0.659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HYPERLINK("http://141.218.60.56/~jnz1568/getInfo.php?workbook=14_13.xlsx&amp;sheet=U0&amp;row=3000&amp;col=6&amp;number=4.6&amp;sourceID=14","4.6")</f>
        <v>4.6</v>
      </c>
      <c r="G3000" s="4" t="str">
        <f>HYPERLINK("http://141.218.60.56/~jnz1568/getInfo.php?workbook=14_13.xlsx&amp;sheet=U0&amp;row=3000&amp;col=7&amp;number=0.663&amp;sourceID=14","0.663")</f>
        <v>0.663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HYPERLINK("http://141.218.60.56/~jnz1568/getInfo.php?workbook=14_13.xlsx&amp;sheet=U0&amp;row=3001&amp;col=6&amp;number=4.7&amp;sourceID=14","4.7")</f>
        <v>4.7</v>
      </c>
      <c r="G3001" s="4" t="str">
        <f>HYPERLINK("http://141.218.60.56/~jnz1568/getInfo.php?workbook=14_13.xlsx&amp;sheet=U0&amp;row=3001&amp;col=7&amp;number=0.662&amp;sourceID=14","0.662")</f>
        <v>0.662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HYPERLINK("http://141.218.60.56/~jnz1568/getInfo.php?workbook=14_13.xlsx&amp;sheet=U0&amp;row=3002&amp;col=6&amp;number=4.8&amp;sourceID=14","4.8")</f>
        <v>4.8</v>
      </c>
      <c r="G3002" s="4" t="str">
        <f>HYPERLINK("http://141.218.60.56/~jnz1568/getInfo.php?workbook=14_13.xlsx&amp;sheet=U0&amp;row=3002&amp;col=7&amp;number=0.656&amp;sourceID=14","0.656")</f>
        <v>0.656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HYPERLINK("http://141.218.60.56/~jnz1568/getInfo.php?workbook=14_13.xlsx&amp;sheet=U0&amp;row=3003&amp;col=6&amp;number=4.9&amp;sourceID=14","4.9")</f>
        <v>4.9</v>
      </c>
      <c r="G3003" s="4" t="str">
        <f>HYPERLINK("http://141.218.60.56/~jnz1568/getInfo.php?workbook=14_13.xlsx&amp;sheet=U0&amp;row=3003&amp;col=7&amp;number=0.646&amp;sourceID=14","0.646")</f>
        <v>0.646</v>
      </c>
    </row>
    <row r="3004" spans="1:7">
      <c r="A3004" s="3">
        <v>14</v>
      </c>
      <c r="B3004" s="3">
        <v>13</v>
      </c>
      <c r="C3004" s="3">
        <v>6</v>
      </c>
      <c r="D3004" s="3">
        <v>27</v>
      </c>
      <c r="E3004" s="3">
        <v>1</v>
      </c>
      <c r="F3004" s="4" t="str">
        <f>HYPERLINK("http://141.218.60.56/~jnz1568/getInfo.php?workbook=14_13.xlsx&amp;sheet=U0&amp;row=3004&amp;col=6&amp;number=3&amp;sourceID=14","3")</f>
        <v>3</v>
      </c>
      <c r="G3004" s="4" t="str">
        <f>HYPERLINK("http://141.218.60.56/~jnz1568/getInfo.php?workbook=14_13.xlsx&amp;sheet=U0&amp;row=3004&amp;col=7&amp;number=0.364&amp;sourceID=14","0.364")</f>
        <v>0.364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HYPERLINK("http://141.218.60.56/~jnz1568/getInfo.php?workbook=14_13.xlsx&amp;sheet=U0&amp;row=3005&amp;col=6&amp;number=3.1&amp;sourceID=14","3.1")</f>
        <v>3.1</v>
      </c>
      <c r="G3005" s="4" t="str">
        <f>HYPERLINK("http://141.218.60.56/~jnz1568/getInfo.php?workbook=14_13.xlsx&amp;sheet=U0&amp;row=3005&amp;col=7&amp;number=0.364&amp;sourceID=14","0.364")</f>
        <v>0.364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HYPERLINK("http://141.218.60.56/~jnz1568/getInfo.php?workbook=14_13.xlsx&amp;sheet=U0&amp;row=3006&amp;col=6&amp;number=3.2&amp;sourceID=14","3.2")</f>
        <v>3.2</v>
      </c>
      <c r="G3006" s="4" t="str">
        <f>HYPERLINK("http://141.218.60.56/~jnz1568/getInfo.php?workbook=14_13.xlsx&amp;sheet=U0&amp;row=3006&amp;col=7&amp;number=0.363&amp;sourceID=14","0.363")</f>
        <v>0.363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HYPERLINK("http://141.218.60.56/~jnz1568/getInfo.php?workbook=14_13.xlsx&amp;sheet=U0&amp;row=3007&amp;col=6&amp;number=3.3&amp;sourceID=14","3.3")</f>
        <v>3.3</v>
      </c>
      <c r="G3007" s="4" t="str">
        <f>HYPERLINK("http://141.218.60.56/~jnz1568/getInfo.php?workbook=14_13.xlsx&amp;sheet=U0&amp;row=3007&amp;col=7&amp;number=0.362&amp;sourceID=14","0.362")</f>
        <v>0.362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HYPERLINK("http://141.218.60.56/~jnz1568/getInfo.php?workbook=14_13.xlsx&amp;sheet=U0&amp;row=3008&amp;col=6&amp;number=3.4&amp;sourceID=14","3.4")</f>
        <v>3.4</v>
      </c>
      <c r="G3008" s="4" t="str">
        <f>HYPERLINK("http://141.218.60.56/~jnz1568/getInfo.php?workbook=14_13.xlsx&amp;sheet=U0&amp;row=3008&amp;col=7&amp;number=0.362&amp;sourceID=14","0.362")</f>
        <v>0.362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HYPERLINK("http://141.218.60.56/~jnz1568/getInfo.php?workbook=14_13.xlsx&amp;sheet=U0&amp;row=3009&amp;col=6&amp;number=3.5&amp;sourceID=14","3.5")</f>
        <v>3.5</v>
      </c>
      <c r="G3009" s="4" t="str">
        <f>HYPERLINK("http://141.218.60.56/~jnz1568/getInfo.php?workbook=14_13.xlsx&amp;sheet=U0&amp;row=3009&amp;col=7&amp;number=0.362&amp;sourceID=14","0.362")</f>
        <v>0.362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HYPERLINK("http://141.218.60.56/~jnz1568/getInfo.php?workbook=14_13.xlsx&amp;sheet=U0&amp;row=3010&amp;col=6&amp;number=3.6&amp;sourceID=14","3.6")</f>
        <v>3.6</v>
      </c>
      <c r="G3010" s="4" t="str">
        <f>HYPERLINK("http://141.218.60.56/~jnz1568/getInfo.php?workbook=14_13.xlsx&amp;sheet=U0&amp;row=3010&amp;col=7&amp;number=0.362&amp;sourceID=14","0.362")</f>
        <v>0.362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HYPERLINK("http://141.218.60.56/~jnz1568/getInfo.php?workbook=14_13.xlsx&amp;sheet=U0&amp;row=3011&amp;col=6&amp;number=3.7&amp;sourceID=14","3.7")</f>
        <v>3.7</v>
      </c>
      <c r="G3011" s="4" t="str">
        <f>HYPERLINK("http://141.218.60.56/~jnz1568/getInfo.php?workbook=14_13.xlsx&amp;sheet=U0&amp;row=3011&amp;col=7&amp;number=0.364&amp;sourceID=14","0.364")</f>
        <v>0.364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HYPERLINK("http://141.218.60.56/~jnz1568/getInfo.php?workbook=14_13.xlsx&amp;sheet=U0&amp;row=3012&amp;col=6&amp;number=3.8&amp;sourceID=14","3.8")</f>
        <v>3.8</v>
      </c>
      <c r="G3012" s="4" t="str">
        <f>HYPERLINK("http://141.218.60.56/~jnz1568/getInfo.php?workbook=14_13.xlsx&amp;sheet=U0&amp;row=3012&amp;col=7&amp;number=0.367&amp;sourceID=14","0.367")</f>
        <v>0.367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HYPERLINK("http://141.218.60.56/~jnz1568/getInfo.php?workbook=14_13.xlsx&amp;sheet=U0&amp;row=3013&amp;col=6&amp;number=3.9&amp;sourceID=14","3.9")</f>
        <v>3.9</v>
      </c>
      <c r="G3013" s="4" t="str">
        <f>HYPERLINK("http://141.218.60.56/~jnz1568/getInfo.php?workbook=14_13.xlsx&amp;sheet=U0&amp;row=3013&amp;col=7&amp;number=0.371&amp;sourceID=14","0.371")</f>
        <v>0.371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HYPERLINK("http://141.218.60.56/~jnz1568/getInfo.php?workbook=14_13.xlsx&amp;sheet=U0&amp;row=3014&amp;col=6&amp;number=4&amp;sourceID=14","4")</f>
        <v>4</v>
      </c>
      <c r="G3014" s="4" t="str">
        <f>HYPERLINK("http://141.218.60.56/~jnz1568/getInfo.php?workbook=14_13.xlsx&amp;sheet=U0&amp;row=3014&amp;col=7&amp;number=0.376&amp;sourceID=14","0.376")</f>
        <v>0.376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HYPERLINK("http://141.218.60.56/~jnz1568/getInfo.php?workbook=14_13.xlsx&amp;sheet=U0&amp;row=3015&amp;col=6&amp;number=4.1&amp;sourceID=14","4.1")</f>
        <v>4.1</v>
      </c>
      <c r="G3015" s="4" t="str">
        <f>HYPERLINK("http://141.218.60.56/~jnz1568/getInfo.php?workbook=14_13.xlsx&amp;sheet=U0&amp;row=3015&amp;col=7&amp;number=0.381&amp;sourceID=14","0.381")</f>
        <v>0.381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HYPERLINK("http://141.218.60.56/~jnz1568/getInfo.php?workbook=14_13.xlsx&amp;sheet=U0&amp;row=3016&amp;col=6&amp;number=4.2&amp;sourceID=14","4.2")</f>
        <v>4.2</v>
      </c>
      <c r="G3016" s="4" t="str">
        <f>HYPERLINK("http://141.218.60.56/~jnz1568/getInfo.php?workbook=14_13.xlsx&amp;sheet=U0&amp;row=3016&amp;col=7&amp;number=0.386&amp;sourceID=14","0.386")</f>
        <v>0.386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HYPERLINK("http://141.218.60.56/~jnz1568/getInfo.php?workbook=14_13.xlsx&amp;sheet=U0&amp;row=3017&amp;col=6&amp;number=4.3&amp;sourceID=14","4.3")</f>
        <v>4.3</v>
      </c>
      <c r="G3017" s="4" t="str">
        <f>HYPERLINK("http://141.218.60.56/~jnz1568/getInfo.php?workbook=14_13.xlsx&amp;sheet=U0&amp;row=3017&amp;col=7&amp;number=0.388&amp;sourceID=14","0.388")</f>
        <v>0.388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HYPERLINK("http://141.218.60.56/~jnz1568/getInfo.php?workbook=14_13.xlsx&amp;sheet=U0&amp;row=3018&amp;col=6&amp;number=4.4&amp;sourceID=14","4.4")</f>
        <v>4.4</v>
      </c>
      <c r="G3018" s="4" t="str">
        <f>HYPERLINK("http://141.218.60.56/~jnz1568/getInfo.php?workbook=14_13.xlsx&amp;sheet=U0&amp;row=3018&amp;col=7&amp;number=0.388&amp;sourceID=14","0.388")</f>
        <v>0.388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HYPERLINK("http://141.218.60.56/~jnz1568/getInfo.php?workbook=14_13.xlsx&amp;sheet=U0&amp;row=3019&amp;col=6&amp;number=4.5&amp;sourceID=14","4.5")</f>
        <v>4.5</v>
      </c>
      <c r="G3019" s="4" t="str">
        <f>HYPERLINK("http://141.218.60.56/~jnz1568/getInfo.php?workbook=14_13.xlsx&amp;sheet=U0&amp;row=3019&amp;col=7&amp;number=0.383&amp;sourceID=14","0.383")</f>
        <v>0.383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HYPERLINK("http://141.218.60.56/~jnz1568/getInfo.php?workbook=14_13.xlsx&amp;sheet=U0&amp;row=3020&amp;col=6&amp;number=4.6&amp;sourceID=14","4.6")</f>
        <v>4.6</v>
      </c>
      <c r="G3020" s="4" t="str">
        <f>HYPERLINK("http://141.218.60.56/~jnz1568/getInfo.php?workbook=14_13.xlsx&amp;sheet=U0&amp;row=3020&amp;col=7&amp;number=0.375&amp;sourceID=14","0.375")</f>
        <v>0.375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HYPERLINK("http://141.218.60.56/~jnz1568/getInfo.php?workbook=14_13.xlsx&amp;sheet=U0&amp;row=3021&amp;col=6&amp;number=4.7&amp;sourceID=14","4.7")</f>
        <v>4.7</v>
      </c>
      <c r="G3021" s="4" t="str">
        <f>HYPERLINK("http://141.218.60.56/~jnz1568/getInfo.php?workbook=14_13.xlsx&amp;sheet=U0&amp;row=3021&amp;col=7&amp;number=0.363&amp;sourceID=14","0.363")</f>
        <v>0.363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HYPERLINK("http://141.218.60.56/~jnz1568/getInfo.php?workbook=14_13.xlsx&amp;sheet=U0&amp;row=3022&amp;col=6&amp;number=4.8&amp;sourceID=14","4.8")</f>
        <v>4.8</v>
      </c>
      <c r="G3022" s="4" t="str">
        <f>HYPERLINK("http://141.218.60.56/~jnz1568/getInfo.php?workbook=14_13.xlsx&amp;sheet=U0&amp;row=3022&amp;col=7&amp;number=0.347&amp;sourceID=14","0.347")</f>
        <v>0.347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HYPERLINK("http://141.218.60.56/~jnz1568/getInfo.php?workbook=14_13.xlsx&amp;sheet=U0&amp;row=3023&amp;col=6&amp;number=4.9&amp;sourceID=14","4.9")</f>
        <v>4.9</v>
      </c>
      <c r="G3023" s="4" t="str">
        <f>HYPERLINK("http://141.218.60.56/~jnz1568/getInfo.php?workbook=14_13.xlsx&amp;sheet=U0&amp;row=3023&amp;col=7&amp;number=0.327&amp;sourceID=14","0.327")</f>
        <v>0.327</v>
      </c>
    </row>
    <row r="3024" spans="1:7">
      <c r="A3024" s="3">
        <v>14</v>
      </c>
      <c r="B3024" s="3">
        <v>13</v>
      </c>
      <c r="C3024" s="3">
        <v>6</v>
      </c>
      <c r="D3024" s="3">
        <v>28</v>
      </c>
      <c r="E3024" s="3">
        <v>1</v>
      </c>
      <c r="F3024" s="4" t="str">
        <f>HYPERLINK("http://141.218.60.56/~jnz1568/getInfo.php?workbook=14_13.xlsx&amp;sheet=U0&amp;row=3024&amp;col=6&amp;number=3&amp;sourceID=14","3")</f>
        <v>3</v>
      </c>
      <c r="G3024" s="4" t="str">
        <f>HYPERLINK("http://141.218.60.56/~jnz1568/getInfo.php?workbook=14_13.xlsx&amp;sheet=U0&amp;row=3024&amp;col=7&amp;number=0.115&amp;sourceID=14","0.115")</f>
        <v>0.115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HYPERLINK("http://141.218.60.56/~jnz1568/getInfo.php?workbook=14_13.xlsx&amp;sheet=U0&amp;row=3025&amp;col=6&amp;number=3.1&amp;sourceID=14","3.1")</f>
        <v>3.1</v>
      </c>
      <c r="G3025" s="4" t="str">
        <f>HYPERLINK("http://141.218.60.56/~jnz1568/getInfo.php?workbook=14_13.xlsx&amp;sheet=U0&amp;row=3025&amp;col=7&amp;number=0.115&amp;sourceID=14","0.115")</f>
        <v>0.115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HYPERLINK("http://141.218.60.56/~jnz1568/getInfo.php?workbook=14_13.xlsx&amp;sheet=U0&amp;row=3026&amp;col=6&amp;number=3.2&amp;sourceID=14","3.2")</f>
        <v>3.2</v>
      </c>
      <c r="G3026" s="4" t="str">
        <f>HYPERLINK("http://141.218.60.56/~jnz1568/getInfo.php?workbook=14_13.xlsx&amp;sheet=U0&amp;row=3026&amp;col=7&amp;number=0.115&amp;sourceID=14","0.115")</f>
        <v>0.115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HYPERLINK("http://141.218.60.56/~jnz1568/getInfo.php?workbook=14_13.xlsx&amp;sheet=U0&amp;row=3027&amp;col=6&amp;number=3.3&amp;sourceID=14","3.3")</f>
        <v>3.3</v>
      </c>
      <c r="G3027" s="4" t="str">
        <f>HYPERLINK("http://141.218.60.56/~jnz1568/getInfo.php?workbook=14_13.xlsx&amp;sheet=U0&amp;row=3027&amp;col=7&amp;number=0.116&amp;sourceID=14","0.116")</f>
        <v>0.116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HYPERLINK("http://141.218.60.56/~jnz1568/getInfo.php?workbook=14_13.xlsx&amp;sheet=U0&amp;row=3028&amp;col=6&amp;number=3.4&amp;sourceID=14","3.4")</f>
        <v>3.4</v>
      </c>
      <c r="G3028" s="4" t="str">
        <f>HYPERLINK("http://141.218.60.56/~jnz1568/getInfo.php?workbook=14_13.xlsx&amp;sheet=U0&amp;row=3028&amp;col=7&amp;number=0.116&amp;sourceID=14","0.116")</f>
        <v>0.116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HYPERLINK("http://141.218.60.56/~jnz1568/getInfo.php?workbook=14_13.xlsx&amp;sheet=U0&amp;row=3029&amp;col=6&amp;number=3.5&amp;sourceID=14","3.5")</f>
        <v>3.5</v>
      </c>
      <c r="G3029" s="4" t="str">
        <f>HYPERLINK("http://141.218.60.56/~jnz1568/getInfo.php?workbook=14_13.xlsx&amp;sheet=U0&amp;row=3029&amp;col=7&amp;number=0.117&amp;sourceID=14","0.117")</f>
        <v>0.117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HYPERLINK("http://141.218.60.56/~jnz1568/getInfo.php?workbook=14_13.xlsx&amp;sheet=U0&amp;row=3030&amp;col=6&amp;number=3.6&amp;sourceID=14","3.6")</f>
        <v>3.6</v>
      </c>
      <c r="G3030" s="4" t="str">
        <f>HYPERLINK("http://141.218.60.56/~jnz1568/getInfo.php?workbook=14_13.xlsx&amp;sheet=U0&amp;row=3030&amp;col=7&amp;number=0.118&amp;sourceID=14","0.118")</f>
        <v>0.118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HYPERLINK("http://141.218.60.56/~jnz1568/getInfo.php?workbook=14_13.xlsx&amp;sheet=U0&amp;row=3031&amp;col=6&amp;number=3.7&amp;sourceID=14","3.7")</f>
        <v>3.7</v>
      </c>
      <c r="G3031" s="4" t="str">
        <f>HYPERLINK("http://141.218.60.56/~jnz1568/getInfo.php?workbook=14_13.xlsx&amp;sheet=U0&amp;row=3031&amp;col=7&amp;number=0.12&amp;sourceID=14","0.12")</f>
        <v>0.12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HYPERLINK("http://141.218.60.56/~jnz1568/getInfo.php?workbook=14_13.xlsx&amp;sheet=U0&amp;row=3032&amp;col=6&amp;number=3.8&amp;sourceID=14","3.8")</f>
        <v>3.8</v>
      </c>
      <c r="G3032" s="4" t="str">
        <f>HYPERLINK("http://141.218.60.56/~jnz1568/getInfo.php?workbook=14_13.xlsx&amp;sheet=U0&amp;row=3032&amp;col=7&amp;number=0.123&amp;sourceID=14","0.123")</f>
        <v>0.123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HYPERLINK("http://141.218.60.56/~jnz1568/getInfo.php?workbook=14_13.xlsx&amp;sheet=U0&amp;row=3033&amp;col=6&amp;number=3.9&amp;sourceID=14","3.9")</f>
        <v>3.9</v>
      </c>
      <c r="G3033" s="4" t="str">
        <f>HYPERLINK("http://141.218.60.56/~jnz1568/getInfo.php?workbook=14_13.xlsx&amp;sheet=U0&amp;row=3033&amp;col=7&amp;number=0.128&amp;sourceID=14","0.128")</f>
        <v>0.128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HYPERLINK("http://141.218.60.56/~jnz1568/getInfo.php?workbook=14_13.xlsx&amp;sheet=U0&amp;row=3034&amp;col=6&amp;number=4&amp;sourceID=14","4")</f>
        <v>4</v>
      </c>
      <c r="G3034" s="4" t="str">
        <f>HYPERLINK("http://141.218.60.56/~jnz1568/getInfo.php?workbook=14_13.xlsx&amp;sheet=U0&amp;row=3034&amp;col=7&amp;number=0.135&amp;sourceID=14","0.135")</f>
        <v>0.135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HYPERLINK("http://141.218.60.56/~jnz1568/getInfo.php?workbook=14_13.xlsx&amp;sheet=U0&amp;row=3035&amp;col=6&amp;number=4.1&amp;sourceID=14","4.1")</f>
        <v>4.1</v>
      </c>
      <c r="G3035" s="4" t="str">
        <f>HYPERLINK("http://141.218.60.56/~jnz1568/getInfo.php?workbook=14_13.xlsx&amp;sheet=U0&amp;row=3035&amp;col=7&amp;number=0.145&amp;sourceID=14","0.145")</f>
        <v>0.145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HYPERLINK("http://141.218.60.56/~jnz1568/getInfo.php?workbook=14_13.xlsx&amp;sheet=U0&amp;row=3036&amp;col=6&amp;number=4.2&amp;sourceID=14","4.2")</f>
        <v>4.2</v>
      </c>
      <c r="G3036" s="4" t="str">
        <f>HYPERLINK("http://141.218.60.56/~jnz1568/getInfo.php?workbook=14_13.xlsx&amp;sheet=U0&amp;row=3036&amp;col=7&amp;number=0.158&amp;sourceID=14","0.158")</f>
        <v>0.158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HYPERLINK("http://141.218.60.56/~jnz1568/getInfo.php?workbook=14_13.xlsx&amp;sheet=U0&amp;row=3037&amp;col=6&amp;number=4.3&amp;sourceID=14","4.3")</f>
        <v>4.3</v>
      </c>
      <c r="G3037" s="4" t="str">
        <f>HYPERLINK("http://141.218.60.56/~jnz1568/getInfo.php?workbook=14_13.xlsx&amp;sheet=U0&amp;row=3037&amp;col=7&amp;number=0.174&amp;sourceID=14","0.174")</f>
        <v>0.174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HYPERLINK("http://141.218.60.56/~jnz1568/getInfo.php?workbook=14_13.xlsx&amp;sheet=U0&amp;row=3038&amp;col=6&amp;number=4.4&amp;sourceID=14","4.4")</f>
        <v>4.4</v>
      </c>
      <c r="G3038" s="4" t="str">
        <f>HYPERLINK("http://141.218.60.56/~jnz1568/getInfo.php?workbook=14_13.xlsx&amp;sheet=U0&amp;row=3038&amp;col=7&amp;number=0.193&amp;sourceID=14","0.193")</f>
        <v>0.193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HYPERLINK("http://141.218.60.56/~jnz1568/getInfo.php?workbook=14_13.xlsx&amp;sheet=U0&amp;row=3039&amp;col=6&amp;number=4.5&amp;sourceID=14","4.5")</f>
        <v>4.5</v>
      </c>
      <c r="G3039" s="4" t="str">
        <f>HYPERLINK("http://141.218.60.56/~jnz1568/getInfo.php?workbook=14_13.xlsx&amp;sheet=U0&amp;row=3039&amp;col=7&amp;number=0.215&amp;sourceID=14","0.215")</f>
        <v>0.215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HYPERLINK("http://141.218.60.56/~jnz1568/getInfo.php?workbook=14_13.xlsx&amp;sheet=U0&amp;row=3040&amp;col=6&amp;number=4.6&amp;sourceID=14","4.6")</f>
        <v>4.6</v>
      </c>
      <c r="G3040" s="4" t="str">
        <f>HYPERLINK("http://141.218.60.56/~jnz1568/getInfo.php?workbook=14_13.xlsx&amp;sheet=U0&amp;row=3040&amp;col=7&amp;number=0.237&amp;sourceID=14","0.237")</f>
        <v>0.237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HYPERLINK("http://141.218.60.56/~jnz1568/getInfo.php?workbook=14_13.xlsx&amp;sheet=U0&amp;row=3041&amp;col=6&amp;number=4.7&amp;sourceID=14","4.7")</f>
        <v>4.7</v>
      </c>
      <c r="G3041" s="4" t="str">
        <f>HYPERLINK("http://141.218.60.56/~jnz1568/getInfo.php?workbook=14_13.xlsx&amp;sheet=U0&amp;row=3041&amp;col=7&amp;number=0.26&amp;sourceID=14","0.26")</f>
        <v>0.26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HYPERLINK("http://141.218.60.56/~jnz1568/getInfo.php?workbook=14_13.xlsx&amp;sheet=U0&amp;row=3042&amp;col=6&amp;number=4.8&amp;sourceID=14","4.8")</f>
        <v>4.8</v>
      </c>
      <c r="G3042" s="4" t="str">
        <f>HYPERLINK("http://141.218.60.56/~jnz1568/getInfo.php?workbook=14_13.xlsx&amp;sheet=U0&amp;row=3042&amp;col=7&amp;number=0.283&amp;sourceID=14","0.283")</f>
        <v>0.283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HYPERLINK("http://141.218.60.56/~jnz1568/getInfo.php?workbook=14_13.xlsx&amp;sheet=U0&amp;row=3043&amp;col=6&amp;number=4.9&amp;sourceID=14","4.9")</f>
        <v>4.9</v>
      </c>
      <c r="G3043" s="4" t="str">
        <f>HYPERLINK("http://141.218.60.56/~jnz1568/getInfo.php?workbook=14_13.xlsx&amp;sheet=U0&amp;row=3043&amp;col=7&amp;number=0.305&amp;sourceID=14","0.305")</f>
        <v>0.305</v>
      </c>
    </row>
    <row r="3044" spans="1:7">
      <c r="A3044" s="3">
        <v>14</v>
      </c>
      <c r="B3044" s="3">
        <v>13</v>
      </c>
      <c r="C3044" s="3">
        <v>6</v>
      </c>
      <c r="D3044" s="3">
        <v>29</v>
      </c>
      <c r="E3044" s="3">
        <v>1</v>
      </c>
      <c r="F3044" s="4" t="str">
        <f>HYPERLINK("http://141.218.60.56/~jnz1568/getInfo.php?workbook=14_13.xlsx&amp;sheet=U0&amp;row=3044&amp;col=6&amp;number=3&amp;sourceID=14","3")</f>
        <v>3</v>
      </c>
      <c r="G3044" s="4" t="str">
        <f>HYPERLINK("http://141.218.60.56/~jnz1568/getInfo.php?workbook=14_13.xlsx&amp;sheet=U0&amp;row=3044&amp;col=7&amp;number=0.157&amp;sourceID=14","0.157")</f>
        <v>0.157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HYPERLINK("http://141.218.60.56/~jnz1568/getInfo.php?workbook=14_13.xlsx&amp;sheet=U0&amp;row=3045&amp;col=6&amp;number=3.1&amp;sourceID=14","3.1")</f>
        <v>3.1</v>
      </c>
      <c r="G3045" s="4" t="str">
        <f>HYPERLINK("http://141.218.60.56/~jnz1568/getInfo.php?workbook=14_13.xlsx&amp;sheet=U0&amp;row=3045&amp;col=7&amp;number=0.157&amp;sourceID=14","0.157")</f>
        <v>0.157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HYPERLINK("http://141.218.60.56/~jnz1568/getInfo.php?workbook=14_13.xlsx&amp;sheet=U0&amp;row=3046&amp;col=6&amp;number=3.2&amp;sourceID=14","3.2")</f>
        <v>3.2</v>
      </c>
      <c r="G3046" s="4" t="str">
        <f>HYPERLINK("http://141.218.60.56/~jnz1568/getInfo.php?workbook=14_13.xlsx&amp;sheet=U0&amp;row=3046&amp;col=7&amp;number=0.157&amp;sourceID=14","0.157")</f>
        <v>0.157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HYPERLINK("http://141.218.60.56/~jnz1568/getInfo.php?workbook=14_13.xlsx&amp;sheet=U0&amp;row=3047&amp;col=6&amp;number=3.3&amp;sourceID=14","3.3")</f>
        <v>3.3</v>
      </c>
      <c r="G3047" s="4" t="str">
        <f>HYPERLINK("http://141.218.60.56/~jnz1568/getInfo.php?workbook=14_13.xlsx&amp;sheet=U0&amp;row=3047&amp;col=7&amp;number=0.156&amp;sourceID=14","0.156")</f>
        <v>0.156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HYPERLINK("http://141.218.60.56/~jnz1568/getInfo.php?workbook=14_13.xlsx&amp;sheet=U0&amp;row=3048&amp;col=6&amp;number=3.4&amp;sourceID=14","3.4")</f>
        <v>3.4</v>
      </c>
      <c r="G3048" s="4" t="str">
        <f>HYPERLINK("http://141.218.60.56/~jnz1568/getInfo.php?workbook=14_13.xlsx&amp;sheet=U0&amp;row=3048&amp;col=7&amp;number=0.156&amp;sourceID=14","0.156")</f>
        <v>0.156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HYPERLINK("http://141.218.60.56/~jnz1568/getInfo.php?workbook=14_13.xlsx&amp;sheet=U0&amp;row=3049&amp;col=6&amp;number=3.5&amp;sourceID=14","3.5")</f>
        <v>3.5</v>
      </c>
      <c r="G3049" s="4" t="str">
        <f>HYPERLINK("http://141.218.60.56/~jnz1568/getInfo.php?workbook=14_13.xlsx&amp;sheet=U0&amp;row=3049&amp;col=7&amp;number=0.156&amp;sourceID=14","0.156")</f>
        <v>0.156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HYPERLINK("http://141.218.60.56/~jnz1568/getInfo.php?workbook=14_13.xlsx&amp;sheet=U0&amp;row=3050&amp;col=6&amp;number=3.6&amp;sourceID=14","3.6")</f>
        <v>3.6</v>
      </c>
      <c r="G3050" s="4" t="str">
        <f>HYPERLINK("http://141.218.60.56/~jnz1568/getInfo.php?workbook=14_13.xlsx&amp;sheet=U0&amp;row=3050&amp;col=7&amp;number=0.155&amp;sourceID=14","0.155")</f>
        <v>0.155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HYPERLINK("http://141.218.60.56/~jnz1568/getInfo.php?workbook=14_13.xlsx&amp;sheet=U0&amp;row=3051&amp;col=6&amp;number=3.7&amp;sourceID=14","3.7")</f>
        <v>3.7</v>
      </c>
      <c r="G3051" s="4" t="str">
        <f>HYPERLINK("http://141.218.60.56/~jnz1568/getInfo.php?workbook=14_13.xlsx&amp;sheet=U0&amp;row=3051&amp;col=7&amp;number=0.155&amp;sourceID=14","0.155")</f>
        <v>0.155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HYPERLINK("http://141.218.60.56/~jnz1568/getInfo.php?workbook=14_13.xlsx&amp;sheet=U0&amp;row=3052&amp;col=6&amp;number=3.8&amp;sourceID=14","3.8")</f>
        <v>3.8</v>
      </c>
      <c r="G3052" s="4" t="str">
        <f>HYPERLINK("http://141.218.60.56/~jnz1568/getInfo.php?workbook=14_13.xlsx&amp;sheet=U0&amp;row=3052&amp;col=7&amp;number=0.154&amp;sourceID=14","0.154")</f>
        <v>0.154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HYPERLINK("http://141.218.60.56/~jnz1568/getInfo.php?workbook=14_13.xlsx&amp;sheet=U0&amp;row=3053&amp;col=6&amp;number=3.9&amp;sourceID=14","3.9")</f>
        <v>3.9</v>
      </c>
      <c r="G3053" s="4" t="str">
        <f>HYPERLINK("http://141.218.60.56/~jnz1568/getInfo.php?workbook=14_13.xlsx&amp;sheet=U0&amp;row=3053&amp;col=7&amp;number=0.153&amp;sourceID=14","0.153")</f>
        <v>0.153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HYPERLINK("http://141.218.60.56/~jnz1568/getInfo.php?workbook=14_13.xlsx&amp;sheet=U0&amp;row=3054&amp;col=6&amp;number=4&amp;sourceID=14","4")</f>
        <v>4</v>
      </c>
      <c r="G3054" s="4" t="str">
        <f>HYPERLINK("http://141.218.60.56/~jnz1568/getInfo.php?workbook=14_13.xlsx&amp;sheet=U0&amp;row=3054&amp;col=7&amp;number=0.153&amp;sourceID=14","0.153")</f>
        <v>0.153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HYPERLINK("http://141.218.60.56/~jnz1568/getInfo.php?workbook=14_13.xlsx&amp;sheet=U0&amp;row=3055&amp;col=6&amp;number=4.1&amp;sourceID=14","4.1")</f>
        <v>4.1</v>
      </c>
      <c r="G3055" s="4" t="str">
        <f>HYPERLINK("http://141.218.60.56/~jnz1568/getInfo.php?workbook=14_13.xlsx&amp;sheet=U0&amp;row=3055&amp;col=7&amp;number=0.152&amp;sourceID=14","0.152")</f>
        <v>0.152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HYPERLINK("http://141.218.60.56/~jnz1568/getInfo.php?workbook=14_13.xlsx&amp;sheet=U0&amp;row=3056&amp;col=6&amp;number=4.2&amp;sourceID=14","4.2")</f>
        <v>4.2</v>
      </c>
      <c r="G3056" s="4" t="str">
        <f>HYPERLINK("http://141.218.60.56/~jnz1568/getInfo.php?workbook=14_13.xlsx&amp;sheet=U0&amp;row=3056&amp;col=7&amp;number=0.151&amp;sourceID=14","0.151")</f>
        <v>0.151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HYPERLINK("http://141.218.60.56/~jnz1568/getInfo.php?workbook=14_13.xlsx&amp;sheet=U0&amp;row=3057&amp;col=6&amp;number=4.3&amp;sourceID=14","4.3")</f>
        <v>4.3</v>
      </c>
      <c r="G3057" s="4" t="str">
        <f>HYPERLINK("http://141.218.60.56/~jnz1568/getInfo.php?workbook=14_13.xlsx&amp;sheet=U0&amp;row=3057&amp;col=7&amp;number=0.15&amp;sourceID=14","0.15")</f>
        <v>0.15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HYPERLINK("http://141.218.60.56/~jnz1568/getInfo.php?workbook=14_13.xlsx&amp;sheet=U0&amp;row=3058&amp;col=6&amp;number=4.4&amp;sourceID=14","4.4")</f>
        <v>4.4</v>
      </c>
      <c r="G3058" s="4" t="str">
        <f>HYPERLINK("http://141.218.60.56/~jnz1568/getInfo.php?workbook=14_13.xlsx&amp;sheet=U0&amp;row=3058&amp;col=7&amp;number=0.148&amp;sourceID=14","0.148")</f>
        <v>0.148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HYPERLINK("http://141.218.60.56/~jnz1568/getInfo.php?workbook=14_13.xlsx&amp;sheet=U0&amp;row=3059&amp;col=6&amp;number=4.5&amp;sourceID=14","4.5")</f>
        <v>4.5</v>
      </c>
      <c r="G3059" s="4" t="str">
        <f>HYPERLINK("http://141.218.60.56/~jnz1568/getInfo.php?workbook=14_13.xlsx&amp;sheet=U0&amp;row=3059&amp;col=7&amp;number=0.147&amp;sourceID=14","0.147")</f>
        <v>0.147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HYPERLINK("http://141.218.60.56/~jnz1568/getInfo.php?workbook=14_13.xlsx&amp;sheet=U0&amp;row=3060&amp;col=6&amp;number=4.6&amp;sourceID=14","4.6")</f>
        <v>4.6</v>
      </c>
      <c r="G3060" s="4" t="str">
        <f>HYPERLINK("http://141.218.60.56/~jnz1568/getInfo.php?workbook=14_13.xlsx&amp;sheet=U0&amp;row=3060&amp;col=7&amp;number=0.145&amp;sourceID=14","0.145")</f>
        <v>0.145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HYPERLINK("http://141.218.60.56/~jnz1568/getInfo.php?workbook=14_13.xlsx&amp;sheet=U0&amp;row=3061&amp;col=6&amp;number=4.7&amp;sourceID=14","4.7")</f>
        <v>4.7</v>
      </c>
      <c r="G3061" s="4" t="str">
        <f>HYPERLINK("http://141.218.60.56/~jnz1568/getInfo.php?workbook=14_13.xlsx&amp;sheet=U0&amp;row=3061&amp;col=7&amp;number=0.143&amp;sourceID=14","0.143")</f>
        <v>0.143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HYPERLINK("http://141.218.60.56/~jnz1568/getInfo.php?workbook=14_13.xlsx&amp;sheet=U0&amp;row=3062&amp;col=6&amp;number=4.8&amp;sourceID=14","4.8")</f>
        <v>4.8</v>
      </c>
      <c r="G3062" s="4" t="str">
        <f>HYPERLINK("http://141.218.60.56/~jnz1568/getInfo.php?workbook=14_13.xlsx&amp;sheet=U0&amp;row=3062&amp;col=7&amp;number=0.141&amp;sourceID=14","0.141")</f>
        <v>0.141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HYPERLINK("http://141.218.60.56/~jnz1568/getInfo.php?workbook=14_13.xlsx&amp;sheet=U0&amp;row=3063&amp;col=6&amp;number=4.9&amp;sourceID=14","4.9")</f>
        <v>4.9</v>
      </c>
      <c r="G3063" s="4" t="str">
        <f>HYPERLINK("http://141.218.60.56/~jnz1568/getInfo.php?workbook=14_13.xlsx&amp;sheet=U0&amp;row=3063&amp;col=7&amp;number=0.138&amp;sourceID=14","0.138")</f>
        <v>0.138</v>
      </c>
    </row>
    <row r="3064" spans="1:7">
      <c r="A3064" s="3">
        <v>14</v>
      </c>
      <c r="B3064" s="3">
        <v>13</v>
      </c>
      <c r="C3064" s="3">
        <v>7</v>
      </c>
      <c r="D3064" s="3">
        <v>8</v>
      </c>
      <c r="E3064" s="3">
        <v>1</v>
      </c>
      <c r="F3064" s="4" t="str">
        <f>HYPERLINK("http://141.218.60.56/~jnz1568/getInfo.php?workbook=14_13.xlsx&amp;sheet=U0&amp;row=3064&amp;col=6&amp;number=3&amp;sourceID=14","3")</f>
        <v>3</v>
      </c>
      <c r="G3064" s="4" t="str">
        <f>HYPERLINK("http://141.218.60.56/~jnz1568/getInfo.php?workbook=14_13.xlsx&amp;sheet=U0&amp;row=3064&amp;col=7&amp;number=1.56&amp;sourceID=14","1.56")</f>
        <v>1.56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HYPERLINK("http://141.218.60.56/~jnz1568/getInfo.php?workbook=14_13.xlsx&amp;sheet=U0&amp;row=3065&amp;col=6&amp;number=3.1&amp;sourceID=14","3.1")</f>
        <v>3.1</v>
      </c>
      <c r="G3065" s="4" t="str">
        <f>HYPERLINK("http://141.218.60.56/~jnz1568/getInfo.php?workbook=14_13.xlsx&amp;sheet=U0&amp;row=3065&amp;col=7&amp;number=1.6&amp;sourceID=14","1.6")</f>
        <v>1.6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HYPERLINK("http://141.218.60.56/~jnz1568/getInfo.php?workbook=14_13.xlsx&amp;sheet=U0&amp;row=3066&amp;col=6&amp;number=3.2&amp;sourceID=14","3.2")</f>
        <v>3.2</v>
      </c>
      <c r="G3066" s="4" t="str">
        <f>HYPERLINK("http://141.218.60.56/~jnz1568/getInfo.php?workbook=14_13.xlsx&amp;sheet=U0&amp;row=3066&amp;col=7&amp;number=1.64&amp;sourceID=14","1.64")</f>
        <v>1.64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HYPERLINK("http://141.218.60.56/~jnz1568/getInfo.php?workbook=14_13.xlsx&amp;sheet=U0&amp;row=3067&amp;col=6&amp;number=3.3&amp;sourceID=14","3.3")</f>
        <v>3.3</v>
      </c>
      <c r="G3067" s="4" t="str">
        <f>HYPERLINK("http://141.218.60.56/~jnz1568/getInfo.php?workbook=14_13.xlsx&amp;sheet=U0&amp;row=3067&amp;col=7&amp;number=1.69&amp;sourceID=14","1.69")</f>
        <v>1.69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HYPERLINK("http://141.218.60.56/~jnz1568/getInfo.php?workbook=14_13.xlsx&amp;sheet=U0&amp;row=3068&amp;col=6&amp;number=3.4&amp;sourceID=14","3.4")</f>
        <v>3.4</v>
      </c>
      <c r="G3068" s="4" t="str">
        <f>HYPERLINK("http://141.218.60.56/~jnz1568/getInfo.php?workbook=14_13.xlsx&amp;sheet=U0&amp;row=3068&amp;col=7&amp;number=1.75&amp;sourceID=14","1.75")</f>
        <v>1.75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HYPERLINK("http://141.218.60.56/~jnz1568/getInfo.php?workbook=14_13.xlsx&amp;sheet=U0&amp;row=3069&amp;col=6&amp;number=3.5&amp;sourceID=14","3.5")</f>
        <v>3.5</v>
      </c>
      <c r="G3069" s="4" t="str">
        <f>HYPERLINK("http://141.218.60.56/~jnz1568/getInfo.php?workbook=14_13.xlsx&amp;sheet=U0&amp;row=3069&amp;col=7&amp;number=1.82&amp;sourceID=14","1.82")</f>
        <v>1.82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HYPERLINK("http://141.218.60.56/~jnz1568/getInfo.php?workbook=14_13.xlsx&amp;sheet=U0&amp;row=3070&amp;col=6&amp;number=3.6&amp;sourceID=14","3.6")</f>
        <v>3.6</v>
      </c>
      <c r="G3070" s="4" t="str">
        <f>HYPERLINK("http://141.218.60.56/~jnz1568/getInfo.php?workbook=14_13.xlsx&amp;sheet=U0&amp;row=3070&amp;col=7&amp;number=1.9&amp;sourceID=14","1.9")</f>
        <v>1.9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HYPERLINK("http://141.218.60.56/~jnz1568/getInfo.php?workbook=14_13.xlsx&amp;sheet=U0&amp;row=3071&amp;col=6&amp;number=3.7&amp;sourceID=14","3.7")</f>
        <v>3.7</v>
      </c>
      <c r="G3071" s="4" t="str">
        <f>HYPERLINK("http://141.218.60.56/~jnz1568/getInfo.php?workbook=14_13.xlsx&amp;sheet=U0&amp;row=3071&amp;col=7&amp;number=1.97&amp;sourceID=14","1.97")</f>
        <v>1.97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HYPERLINK("http://141.218.60.56/~jnz1568/getInfo.php?workbook=14_13.xlsx&amp;sheet=U0&amp;row=3072&amp;col=6&amp;number=3.8&amp;sourceID=14","3.8")</f>
        <v>3.8</v>
      </c>
      <c r="G3072" s="4" t="str">
        <f>HYPERLINK("http://141.218.60.56/~jnz1568/getInfo.php?workbook=14_13.xlsx&amp;sheet=U0&amp;row=3072&amp;col=7&amp;number=2.02&amp;sourceID=14","2.02")</f>
        <v>2.02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HYPERLINK("http://141.218.60.56/~jnz1568/getInfo.php?workbook=14_13.xlsx&amp;sheet=U0&amp;row=3073&amp;col=6&amp;number=3.9&amp;sourceID=14","3.9")</f>
        <v>3.9</v>
      </c>
      <c r="G3073" s="4" t="str">
        <f>HYPERLINK("http://141.218.60.56/~jnz1568/getInfo.php?workbook=14_13.xlsx&amp;sheet=U0&amp;row=3073&amp;col=7&amp;number=2.04&amp;sourceID=14","2.04")</f>
        <v>2.04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HYPERLINK("http://141.218.60.56/~jnz1568/getInfo.php?workbook=14_13.xlsx&amp;sheet=U0&amp;row=3074&amp;col=6&amp;number=4&amp;sourceID=14","4")</f>
        <v>4</v>
      </c>
      <c r="G3074" s="4" t="str">
        <f>HYPERLINK("http://141.218.60.56/~jnz1568/getInfo.php?workbook=14_13.xlsx&amp;sheet=U0&amp;row=3074&amp;col=7&amp;number=2.02&amp;sourceID=14","2.02")</f>
        <v>2.02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HYPERLINK("http://141.218.60.56/~jnz1568/getInfo.php?workbook=14_13.xlsx&amp;sheet=U0&amp;row=3075&amp;col=6&amp;number=4.1&amp;sourceID=14","4.1")</f>
        <v>4.1</v>
      </c>
      <c r="G3075" s="4" t="str">
        <f>HYPERLINK("http://141.218.60.56/~jnz1568/getInfo.php?workbook=14_13.xlsx&amp;sheet=U0&amp;row=3075&amp;col=7&amp;number=1.97&amp;sourceID=14","1.97")</f>
        <v>1.97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HYPERLINK("http://141.218.60.56/~jnz1568/getInfo.php?workbook=14_13.xlsx&amp;sheet=U0&amp;row=3076&amp;col=6&amp;number=4.2&amp;sourceID=14","4.2")</f>
        <v>4.2</v>
      </c>
      <c r="G3076" s="4" t="str">
        <f>HYPERLINK("http://141.218.60.56/~jnz1568/getInfo.php?workbook=14_13.xlsx&amp;sheet=U0&amp;row=3076&amp;col=7&amp;number=1.88&amp;sourceID=14","1.88")</f>
        <v>1.88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HYPERLINK("http://141.218.60.56/~jnz1568/getInfo.php?workbook=14_13.xlsx&amp;sheet=U0&amp;row=3077&amp;col=6&amp;number=4.3&amp;sourceID=14","4.3")</f>
        <v>4.3</v>
      </c>
      <c r="G3077" s="4" t="str">
        <f>HYPERLINK("http://141.218.60.56/~jnz1568/getInfo.php?workbook=14_13.xlsx&amp;sheet=U0&amp;row=3077&amp;col=7&amp;number=1.77&amp;sourceID=14","1.77")</f>
        <v>1.77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HYPERLINK("http://141.218.60.56/~jnz1568/getInfo.php?workbook=14_13.xlsx&amp;sheet=U0&amp;row=3078&amp;col=6&amp;number=4.4&amp;sourceID=14","4.4")</f>
        <v>4.4</v>
      </c>
      <c r="G3078" s="4" t="str">
        <f>HYPERLINK("http://141.218.60.56/~jnz1568/getInfo.php?workbook=14_13.xlsx&amp;sheet=U0&amp;row=3078&amp;col=7&amp;number=1.64&amp;sourceID=14","1.64")</f>
        <v>1.64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HYPERLINK("http://141.218.60.56/~jnz1568/getInfo.php?workbook=14_13.xlsx&amp;sheet=U0&amp;row=3079&amp;col=6&amp;number=4.5&amp;sourceID=14","4.5")</f>
        <v>4.5</v>
      </c>
      <c r="G3079" s="4" t="str">
        <f>HYPERLINK("http://141.218.60.56/~jnz1568/getInfo.php?workbook=14_13.xlsx&amp;sheet=U0&amp;row=3079&amp;col=7&amp;number=1.52&amp;sourceID=14","1.52")</f>
        <v>1.52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HYPERLINK("http://141.218.60.56/~jnz1568/getInfo.php?workbook=14_13.xlsx&amp;sheet=U0&amp;row=3080&amp;col=6&amp;number=4.6&amp;sourceID=14","4.6")</f>
        <v>4.6</v>
      </c>
      <c r="G3080" s="4" t="str">
        <f>HYPERLINK("http://141.218.60.56/~jnz1568/getInfo.php?workbook=14_13.xlsx&amp;sheet=U0&amp;row=3080&amp;col=7&amp;number=1.4&amp;sourceID=14","1.4")</f>
        <v>1.4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HYPERLINK("http://141.218.60.56/~jnz1568/getInfo.php?workbook=14_13.xlsx&amp;sheet=U0&amp;row=3081&amp;col=6&amp;number=4.7&amp;sourceID=14","4.7")</f>
        <v>4.7</v>
      </c>
      <c r="G3081" s="4" t="str">
        <f>HYPERLINK("http://141.218.60.56/~jnz1568/getInfo.php?workbook=14_13.xlsx&amp;sheet=U0&amp;row=3081&amp;col=7&amp;number=1.3&amp;sourceID=14","1.3")</f>
        <v>1.3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HYPERLINK("http://141.218.60.56/~jnz1568/getInfo.php?workbook=14_13.xlsx&amp;sheet=U0&amp;row=3082&amp;col=6&amp;number=4.8&amp;sourceID=14","4.8")</f>
        <v>4.8</v>
      </c>
      <c r="G3082" s="4" t="str">
        <f>HYPERLINK("http://141.218.60.56/~jnz1568/getInfo.php?workbook=14_13.xlsx&amp;sheet=U0&amp;row=3082&amp;col=7&amp;number=1.21&amp;sourceID=14","1.21")</f>
        <v>1.21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HYPERLINK("http://141.218.60.56/~jnz1568/getInfo.php?workbook=14_13.xlsx&amp;sheet=U0&amp;row=3083&amp;col=6&amp;number=4.9&amp;sourceID=14","4.9")</f>
        <v>4.9</v>
      </c>
      <c r="G3083" s="4" t="str">
        <f>HYPERLINK("http://141.218.60.56/~jnz1568/getInfo.php?workbook=14_13.xlsx&amp;sheet=U0&amp;row=3083&amp;col=7&amp;number=1.14&amp;sourceID=14","1.14")</f>
        <v>1.14</v>
      </c>
    </row>
    <row r="3084" spans="1:7">
      <c r="A3084" s="3">
        <v>14</v>
      </c>
      <c r="B3084" s="3">
        <v>13</v>
      </c>
      <c r="C3084" s="3">
        <v>7</v>
      </c>
      <c r="D3084" s="3">
        <v>9</v>
      </c>
      <c r="E3084" s="3">
        <v>1</v>
      </c>
      <c r="F3084" s="4" t="str">
        <f>HYPERLINK("http://141.218.60.56/~jnz1568/getInfo.php?workbook=14_13.xlsx&amp;sheet=U0&amp;row=3084&amp;col=6&amp;number=3&amp;sourceID=14","3")</f>
        <v>3</v>
      </c>
      <c r="G3084" s="4" t="str">
        <f>HYPERLINK("http://141.218.60.56/~jnz1568/getInfo.php?workbook=14_13.xlsx&amp;sheet=U0&amp;row=3084&amp;col=7&amp;number=2.38&amp;sourceID=14","2.38")</f>
        <v>2.38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HYPERLINK("http://141.218.60.56/~jnz1568/getInfo.php?workbook=14_13.xlsx&amp;sheet=U0&amp;row=3085&amp;col=6&amp;number=3.1&amp;sourceID=14","3.1")</f>
        <v>3.1</v>
      </c>
      <c r="G3085" s="4" t="str">
        <f>HYPERLINK("http://141.218.60.56/~jnz1568/getInfo.php?workbook=14_13.xlsx&amp;sheet=U0&amp;row=3085&amp;col=7&amp;number=2.36&amp;sourceID=14","2.36")</f>
        <v>2.36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HYPERLINK("http://141.218.60.56/~jnz1568/getInfo.php?workbook=14_13.xlsx&amp;sheet=U0&amp;row=3086&amp;col=6&amp;number=3.2&amp;sourceID=14","3.2")</f>
        <v>3.2</v>
      </c>
      <c r="G3086" s="4" t="str">
        <f>HYPERLINK("http://141.218.60.56/~jnz1568/getInfo.php?workbook=14_13.xlsx&amp;sheet=U0&amp;row=3086&amp;col=7&amp;number=2.33&amp;sourceID=14","2.33")</f>
        <v>2.33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HYPERLINK("http://141.218.60.56/~jnz1568/getInfo.php?workbook=14_13.xlsx&amp;sheet=U0&amp;row=3087&amp;col=6&amp;number=3.3&amp;sourceID=14","3.3")</f>
        <v>3.3</v>
      </c>
      <c r="G3087" s="4" t="str">
        <f>HYPERLINK("http://141.218.60.56/~jnz1568/getInfo.php?workbook=14_13.xlsx&amp;sheet=U0&amp;row=3087&amp;col=7&amp;number=2.3&amp;sourceID=14","2.3")</f>
        <v>2.3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HYPERLINK("http://141.218.60.56/~jnz1568/getInfo.php?workbook=14_13.xlsx&amp;sheet=U0&amp;row=3088&amp;col=6&amp;number=3.4&amp;sourceID=14","3.4")</f>
        <v>3.4</v>
      </c>
      <c r="G3088" s="4" t="str">
        <f>HYPERLINK("http://141.218.60.56/~jnz1568/getInfo.php?workbook=14_13.xlsx&amp;sheet=U0&amp;row=3088&amp;col=7&amp;number=2.26&amp;sourceID=14","2.26")</f>
        <v>2.26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HYPERLINK("http://141.218.60.56/~jnz1568/getInfo.php?workbook=14_13.xlsx&amp;sheet=U0&amp;row=3089&amp;col=6&amp;number=3.5&amp;sourceID=14","3.5")</f>
        <v>3.5</v>
      </c>
      <c r="G3089" s="4" t="str">
        <f>HYPERLINK("http://141.218.60.56/~jnz1568/getInfo.php?workbook=14_13.xlsx&amp;sheet=U0&amp;row=3089&amp;col=7&amp;number=2.22&amp;sourceID=14","2.22")</f>
        <v>2.22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HYPERLINK("http://141.218.60.56/~jnz1568/getInfo.php?workbook=14_13.xlsx&amp;sheet=U0&amp;row=3090&amp;col=6&amp;number=3.6&amp;sourceID=14","3.6")</f>
        <v>3.6</v>
      </c>
      <c r="G3090" s="4" t="str">
        <f>HYPERLINK("http://141.218.60.56/~jnz1568/getInfo.php?workbook=14_13.xlsx&amp;sheet=U0&amp;row=3090&amp;col=7&amp;number=2.17&amp;sourceID=14","2.17")</f>
        <v>2.17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HYPERLINK("http://141.218.60.56/~jnz1568/getInfo.php?workbook=14_13.xlsx&amp;sheet=U0&amp;row=3091&amp;col=6&amp;number=3.7&amp;sourceID=14","3.7")</f>
        <v>3.7</v>
      </c>
      <c r="G3091" s="4" t="str">
        <f>HYPERLINK("http://141.218.60.56/~jnz1568/getInfo.php?workbook=14_13.xlsx&amp;sheet=U0&amp;row=3091&amp;col=7&amp;number=2.12&amp;sourceID=14","2.12")</f>
        <v>2.12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HYPERLINK("http://141.218.60.56/~jnz1568/getInfo.php?workbook=14_13.xlsx&amp;sheet=U0&amp;row=3092&amp;col=6&amp;number=3.8&amp;sourceID=14","3.8")</f>
        <v>3.8</v>
      </c>
      <c r="G3092" s="4" t="str">
        <f>HYPERLINK("http://141.218.60.56/~jnz1568/getInfo.php?workbook=14_13.xlsx&amp;sheet=U0&amp;row=3092&amp;col=7&amp;number=2.08&amp;sourceID=14","2.08")</f>
        <v>2.08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HYPERLINK("http://141.218.60.56/~jnz1568/getInfo.php?workbook=14_13.xlsx&amp;sheet=U0&amp;row=3093&amp;col=6&amp;number=3.9&amp;sourceID=14","3.9")</f>
        <v>3.9</v>
      </c>
      <c r="G3093" s="4" t="str">
        <f>HYPERLINK("http://141.218.60.56/~jnz1568/getInfo.php?workbook=14_13.xlsx&amp;sheet=U0&amp;row=3093&amp;col=7&amp;number=2.04&amp;sourceID=14","2.04")</f>
        <v>2.04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HYPERLINK("http://141.218.60.56/~jnz1568/getInfo.php?workbook=14_13.xlsx&amp;sheet=U0&amp;row=3094&amp;col=6&amp;number=4&amp;sourceID=14","4")</f>
        <v>4</v>
      </c>
      <c r="G3094" s="4" t="str">
        <f>HYPERLINK("http://141.218.60.56/~jnz1568/getInfo.php?workbook=14_13.xlsx&amp;sheet=U0&amp;row=3094&amp;col=7&amp;number=2&amp;sourceID=14","2")</f>
        <v>2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HYPERLINK("http://141.218.60.56/~jnz1568/getInfo.php?workbook=14_13.xlsx&amp;sheet=U0&amp;row=3095&amp;col=6&amp;number=4.1&amp;sourceID=14","4.1")</f>
        <v>4.1</v>
      </c>
      <c r="G3095" s="4" t="str">
        <f>HYPERLINK("http://141.218.60.56/~jnz1568/getInfo.php?workbook=14_13.xlsx&amp;sheet=U0&amp;row=3095&amp;col=7&amp;number=1.97&amp;sourceID=14","1.97")</f>
        <v>1.97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HYPERLINK("http://141.218.60.56/~jnz1568/getInfo.php?workbook=14_13.xlsx&amp;sheet=U0&amp;row=3096&amp;col=6&amp;number=4.2&amp;sourceID=14","4.2")</f>
        <v>4.2</v>
      </c>
      <c r="G3096" s="4" t="str">
        <f>HYPERLINK("http://141.218.60.56/~jnz1568/getInfo.php?workbook=14_13.xlsx&amp;sheet=U0&amp;row=3096&amp;col=7&amp;number=1.95&amp;sourceID=14","1.95")</f>
        <v>1.95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HYPERLINK("http://141.218.60.56/~jnz1568/getInfo.php?workbook=14_13.xlsx&amp;sheet=U0&amp;row=3097&amp;col=6&amp;number=4.3&amp;sourceID=14","4.3")</f>
        <v>4.3</v>
      </c>
      <c r="G3097" s="4" t="str">
        <f>HYPERLINK("http://141.218.60.56/~jnz1568/getInfo.php?workbook=14_13.xlsx&amp;sheet=U0&amp;row=3097&amp;col=7&amp;number=1.93&amp;sourceID=14","1.93")</f>
        <v>1.93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HYPERLINK("http://141.218.60.56/~jnz1568/getInfo.php?workbook=14_13.xlsx&amp;sheet=U0&amp;row=3098&amp;col=6&amp;number=4.4&amp;sourceID=14","4.4")</f>
        <v>4.4</v>
      </c>
      <c r="G3098" s="4" t="str">
        <f>HYPERLINK("http://141.218.60.56/~jnz1568/getInfo.php?workbook=14_13.xlsx&amp;sheet=U0&amp;row=3098&amp;col=7&amp;number=1.92&amp;sourceID=14","1.92")</f>
        <v>1.92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HYPERLINK("http://141.218.60.56/~jnz1568/getInfo.php?workbook=14_13.xlsx&amp;sheet=U0&amp;row=3099&amp;col=6&amp;number=4.5&amp;sourceID=14","4.5")</f>
        <v>4.5</v>
      </c>
      <c r="G3099" s="4" t="str">
        <f>HYPERLINK("http://141.218.60.56/~jnz1568/getInfo.php?workbook=14_13.xlsx&amp;sheet=U0&amp;row=3099&amp;col=7&amp;number=1.92&amp;sourceID=14","1.92")</f>
        <v>1.92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HYPERLINK("http://141.218.60.56/~jnz1568/getInfo.php?workbook=14_13.xlsx&amp;sheet=U0&amp;row=3100&amp;col=6&amp;number=4.6&amp;sourceID=14","4.6")</f>
        <v>4.6</v>
      </c>
      <c r="G3100" s="4" t="str">
        <f>HYPERLINK("http://141.218.60.56/~jnz1568/getInfo.php?workbook=14_13.xlsx&amp;sheet=U0&amp;row=3100&amp;col=7&amp;number=1.93&amp;sourceID=14","1.93")</f>
        <v>1.93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HYPERLINK("http://141.218.60.56/~jnz1568/getInfo.php?workbook=14_13.xlsx&amp;sheet=U0&amp;row=3101&amp;col=6&amp;number=4.7&amp;sourceID=14","4.7")</f>
        <v>4.7</v>
      </c>
      <c r="G3101" s="4" t="str">
        <f>HYPERLINK("http://141.218.60.56/~jnz1568/getInfo.php?workbook=14_13.xlsx&amp;sheet=U0&amp;row=3101&amp;col=7&amp;number=1.95&amp;sourceID=14","1.95")</f>
        <v>1.95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HYPERLINK("http://141.218.60.56/~jnz1568/getInfo.php?workbook=14_13.xlsx&amp;sheet=U0&amp;row=3102&amp;col=6&amp;number=4.8&amp;sourceID=14","4.8")</f>
        <v>4.8</v>
      </c>
      <c r="G3102" s="4" t="str">
        <f>HYPERLINK("http://141.218.60.56/~jnz1568/getInfo.php?workbook=14_13.xlsx&amp;sheet=U0&amp;row=3102&amp;col=7&amp;number=1.99&amp;sourceID=14","1.99")</f>
        <v>1.99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HYPERLINK("http://141.218.60.56/~jnz1568/getInfo.php?workbook=14_13.xlsx&amp;sheet=U0&amp;row=3103&amp;col=6&amp;number=4.9&amp;sourceID=14","4.9")</f>
        <v>4.9</v>
      </c>
      <c r="G3103" s="4" t="str">
        <f>HYPERLINK("http://141.218.60.56/~jnz1568/getInfo.php?workbook=14_13.xlsx&amp;sheet=U0&amp;row=3103&amp;col=7&amp;number=2.05&amp;sourceID=14","2.05")</f>
        <v>2.05</v>
      </c>
    </row>
    <row r="3104" spans="1:7">
      <c r="A3104" s="3">
        <v>14</v>
      </c>
      <c r="B3104" s="3">
        <v>13</v>
      </c>
      <c r="C3104" s="3">
        <v>7</v>
      </c>
      <c r="D3104" s="3">
        <v>10</v>
      </c>
      <c r="E3104" s="3">
        <v>1</v>
      </c>
      <c r="F3104" s="4" t="str">
        <f>HYPERLINK("http://141.218.60.56/~jnz1568/getInfo.php?workbook=14_13.xlsx&amp;sheet=U0&amp;row=3104&amp;col=6&amp;number=3&amp;sourceID=14","3")</f>
        <v>3</v>
      </c>
      <c r="G3104" s="4" t="str">
        <f>HYPERLINK("http://141.218.60.56/~jnz1568/getInfo.php?workbook=14_13.xlsx&amp;sheet=U0&amp;row=3104&amp;col=7&amp;number=2.53&amp;sourceID=14","2.53")</f>
        <v>2.53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HYPERLINK("http://141.218.60.56/~jnz1568/getInfo.php?workbook=14_13.xlsx&amp;sheet=U0&amp;row=3105&amp;col=6&amp;number=3.1&amp;sourceID=14","3.1")</f>
        <v>3.1</v>
      </c>
      <c r="G3105" s="4" t="str">
        <f>HYPERLINK("http://141.218.60.56/~jnz1568/getInfo.php?workbook=14_13.xlsx&amp;sheet=U0&amp;row=3105&amp;col=7&amp;number=2.5&amp;sourceID=14","2.5")</f>
        <v>2.5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HYPERLINK("http://141.218.60.56/~jnz1568/getInfo.php?workbook=14_13.xlsx&amp;sheet=U0&amp;row=3106&amp;col=6&amp;number=3.2&amp;sourceID=14","3.2")</f>
        <v>3.2</v>
      </c>
      <c r="G3106" s="4" t="str">
        <f>HYPERLINK("http://141.218.60.56/~jnz1568/getInfo.php?workbook=14_13.xlsx&amp;sheet=U0&amp;row=3106&amp;col=7&amp;number=2.46&amp;sourceID=14","2.46")</f>
        <v>2.46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HYPERLINK("http://141.218.60.56/~jnz1568/getInfo.php?workbook=14_13.xlsx&amp;sheet=U0&amp;row=3107&amp;col=6&amp;number=3.3&amp;sourceID=14","3.3")</f>
        <v>3.3</v>
      </c>
      <c r="G3107" s="4" t="str">
        <f>HYPERLINK("http://141.218.60.56/~jnz1568/getInfo.php?workbook=14_13.xlsx&amp;sheet=U0&amp;row=3107&amp;col=7&amp;number=2.42&amp;sourceID=14","2.42")</f>
        <v>2.42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HYPERLINK("http://141.218.60.56/~jnz1568/getInfo.php?workbook=14_13.xlsx&amp;sheet=U0&amp;row=3108&amp;col=6&amp;number=3.4&amp;sourceID=14","3.4")</f>
        <v>3.4</v>
      </c>
      <c r="G3108" s="4" t="str">
        <f>HYPERLINK("http://141.218.60.56/~jnz1568/getInfo.php?workbook=14_13.xlsx&amp;sheet=U0&amp;row=3108&amp;col=7&amp;number=2.37&amp;sourceID=14","2.37")</f>
        <v>2.37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HYPERLINK("http://141.218.60.56/~jnz1568/getInfo.php?workbook=14_13.xlsx&amp;sheet=U0&amp;row=3109&amp;col=6&amp;number=3.5&amp;sourceID=14","3.5")</f>
        <v>3.5</v>
      </c>
      <c r="G3109" s="4" t="str">
        <f>HYPERLINK("http://141.218.60.56/~jnz1568/getInfo.php?workbook=14_13.xlsx&amp;sheet=U0&amp;row=3109&amp;col=7&amp;number=2.31&amp;sourceID=14","2.31")</f>
        <v>2.31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HYPERLINK("http://141.218.60.56/~jnz1568/getInfo.php?workbook=14_13.xlsx&amp;sheet=U0&amp;row=3110&amp;col=6&amp;number=3.6&amp;sourceID=14","3.6")</f>
        <v>3.6</v>
      </c>
      <c r="G3110" s="4" t="str">
        <f>HYPERLINK("http://141.218.60.56/~jnz1568/getInfo.php?workbook=14_13.xlsx&amp;sheet=U0&amp;row=3110&amp;col=7&amp;number=2.25&amp;sourceID=14","2.25")</f>
        <v>2.25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HYPERLINK("http://141.218.60.56/~jnz1568/getInfo.php?workbook=14_13.xlsx&amp;sheet=U0&amp;row=3111&amp;col=6&amp;number=3.7&amp;sourceID=14","3.7")</f>
        <v>3.7</v>
      </c>
      <c r="G3111" s="4" t="str">
        <f>HYPERLINK("http://141.218.60.56/~jnz1568/getInfo.php?workbook=14_13.xlsx&amp;sheet=U0&amp;row=3111&amp;col=7&amp;number=2.2&amp;sourceID=14","2.2")</f>
        <v>2.2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HYPERLINK("http://141.218.60.56/~jnz1568/getInfo.php?workbook=14_13.xlsx&amp;sheet=U0&amp;row=3112&amp;col=6&amp;number=3.8&amp;sourceID=14","3.8")</f>
        <v>3.8</v>
      </c>
      <c r="G3112" s="4" t="str">
        <f>HYPERLINK("http://141.218.60.56/~jnz1568/getInfo.php?workbook=14_13.xlsx&amp;sheet=U0&amp;row=3112&amp;col=7&amp;number=2.16&amp;sourceID=14","2.16")</f>
        <v>2.16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HYPERLINK("http://141.218.60.56/~jnz1568/getInfo.php?workbook=14_13.xlsx&amp;sheet=U0&amp;row=3113&amp;col=6&amp;number=3.9&amp;sourceID=14","3.9")</f>
        <v>3.9</v>
      </c>
      <c r="G3113" s="4" t="str">
        <f>HYPERLINK("http://141.218.60.56/~jnz1568/getInfo.php?workbook=14_13.xlsx&amp;sheet=U0&amp;row=3113&amp;col=7&amp;number=2.12&amp;sourceID=14","2.12")</f>
        <v>2.12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HYPERLINK("http://141.218.60.56/~jnz1568/getInfo.php?workbook=14_13.xlsx&amp;sheet=U0&amp;row=3114&amp;col=6&amp;number=4&amp;sourceID=14","4")</f>
        <v>4</v>
      </c>
      <c r="G3114" s="4" t="str">
        <f>HYPERLINK("http://141.218.60.56/~jnz1568/getInfo.php?workbook=14_13.xlsx&amp;sheet=U0&amp;row=3114&amp;col=7&amp;number=2.08&amp;sourceID=14","2.08")</f>
        <v>2.08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HYPERLINK("http://141.218.60.56/~jnz1568/getInfo.php?workbook=14_13.xlsx&amp;sheet=U0&amp;row=3115&amp;col=6&amp;number=4.1&amp;sourceID=14","4.1")</f>
        <v>4.1</v>
      </c>
      <c r="G3115" s="4" t="str">
        <f>HYPERLINK("http://141.218.60.56/~jnz1568/getInfo.php?workbook=14_13.xlsx&amp;sheet=U0&amp;row=3115&amp;col=7&amp;number=2.03&amp;sourceID=14","2.03")</f>
        <v>2.03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HYPERLINK("http://141.218.60.56/~jnz1568/getInfo.php?workbook=14_13.xlsx&amp;sheet=U0&amp;row=3116&amp;col=6&amp;number=4.2&amp;sourceID=14","4.2")</f>
        <v>4.2</v>
      </c>
      <c r="G3116" s="4" t="str">
        <f>HYPERLINK("http://141.218.60.56/~jnz1568/getInfo.php?workbook=14_13.xlsx&amp;sheet=U0&amp;row=3116&amp;col=7&amp;number=1.98&amp;sourceID=14","1.98")</f>
        <v>1.98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HYPERLINK("http://141.218.60.56/~jnz1568/getInfo.php?workbook=14_13.xlsx&amp;sheet=U0&amp;row=3117&amp;col=6&amp;number=4.3&amp;sourceID=14","4.3")</f>
        <v>4.3</v>
      </c>
      <c r="G3117" s="4" t="str">
        <f>HYPERLINK("http://141.218.60.56/~jnz1568/getInfo.php?workbook=14_13.xlsx&amp;sheet=U0&amp;row=3117&amp;col=7&amp;number=1.91&amp;sourceID=14","1.91")</f>
        <v>1.91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HYPERLINK("http://141.218.60.56/~jnz1568/getInfo.php?workbook=14_13.xlsx&amp;sheet=U0&amp;row=3118&amp;col=6&amp;number=4.4&amp;sourceID=14","4.4")</f>
        <v>4.4</v>
      </c>
      <c r="G3118" s="4" t="str">
        <f>HYPERLINK("http://141.218.60.56/~jnz1568/getInfo.php?workbook=14_13.xlsx&amp;sheet=U0&amp;row=3118&amp;col=7&amp;number=1.84&amp;sourceID=14","1.84")</f>
        <v>1.84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HYPERLINK("http://141.218.60.56/~jnz1568/getInfo.php?workbook=14_13.xlsx&amp;sheet=U0&amp;row=3119&amp;col=6&amp;number=4.5&amp;sourceID=14","4.5")</f>
        <v>4.5</v>
      </c>
      <c r="G3119" s="4" t="str">
        <f>HYPERLINK("http://141.218.60.56/~jnz1568/getInfo.php?workbook=14_13.xlsx&amp;sheet=U0&amp;row=3119&amp;col=7&amp;number=1.77&amp;sourceID=14","1.77")</f>
        <v>1.77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HYPERLINK("http://141.218.60.56/~jnz1568/getInfo.php?workbook=14_13.xlsx&amp;sheet=U0&amp;row=3120&amp;col=6&amp;number=4.6&amp;sourceID=14","4.6")</f>
        <v>4.6</v>
      </c>
      <c r="G3120" s="4" t="str">
        <f>HYPERLINK("http://141.218.60.56/~jnz1568/getInfo.php?workbook=14_13.xlsx&amp;sheet=U0&amp;row=3120&amp;col=7&amp;number=1.68&amp;sourceID=14","1.68")</f>
        <v>1.68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HYPERLINK("http://141.218.60.56/~jnz1568/getInfo.php?workbook=14_13.xlsx&amp;sheet=U0&amp;row=3121&amp;col=6&amp;number=4.7&amp;sourceID=14","4.7")</f>
        <v>4.7</v>
      </c>
      <c r="G3121" s="4" t="str">
        <f>HYPERLINK("http://141.218.60.56/~jnz1568/getInfo.php?workbook=14_13.xlsx&amp;sheet=U0&amp;row=3121&amp;col=7&amp;number=1.6&amp;sourceID=14","1.6")</f>
        <v>1.6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HYPERLINK("http://141.218.60.56/~jnz1568/getInfo.php?workbook=14_13.xlsx&amp;sheet=U0&amp;row=3122&amp;col=6&amp;number=4.8&amp;sourceID=14","4.8")</f>
        <v>4.8</v>
      </c>
      <c r="G3122" s="4" t="str">
        <f>HYPERLINK("http://141.218.60.56/~jnz1568/getInfo.php?workbook=14_13.xlsx&amp;sheet=U0&amp;row=3122&amp;col=7&amp;number=1.51&amp;sourceID=14","1.51")</f>
        <v>1.51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HYPERLINK("http://141.218.60.56/~jnz1568/getInfo.php?workbook=14_13.xlsx&amp;sheet=U0&amp;row=3123&amp;col=6&amp;number=4.9&amp;sourceID=14","4.9")</f>
        <v>4.9</v>
      </c>
      <c r="G3123" s="4" t="str">
        <f>HYPERLINK("http://141.218.60.56/~jnz1568/getInfo.php?workbook=14_13.xlsx&amp;sheet=U0&amp;row=3123&amp;col=7&amp;number=1.41&amp;sourceID=14","1.41")</f>
        <v>1.41</v>
      </c>
    </row>
    <row r="3124" spans="1:7">
      <c r="A3124" s="3">
        <v>14</v>
      </c>
      <c r="B3124" s="3">
        <v>13</v>
      </c>
      <c r="C3124" s="3">
        <v>7</v>
      </c>
      <c r="D3124" s="3">
        <v>11</v>
      </c>
      <c r="E3124" s="3">
        <v>1</v>
      </c>
      <c r="F3124" s="4" t="str">
        <f>HYPERLINK("http://141.218.60.56/~jnz1568/getInfo.php?workbook=14_13.xlsx&amp;sheet=U0&amp;row=3124&amp;col=6&amp;number=3&amp;sourceID=14","3")</f>
        <v>3</v>
      </c>
      <c r="G3124" s="4" t="str">
        <f>HYPERLINK("http://141.218.60.56/~jnz1568/getInfo.php?workbook=14_13.xlsx&amp;sheet=U0&amp;row=3124&amp;col=7&amp;number=8.13&amp;sourceID=14","8.13")</f>
        <v>8.13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HYPERLINK("http://141.218.60.56/~jnz1568/getInfo.php?workbook=14_13.xlsx&amp;sheet=U0&amp;row=3125&amp;col=6&amp;number=3.1&amp;sourceID=14","3.1")</f>
        <v>3.1</v>
      </c>
      <c r="G3125" s="4" t="str">
        <f>HYPERLINK("http://141.218.60.56/~jnz1568/getInfo.php?workbook=14_13.xlsx&amp;sheet=U0&amp;row=3125&amp;col=7&amp;number=8.01&amp;sourceID=14","8.01")</f>
        <v>8.01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HYPERLINK("http://141.218.60.56/~jnz1568/getInfo.php?workbook=14_13.xlsx&amp;sheet=U0&amp;row=3126&amp;col=6&amp;number=3.2&amp;sourceID=14","3.2")</f>
        <v>3.2</v>
      </c>
      <c r="G3126" s="4" t="str">
        <f>HYPERLINK("http://141.218.60.56/~jnz1568/getInfo.php?workbook=14_13.xlsx&amp;sheet=U0&amp;row=3126&amp;col=7&amp;number=7.86&amp;sourceID=14","7.86")</f>
        <v>7.86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HYPERLINK("http://141.218.60.56/~jnz1568/getInfo.php?workbook=14_13.xlsx&amp;sheet=U0&amp;row=3127&amp;col=6&amp;number=3.3&amp;sourceID=14","3.3")</f>
        <v>3.3</v>
      </c>
      <c r="G3127" s="4" t="str">
        <f>HYPERLINK("http://141.218.60.56/~jnz1568/getInfo.php?workbook=14_13.xlsx&amp;sheet=U0&amp;row=3127&amp;col=7&amp;number=7.69&amp;sourceID=14","7.69")</f>
        <v>7.69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HYPERLINK("http://141.218.60.56/~jnz1568/getInfo.php?workbook=14_13.xlsx&amp;sheet=U0&amp;row=3128&amp;col=6&amp;number=3.4&amp;sourceID=14","3.4")</f>
        <v>3.4</v>
      </c>
      <c r="G3128" s="4" t="str">
        <f>HYPERLINK("http://141.218.60.56/~jnz1568/getInfo.php?workbook=14_13.xlsx&amp;sheet=U0&amp;row=3128&amp;col=7&amp;number=7.5&amp;sourceID=14","7.5")</f>
        <v>7.5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HYPERLINK("http://141.218.60.56/~jnz1568/getInfo.php?workbook=14_13.xlsx&amp;sheet=U0&amp;row=3129&amp;col=6&amp;number=3.5&amp;sourceID=14","3.5")</f>
        <v>3.5</v>
      </c>
      <c r="G3129" s="4" t="str">
        <f>HYPERLINK("http://141.218.60.56/~jnz1568/getInfo.php?workbook=14_13.xlsx&amp;sheet=U0&amp;row=3129&amp;col=7&amp;number=7.29&amp;sourceID=14","7.29")</f>
        <v>7.29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HYPERLINK("http://141.218.60.56/~jnz1568/getInfo.php?workbook=14_13.xlsx&amp;sheet=U0&amp;row=3130&amp;col=6&amp;number=3.6&amp;sourceID=14","3.6")</f>
        <v>3.6</v>
      </c>
      <c r="G3130" s="4" t="str">
        <f>HYPERLINK("http://141.218.60.56/~jnz1568/getInfo.php?workbook=14_13.xlsx&amp;sheet=U0&amp;row=3130&amp;col=7&amp;number=7.1&amp;sourceID=14","7.1")</f>
        <v>7.1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HYPERLINK("http://141.218.60.56/~jnz1568/getInfo.php?workbook=14_13.xlsx&amp;sheet=U0&amp;row=3131&amp;col=6&amp;number=3.7&amp;sourceID=14","3.7")</f>
        <v>3.7</v>
      </c>
      <c r="G3131" s="4" t="str">
        <f>HYPERLINK("http://141.218.60.56/~jnz1568/getInfo.php?workbook=14_13.xlsx&amp;sheet=U0&amp;row=3131&amp;col=7&amp;number=6.92&amp;sourceID=14","6.92")</f>
        <v>6.92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HYPERLINK("http://141.218.60.56/~jnz1568/getInfo.php?workbook=14_13.xlsx&amp;sheet=U0&amp;row=3132&amp;col=6&amp;number=3.8&amp;sourceID=14","3.8")</f>
        <v>3.8</v>
      </c>
      <c r="G3132" s="4" t="str">
        <f>HYPERLINK("http://141.218.60.56/~jnz1568/getInfo.php?workbook=14_13.xlsx&amp;sheet=U0&amp;row=3132&amp;col=7&amp;number=6.78&amp;sourceID=14","6.78")</f>
        <v>6.78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HYPERLINK("http://141.218.60.56/~jnz1568/getInfo.php?workbook=14_13.xlsx&amp;sheet=U0&amp;row=3133&amp;col=6&amp;number=3.9&amp;sourceID=14","3.9")</f>
        <v>3.9</v>
      </c>
      <c r="G3133" s="4" t="str">
        <f>HYPERLINK("http://141.218.60.56/~jnz1568/getInfo.php?workbook=14_13.xlsx&amp;sheet=U0&amp;row=3133&amp;col=7&amp;number=6.68&amp;sourceID=14","6.68")</f>
        <v>6.68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HYPERLINK("http://141.218.60.56/~jnz1568/getInfo.php?workbook=14_13.xlsx&amp;sheet=U0&amp;row=3134&amp;col=6&amp;number=4&amp;sourceID=14","4")</f>
        <v>4</v>
      </c>
      <c r="G3134" s="4" t="str">
        <f>HYPERLINK("http://141.218.60.56/~jnz1568/getInfo.php?workbook=14_13.xlsx&amp;sheet=U0&amp;row=3134&amp;col=7&amp;number=6.6&amp;sourceID=14","6.6")</f>
        <v>6.6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HYPERLINK("http://141.218.60.56/~jnz1568/getInfo.php?workbook=14_13.xlsx&amp;sheet=U0&amp;row=3135&amp;col=6&amp;number=4.1&amp;sourceID=14","4.1")</f>
        <v>4.1</v>
      </c>
      <c r="G3135" s="4" t="str">
        <f>HYPERLINK("http://141.218.60.56/~jnz1568/getInfo.php?workbook=14_13.xlsx&amp;sheet=U0&amp;row=3135&amp;col=7&amp;number=6.54&amp;sourceID=14","6.54")</f>
        <v>6.54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HYPERLINK("http://141.218.60.56/~jnz1568/getInfo.php?workbook=14_13.xlsx&amp;sheet=U0&amp;row=3136&amp;col=6&amp;number=4.2&amp;sourceID=14","4.2")</f>
        <v>4.2</v>
      </c>
      <c r="G3136" s="4" t="str">
        <f>HYPERLINK("http://141.218.60.56/~jnz1568/getInfo.php?workbook=14_13.xlsx&amp;sheet=U0&amp;row=3136&amp;col=7&amp;number=6.49&amp;sourceID=14","6.49")</f>
        <v>6.49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HYPERLINK("http://141.218.60.56/~jnz1568/getInfo.php?workbook=14_13.xlsx&amp;sheet=U0&amp;row=3137&amp;col=6&amp;number=4.3&amp;sourceID=14","4.3")</f>
        <v>4.3</v>
      </c>
      <c r="G3137" s="4" t="str">
        <f>HYPERLINK("http://141.218.60.56/~jnz1568/getInfo.php?workbook=14_13.xlsx&amp;sheet=U0&amp;row=3137&amp;col=7&amp;number=6.43&amp;sourceID=14","6.43")</f>
        <v>6.43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HYPERLINK("http://141.218.60.56/~jnz1568/getInfo.php?workbook=14_13.xlsx&amp;sheet=U0&amp;row=3138&amp;col=6&amp;number=4.4&amp;sourceID=14","4.4")</f>
        <v>4.4</v>
      </c>
      <c r="G3138" s="4" t="str">
        <f>HYPERLINK("http://141.218.60.56/~jnz1568/getInfo.php?workbook=14_13.xlsx&amp;sheet=U0&amp;row=3138&amp;col=7&amp;number=6.36&amp;sourceID=14","6.36")</f>
        <v>6.36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HYPERLINK("http://141.218.60.56/~jnz1568/getInfo.php?workbook=14_13.xlsx&amp;sheet=U0&amp;row=3139&amp;col=6&amp;number=4.5&amp;sourceID=14","4.5")</f>
        <v>4.5</v>
      </c>
      <c r="G3139" s="4" t="str">
        <f>HYPERLINK("http://141.218.60.56/~jnz1568/getInfo.php?workbook=14_13.xlsx&amp;sheet=U0&amp;row=3139&amp;col=7&amp;number=6.28&amp;sourceID=14","6.28")</f>
        <v>6.28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HYPERLINK("http://141.218.60.56/~jnz1568/getInfo.php?workbook=14_13.xlsx&amp;sheet=U0&amp;row=3140&amp;col=6&amp;number=4.6&amp;sourceID=14","4.6")</f>
        <v>4.6</v>
      </c>
      <c r="G3140" s="4" t="str">
        <f>HYPERLINK("http://141.218.60.56/~jnz1568/getInfo.php?workbook=14_13.xlsx&amp;sheet=U0&amp;row=3140&amp;col=7&amp;number=6.18&amp;sourceID=14","6.18")</f>
        <v>6.18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HYPERLINK("http://141.218.60.56/~jnz1568/getInfo.php?workbook=14_13.xlsx&amp;sheet=U0&amp;row=3141&amp;col=6&amp;number=4.7&amp;sourceID=14","4.7")</f>
        <v>4.7</v>
      </c>
      <c r="G3141" s="4" t="str">
        <f>HYPERLINK("http://141.218.60.56/~jnz1568/getInfo.php?workbook=14_13.xlsx&amp;sheet=U0&amp;row=3141&amp;col=7&amp;number=6.05&amp;sourceID=14","6.05")</f>
        <v>6.05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HYPERLINK("http://141.218.60.56/~jnz1568/getInfo.php?workbook=14_13.xlsx&amp;sheet=U0&amp;row=3142&amp;col=6&amp;number=4.8&amp;sourceID=14","4.8")</f>
        <v>4.8</v>
      </c>
      <c r="G3142" s="4" t="str">
        <f>HYPERLINK("http://141.218.60.56/~jnz1568/getInfo.php?workbook=14_13.xlsx&amp;sheet=U0&amp;row=3142&amp;col=7&amp;number=5.9&amp;sourceID=14","5.9")</f>
        <v>5.9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HYPERLINK("http://141.218.60.56/~jnz1568/getInfo.php?workbook=14_13.xlsx&amp;sheet=U0&amp;row=3143&amp;col=6&amp;number=4.9&amp;sourceID=14","4.9")</f>
        <v>4.9</v>
      </c>
      <c r="G3143" s="4" t="str">
        <f>HYPERLINK("http://141.218.60.56/~jnz1568/getInfo.php?workbook=14_13.xlsx&amp;sheet=U0&amp;row=3143&amp;col=7&amp;number=5.72&amp;sourceID=14","5.72")</f>
        <v>5.72</v>
      </c>
    </row>
    <row r="3144" spans="1:7">
      <c r="A3144" s="3">
        <v>14</v>
      </c>
      <c r="B3144" s="3">
        <v>13</v>
      </c>
      <c r="C3144" s="3">
        <v>7</v>
      </c>
      <c r="D3144" s="3">
        <v>12</v>
      </c>
      <c r="E3144" s="3">
        <v>1</v>
      </c>
      <c r="F3144" s="4" t="str">
        <f>HYPERLINK("http://141.218.60.56/~jnz1568/getInfo.php?workbook=14_13.xlsx&amp;sheet=U0&amp;row=3144&amp;col=6&amp;number=3&amp;sourceID=14","3")</f>
        <v>3</v>
      </c>
      <c r="G3144" s="4" t="str">
        <f>HYPERLINK("http://141.218.60.56/~jnz1568/getInfo.php?workbook=14_13.xlsx&amp;sheet=U0&amp;row=3144&amp;col=7&amp;number=0.476&amp;sourceID=14","0.476")</f>
        <v>0.476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HYPERLINK("http://141.218.60.56/~jnz1568/getInfo.php?workbook=14_13.xlsx&amp;sheet=U0&amp;row=3145&amp;col=6&amp;number=3.1&amp;sourceID=14","3.1")</f>
        <v>3.1</v>
      </c>
      <c r="G3145" s="4" t="str">
        <f>HYPERLINK("http://141.218.60.56/~jnz1568/getInfo.php?workbook=14_13.xlsx&amp;sheet=U0&amp;row=3145&amp;col=7&amp;number=0.478&amp;sourceID=14","0.478")</f>
        <v>0.478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HYPERLINK("http://141.218.60.56/~jnz1568/getInfo.php?workbook=14_13.xlsx&amp;sheet=U0&amp;row=3146&amp;col=6&amp;number=3.2&amp;sourceID=14","3.2")</f>
        <v>3.2</v>
      </c>
      <c r="G3146" s="4" t="str">
        <f>HYPERLINK("http://141.218.60.56/~jnz1568/getInfo.php?workbook=14_13.xlsx&amp;sheet=U0&amp;row=3146&amp;col=7&amp;number=0.482&amp;sourceID=14","0.482")</f>
        <v>0.482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HYPERLINK("http://141.218.60.56/~jnz1568/getInfo.php?workbook=14_13.xlsx&amp;sheet=U0&amp;row=3147&amp;col=6&amp;number=3.3&amp;sourceID=14","3.3")</f>
        <v>3.3</v>
      </c>
      <c r="G3147" s="4" t="str">
        <f>HYPERLINK("http://141.218.60.56/~jnz1568/getInfo.php?workbook=14_13.xlsx&amp;sheet=U0&amp;row=3147&amp;col=7&amp;number=0.486&amp;sourceID=14","0.486")</f>
        <v>0.486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HYPERLINK("http://141.218.60.56/~jnz1568/getInfo.php?workbook=14_13.xlsx&amp;sheet=U0&amp;row=3148&amp;col=6&amp;number=3.4&amp;sourceID=14","3.4")</f>
        <v>3.4</v>
      </c>
      <c r="G3148" s="4" t="str">
        <f>HYPERLINK("http://141.218.60.56/~jnz1568/getInfo.php?workbook=14_13.xlsx&amp;sheet=U0&amp;row=3148&amp;col=7&amp;number=0.49&amp;sourceID=14","0.49")</f>
        <v>0.49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HYPERLINK("http://141.218.60.56/~jnz1568/getInfo.php?workbook=14_13.xlsx&amp;sheet=U0&amp;row=3149&amp;col=6&amp;number=3.5&amp;sourceID=14","3.5")</f>
        <v>3.5</v>
      </c>
      <c r="G3149" s="4" t="str">
        <f>HYPERLINK("http://141.218.60.56/~jnz1568/getInfo.php?workbook=14_13.xlsx&amp;sheet=U0&amp;row=3149&amp;col=7&amp;number=0.495&amp;sourceID=14","0.495")</f>
        <v>0.495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HYPERLINK("http://141.218.60.56/~jnz1568/getInfo.php?workbook=14_13.xlsx&amp;sheet=U0&amp;row=3150&amp;col=6&amp;number=3.6&amp;sourceID=14","3.6")</f>
        <v>3.6</v>
      </c>
      <c r="G3150" s="4" t="str">
        <f>HYPERLINK("http://141.218.60.56/~jnz1568/getInfo.php?workbook=14_13.xlsx&amp;sheet=U0&amp;row=3150&amp;col=7&amp;number=0.5&amp;sourceID=14","0.5")</f>
        <v>0.5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HYPERLINK("http://141.218.60.56/~jnz1568/getInfo.php?workbook=14_13.xlsx&amp;sheet=U0&amp;row=3151&amp;col=6&amp;number=3.7&amp;sourceID=14","3.7")</f>
        <v>3.7</v>
      </c>
      <c r="G3151" s="4" t="str">
        <f>HYPERLINK("http://141.218.60.56/~jnz1568/getInfo.php?workbook=14_13.xlsx&amp;sheet=U0&amp;row=3151&amp;col=7&amp;number=0.504&amp;sourceID=14","0.504")</f>
        <v>0.504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HYPERLINK("http://141.218.60.56/~jnz1568/getInfo.php?workbook=14_13.xlsx&amp;sheet=U0&amp;row=3152&amp;col=6&amp;number=3.8&amp;sourceID=14","3.8")</f>
        <v>3.8</v>
      </c>
      <c r="G3152" s="4" t="str">
        <f>HYPERLINK("http://141.218.60.56/~jnz1568/getInfo.php?workbook=14_13.xlsx&amp;sheet=U0&amp;row=3152&amp;col=7&amp;number=0.507&amp;sourceID=14","0.507")</f>
        <v>0.507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HYPERLINK("http://141.218.60.56/~jnz1568/getInfo.php?workbook=14_13.xlsx&amp;sheet=U0&amp;row=3153&amp;col=6&amp;number=3.9&amp;sourceID=14","3.9")</f>
        <v>3.9</v>
      </c>
      <c r="G3153" s="4" t="str">
        <f>HYPERLINK("http://141.218.60.56/~jnz1568/getInfo.php?workbook=14_13.xlsx&amp;sheet=U0&amp;row=3153&amp;col=7&amp;number=0.509&amp;sourceID=14","0.509")</f>
        <v>0.509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HYPERLINK("http://141.218.60.56/~jnz1568/getInfo.php?workbook=14_13.xlsx&amp;sheet=U0&amp;row=3154&amp;col=6&amp;number=4&amp;sourceID=14","4")</f>
        <v>4</v>
      </c>
      <c r="G3154" s="4" t="str">
        <f>HYPERLINK("http://141.218.60.56/~jnz1568/getInfo.php?workbook=14_13.xlsx&amp;sheet=U0&amp;row=3154&amp;col=7&amp;number=0.508&amp;sourceID=14","0.508")</f>
        <v>0.508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HYPERLINK("http://141.218.60.56/~jnz1568/getInfo.php?workbook=14_13.xlsx&amp;sheet=U0&amp;row=3155&amp;col=6&amp;number=4.1&amp;sourceID=14","4.1")</f>
        <v>4.1</v>
      </c>
      <c r="G3155" s="4" t="str">
        <f>HYPERLINK("http://141.218.60.56/~jnz1568/getInfo.php?workbook=14_13.xlsx&amp;sheet=U0&amp;row=3155&amp;col=7&amp;number=0.503&amp;sourceID=14","0.503")</f>
        <v>0.503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HYPERLINK("http://141.218.60.56/~jnz1568/getInfo.php?workbook=14_13.xlsx&amp;sheet=U0&amp;row=3156&amp;col=6&amp;number=4.2&amp;sourceID=14","4.2")</f>
        <v>4.2</v>
      </c>
      <c r="G3156" s="4" t="str">
        <f>HYPERLINK("http://141.218.60.56/~jnz1568/getInfo.php?workbook=14_13.xlsx&amp;sheet=U0&amp;row=3156&amp;col=7&amp;number=0.494&amp;sourceID=14","0.494")</f>
        <v>0.494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HYPERLINK("http://141.218.60.56/~jnz1568/getInfo.php?workbook=14_13.xlsx&amp;sheet=U0&amp;row=3157&amp;col=6&amp;number=4.3&amp;sourceID=14","4.3")</f>
        <v>4.3</v>
      </c>
      <c r="G3157" s="4" t="str">
        <f>HYPERLINK("http://141.218.60.56/~jnz1568/getInfo.php?workbook=14_13.xlsx&amp;sheet=U0&amp;row=3157&amp;col=7&amp;number=0.481&amp;sourceID=14","0.481")</f>
        <v>0.481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HYPERLINK("http://141.218.60.56/~jnz1568/getInfo.php?workbook=14_13.xlsx&amp;sheet=U0&amp;row=3158&amp;col=6&amp;number=4.4&amp;sourceID=14","4.4")</f>
        <v>4.4</v>
      </c>
      <c r="G3158" s="4" t="str">
        <f>HYPERLINK("http://141.218.60.56/~jnz1568/getInfo.php?workbook=14_13.xlsx&amp;sheet=U0&amp;row=3158&amp;col=7&amp;number=0.465&amp;sourceID=14","0.465")</f>
        <v>0.465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HYPERLINK("http://141.218.60.56/~jnz1568/getInfo.php?workbook=14_13.xlsx&amp;sheet=U0&amp;row=3159&amp;col=6&amp;number=4.5&amp;sourceID=14","4.5")</f>
        <v>4.5</v>
      </c>
      <c r="G3159" s="4" t="str">
        <f>HYPERLINK("http://141.218.60.56/~jnz1568/getInfo.php?workbook=14_13.xlsx&amp;sheet=U0&amp;row=3159&amp;col=7&amp;number=0.447&amp;sourceID=14","0.447")</f>
        <v>0.447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HYPERLINK("http://141.218.60.56/~jnz1568/getInfo.php?workbook=14_13.xlsx&amp;sheet=U0&amp;row=3160&amp;col=6&amp;number=4.6&amp;sourceID=14","4.6")</f>
        <v>4.6</v>
      </c>
      <c r="G3160" s="4" t="str">
        <f>HYPERLINK("http://141.218.60.56/~jnz1568/getInfo.php?workbook=14_13.xlsx&amp;sheet=U0&amp;row=3160&amp;col=7&amp;number=0.428&amp;sourceID=14","0.428")</f>
        <v>0.428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HYPERLINK("http://141.218.60.56/~jnz1568/getInfo.php?workbook=14_13.xlsx&amp;sheet=U0&amp;row=3161&amp;col=6&amp;number=4.7&amp;sourceID=14","4.7")</f>
        <v>4.7</v>
      </c>
      <c r="G3161" s="4" t="str">
        <f>HYPERLINK("http://141.218.60.56/~jnz1568/getInfo.php?workbook=14_13.xlsx&amp;sheet=U0&amp;row=3161&amp;col=7&amp;number=0.409&amp;sourceID=14","0.409")</f>
        <v>0.409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HYPERLINK("http://141.218.60.56/~jnz1568/getInfo.php?workbook=14_13.xlsx&amp;sheet=U0&amp;row=3162&amp;col=6&amp;number=4.8&amp;sourceID=14","4.8")</f>
        <v>4.8</v>
      </c>
      <c r="G3162" s="4" t="str">
        <f>HYPERLINK("http://141.218.60.56/~jnz1568/getInfo.php?workbook=14_13.xlsx&amp;sheet=U0&amp;row=3162&amp;col=7&amp;number=0.391&amp;sourceID=14","0.391")</f>
        <v>0.391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HYPERLINK("http://141.218.60.56/~jnz1568/getInfo.php?workbook=14_13.xlsx&amp;sheet=U0&amp;row=3163&amp;col=6&amp;number=4.9&amp;sourceID=14","4.9")</f>
        <v>4.9</v>
      </c>
      <c r="G3163" s="4" t="str">
        <f>HYPERLINK("http://141.218.60.56/~jnz1568/getInfo.php?workbook=14_13.xlsx&amp;sheet=U0&amp;row=3163&amp;col=7&amp;number=0.374&amp;sourceID=14","0.374")</f>
        <v>0.374</v>
      </c>
    </row>
    <row r="3164" spans="1:7">
      <c r="A3164" s="3">
        <v>14</v>
      </c>
      <c r="B3164" s="3">
        <v>13</v>
      </c>
      <c r="C3164" s="3">
        <v>7</v>
      </c>
      <c r="D3164" s="3">
        <v>13</v>
      </c>
      <c r="E3164" s="3">
        <v>1</v>
      </c>
      <c r="F3164" s="4" t="str">
        <f>HYPERLINK("http://141.218.60.56/~jnz1568/getInfo.php?workbook=14_13.xlsx&amp;sheet=U0&amp;row=3164&amp;col=6&amp;number=3&amp;sourceID=14","3")</f>
        <v>3</v>
      </c>
      <c r="G3164" s="4" t="str">
        <f>HYPERLINK("http://141.218.60.56/~jnz1568/getInfo.php?workbook=14_13.xlsx&amp;sheet=U0&amp;row=3164&amp;col=7&amp;number=3.05&amp;sourceID=14","3.05")</f>
        <v>3.05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HYPERLINK("http://141.218.60.56/~jnz1568/getInfo.php?workbook=14_13.xlsx&amp;sheet=U0&amp;row=3165&amp;col=6&amp;number=3.1&amp;sourceID=14","3.1")</f>
        <v>3.1</v>
      </c>
      <c r="G3165" s="4" t="str">
        <f>HYPERLINK("http://141.218.60.56/~jnz1568/getInfo.php?workbook=14_13.xlsx&amp;sheet=U0&amp;row=3165&amp;col=7&amp;number=3.07&amp;sourceID=14","3.07")</f>
        <v>3.07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HYPERLINK("http://141.218.60.56/~jnz1568/getInfo.php?workbook=14_13.xlsx&amp;sheet=U0&amp;row=3166&amp;col=6&amp;number=3.2&amp;sourceID=14","3.2")</f>
        <v>3.2</v>
      </c>
      <c r="G3166" s="4" t="str">
        <f>HYPERLINK("http://141.218.60.56/~jnz1568/getInfo.php?workbook=14_13.xlsx&amp;sheet=U0&amp;row=3166&amp;col=7&amp;number=3.09&amp;sourceID=14","3.09")</f>
        <v>3.09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HYPERLINK("http://141.218.60.56/~jnz1568/getInfo.php?workbook=14_13.xlsx&amp;sheet=U0&amp;row=3167&amp;col=6&amp;number=3.3&amp;sourceID=14","3.3")</f>
        <v>3.3</v>
      </c>
      <c r="G3167" s="4" t="str">
        <f>HYPERLINK("http://141.218.60.56/~jnz1568/getInfo.php?workbook=14_13.xlsx&amp;sheet=U0&amp;row=3167&amp;col=7&amp;number=3.12&amp;sourceID=14","3.12")</f>
        <v>3.12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HYPERLINK("http://141.218.60.56/~jnz1568/getInfo.php?workbook=14_13.xlsx&amp;sheet=U0&amp;row=3168&amp;col=6&amp;number=3.4&amp;sourceID=14","3.4")</f>
        <v>3.4</v>
      </c>
      <c r="G3168" s="4" t="str">
        <f>HYPERLINK("http://141.218.60.56/~jnz1568/getInfo.php?workbook=14_13.xlsx&amp;sheet=U0&amp;row=3168&amp;col=7&amp;number=3.15&amp;sourceID=14","3.15")</f>
        <v>3.15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HYPERLINK("http://141.218.60.56/~jnz1568/getInfo.php?workbook=14_13.xlsx&amp;sheet=U0&amp;row=3169&amp;col=6&amp;number=3.5&amp;sourceID=14","3.5")</f>
        <v>3.5</v>
      </c>
      <c r="G3169" s="4" t="str">
        <f>HYPERLINK("http://141.218.60.56/~jnz1568/getInfo.php?workbook=14_13.xlsx&amp;sheet=U0&amp;row=3169&amp;col=7&amp;number=3.19&amp;sourceID=14","3.19")</f>
        <v>3.19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HYPERLINK("http://141.218.60.56/~jnz1568/getInfo.php?workbook=14_13.xlsx&amp;sheet=U0&amp;row=3170&amp;col=6&amp;number=3.6&amp;sourceID=14","3.6")</f>
        <v>3.6</v>
      </c>
      <c r="G3170" s="4" t="str">
        <f>HYPERLINK("http://141.218.60.56/~jnz1568/getInfo.php?workbook=14_13.xlsx&amp;sheet=U0&amp;row=3170&amp;col=7&amp;number=3.24&amp;sourceID=14","3.24")</f>
        <v>3.24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HYPERLINK("http://141.218.60.56/~jnz1568/getInfo.php?workbook=14_13.xlsx&amp;sheet=U0&amp;row=3171&amp;col=6&amp;number=3.7&amp;sourceID=14","3.7")</f>
        <v>3.7</v>
      </c>
      <c r="G3171" s="4" t="str">
        <f>HYPERLINK("http://141.218.60.56/~jnz1568/getInfo.php?workbook=14_13.xlsx&amp;sheet=U0&amp;row=3171&amp;col=7&amp;number=3.3&amp;sourceID=14","3.3")</f>
        <v>3.3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HYPERLINK("http://141.218.60.56/~jnz1568/getInfo.php?workbook=14_13.xlsx&amp;sheet=U0&amp;row=3172&amp;col=6&amp;number=3.8&amp;sourceID=14","3.8")</f>
        <v>3.8</v>
      </c>
      <c r="G3172" s="4" t="str">
        <f>HYPERLINK("http://141.218.60.56/~jnz1568/getInfo.php?workbook=14_13.xlsx&amp;sheet=U0&amp;row=3172&amp;col=7&amp;number=3.36&amp;sourceID=14","3.36")</f>
        <v>3.36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HYPERLINK("http://141.218.60.56/~jnz1568/getInfo.php?workbook=14_13.xlsx&amp;sheet=U0&amp;row=3173&amp;col=6&amp;number=3.9&amp;sourceID=14","3.9")</f>
        <v>3.9</v>
      </c>
      <c r="G3173" s="4" t="str">
        <f>HYPERLINK("http://141.218.60.56/~jnz1568/getInfo.php?workbook=14_13.xlsx&amp;sheet=U0&amp;row=3173&amp;col=7&amp;number=3.44&amp;sourceID=14","3.44")</f>
        <v>3.44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HYPERLINK("http://141.218.60.56/~jnz1568/getInfo.php?workbook=14_13.xlsx&amp;sheet=U0&amp;row=3174&amp;col=6&amp;number=4&amp;sourceID=14","4")</f>
        <v>4</v>
      </c>
      <c r="G3174" s="4" t="str">
        <f>HYPERLINK("http://141.218.60.56/~jnz1568/getInfo.php?workbook=14_13.xlsx&amp;sheet=U0&amp;row=3174&amp;col=7&amp;number=3.52&amp;sourceID=14","3.52")</f>
        <v>3.52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HYPERLINK("http://141.218.60.56/~jnz1568/getInfo.php?workbook=14_13.xlsx&amp;sheet=U0&amp;row=3175&amp;col=6&amp;number=4.1&amp;sourceID=14","4.1")</f>
        <v>4.1</v>
      </c>
      <c r="G3175" s="4" t="str">
        <f>HYPERLINK("http://141.218.60.56/~jnz1568/getInfo.php?workbook=14_13.xlsx&amp;sheet=U0&amp;row=3175&amp;col=7&amp;number=3.62&amp;sourceID=14","3.62")</f>
        <v>3.62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HYPERLINK("http://141.218.60.56/~jnz1568/getInfo.php?workbook=14_13.xlsx&amp;sheet=U0&amp;row=3176&amp;col=6&amp;number=4.2&amp;sourceID=14","4.2")</f>
        <v>4.2</v>
      </c>
      <c r="G3176" s="4" t="str">
        <f>HYPERLINK("http://141.218.60.56/~jnz1568/getInfo.php?workbook=14_13.xlsx&amp;sheet=U0&amp;row=3176&amp;col=7&amp;number=3.73&amp;sourceID=14","3.73")</f>
        <v>3.73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HYPERLINK("http://141.218.60.56/~jnz1568/getInfo.php?workbook=14_13.xlsx&amp;sheet=U0&amp;row=3177&amp;col=6&amp;number=4.3&amp;sourceID=14","4.3")</f>
        <v>4.3</v>
      </c>
      <c r="G3177" s="4" t="str">
        <f>HYPERLINK("http://141.218.60.56/~jnz1568/getInfo.php?workbook=14_13.xlsx&amp;sheet=U0&amp;row=3177&amp;col=7&amp;number=3.86&amp;sourceID=14","3.86")</f>
        <v>3.86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HYPERLINK("http://141.218.60.56/~jnz1568/getInfo.php?workbook=14_13.xlsx&amp;sheet=U0&amp;row=3178&amp;col=6&amp;number=4.4&amp;sourceID=14","4.4")</f>
        <v>4.4</v>
      </c>
      <c r="G3178" s="4" t="str">
        <f>HYPERLINK("http://141.218.60.56/~jnz1568/getInfo.php?workbook=14_13.xlsx&amp;sheet=U0&amp;row=3178&amp;col=7&amp;number=4.03&amp;sourceID=14","4.03")</f>
        <v>4.03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HYPERLINK("http://141.218.60.56/~jnz1568/getInfo.php?workbook=14_13.xlsx&amp;sheet=U0&amp;row=3179&amp;col=6&amp;number=4.5&amp;sourceID=14","4.5")</f>
        <v>4.5</v>
      </c>
      <c r="G3179" s="4" t="str">
        <f>HYPERLINK("http://141.218.60.56/~jnz1568/getInfo.php?workbook=14_13.xlsx&amp;sheet=U0&amp;row=3179&amp;col=7&amp;number=4.23&amp;sourceID=14","4.23")</f>
        <v>4.23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HYPERLINK("http://141.218.60.56/~jnz1568/getInfo.php?workbook=14_13.xlsx&amp;sheet=U0&amp;row=3180&amp;col=6&amp;number=4.6&amp;sourceID=14","4.6")</f>
        <v>4.6</v>
      </c>
      <c r="G3180" s="4" t="str">
        <f>HYPERLINK("http://141.218.60.56/~jnz1568/getInfo.php?workbook=14_13.xlsx&amp;sheet=U0&amp;row=3180&amp;col=7&amp;number=4.49&amp;sourceID=14","4.49")</f>
        <v>4.49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HYPERLINK("http://141.218.60.56/~jnz1568/getInfo.php?workbook=14_13.xlsx&amp;sheet=U0&amp;row=3181&amp;col=6&amp;number=4.7&amp;sourceID=14","4.7")</f>
        <v>4.7</v>
      </c>
      <c r="G3181" s="4" t="str">
        <f>HYPERLINK("http://141.218.60.56/~jnz1568/getInfo.php?workbook=14_13.xlsx&amp;sheet=U0&amp;row=3181&amp;col=7&amp;number=4.82&amp;sourceID=14","4.82")</f>
        <v>4.82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HYPERLINK("http://141.218.60.56/~jnz1568/getInfo.php?workbook=14_13.xlsx&amp;sheet=U0&amp;row=3182&amp;col=6&amp;number=4.8&amp;sourceID=14","4.8")</f>
        <v>4.8</v>
      </c>
      <c r="G3182" s="4" t="str">
        <f>HYPERLINK("http://141.218.60.56/~jnz1568/getInfo.php?workbook=14_13.xlsx&amp;sheet=U0&amp;row=3182&amp;col=7&amp;number=5.23&amp;sourceID=14","5.23")</f>
        <v>5.23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HYPERLINK("http://141.218.60.56/~jnz1568/getInfo.php?workbook=14_13.xlsx&amp;sheet=U0&amp;row=3183&amp;col=6&amp;number=4.9&amp;sourceID=14","4.9")</f>
        <v>4.9</v>
      </c>
      <c r="G3183" s="4" t="str">
        <f>HYPERLINK("http://141.218.60.56/~jnz1568/getInfo.php?workbook=14_13.xlsx&amp;sheet=U0&amp;row=3183&amp;col=7&amp;number=5.72&amp;sourceID=14","5.72")</f>
        <v>5.72</v>
      </c>
    </row>
    <row r="3184" spans="1:7">
      <c r="A3184" s="3">
        <v>14</v>
      </c>
      <c r="B3184" s="3">
        <v>13</v>
      </c>
      <c r="C3184" s="3">
        <v>7</v>
      </c>
      <c r="D3184" s="3">
        <v>14</v>
      </c>
      <c r="E3184" s="3">
        <v>1</v>
      </c>
      <c r="F3184" s="4" t="str">
        <f>HYPERLINK("http://141.218.60.56/~jnz1568/getInfo.php?workbook=14_13.xlsx&amp;sheet=U0&amp;row=3184&amp;col=6&amp;number=3&amp;sourceID=14","3")</f>
        <v>3</v>
      </c>
      <c r="G3184" s="4" t="str">
        <f>HYPERLINK("http://141.218.60.56/~jnz1568/getInfo.php?workbook=14_13.xlsx&amp;sheet=U0&amp;row=3184&amp;col=7&amp;number=1.16&amp;sourceID=14","1.16")</f>
        <v>1.16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HYPERLINK("http://141.218.60.56/~jnz1568/getInfo.php?workbook=14_13.xlsx&amp;sheet=U0&amp;row=3185&amp;col=6&amp;number=3.1&amp;sourceID=14","3.1")</f>
        <v>3.1</v>
      </c>
      <c r="G3185" s="4" t="str">
        <f>HYPERLINK("http://141.218.60.56/~jnz1568/getInfo.php?workbook=14_13.xlsx&amp;sheet=U0&amp;row=3185&amp;col=7&amp;number=1.15&amp;sourceID=14","1.15")</f>
        <v>1.15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HYPERLINK("http://141.218.60.56/~jnz1568/getInfo.php?workbook=14_13.xlsx&amp;sheet=U0&amp;row=3186&amp;col=6&amp;number=3.2&amp;sourceID=14","3.2")</f>
        <v>3.2</v>
      </c>
      <c r="G3186" s="4" t="str">
        <f>HYPERLINK("http://141.218.60.56/~jnz1568/getInfo.php?workbook=14_13.xlsx&amp;sheet=U0&amp;row=3186&amp;col=7&amp;number=1.14&amp;sourceID=14","1.14")</f>
        <v>1.14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HYPERLINK("http://141.218.60.56/~jnz1568/getInfo.php?workbook=14_13.xlsx&amp;sheet=U0&amp;row=3187&amp;col=6&amp;number=3.3&amp;sourceID=14","3.3")</f>
        <v>3.3</v>
      </c>
      <c r="G3187" s="4" t="str">
        <f>HYPERLINK("http://141.218.60.56/~jnz1568/getInfo.php?workbook=14_13.xlsx&amp;sheet=U0&amp;row=3187&amp;col=7&amp;number=1.12&amp;sourceID=14","1.12")</f>
        <v>1.12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HYPERLINK("http://141.218.60.56/~jnz1568/getInfo.php?workbook=14_13.xlsx&amp;sheet=U0&amp;row=3188&amp;col=6&amp;number=3.4&amp;sourceID=14","3.4")</f>
        <v>3.4</v>
      </c>
      <c r="G3188" s="4" t="str">
        <f>HYPERLINK("http://141.218.60.56/~jnz1568/getInfo.php?workbook=14_13.xlsx&amp;sheet=U0&amp;row=3188&amp;col=7&amp;number=1.11&amp;sourceID=14","1.11")</f>
        <v>1.11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HYPERLINK("http://141.218.60.56/~jnz1568/getInfo.php?workbook=14_13.xlsx&amp;sheet=U0&amp;row=3189&amp;col=6&amp;number=3.5&amp;sourceID=14","3.5")</f>
        <v>3.5</v>
      </c>
      <c r="G3189" s="4" t="str">
        <f>HYPERLINK("http://141.218.60.56/~jnz1568/getInfo.php?workbook=14_13.xlsx&amp;sheet=U0&amp;row=3189&amp;col=7&amp;number=1.09&amp;sourceID=14","1.09")</f>
        <v>1.09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HYPERLINK("http://141.218.60.56/~jnz1568/getInfo.php?workbook=14_13.xlsx&amp;sheet=U0&amp;row=3190&amp;col=6&amp;number=3.6&amp;sourceID=14","3.6")</f>
        <v>3.6</v>
      </c>
      <c r="G3190" s="4" t="str">
        <f>HYPERLINK("http://141.218.60.56/~jnz1568/getInfo.php?workbook=14_13.xlsx&amp;sheet=U0&amp;row=3190&amp;col=7&amp;number=1.07&amp;sourceID=14","1.07")</f>
        <v>1.07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HYPERLINK("http://141.218.60.56/~jnz1568/getInfo.php?workbook=14_13.xlsx&amp;sheet=U0&amp;row=3191&amp;col=6&amp;number=3.7&amp;sourceID=14","3.7")</f>
        <v>3.7</v>
      </c>
      <c r="G3191" s="4" t="str">
        <f>HYPERLINK("http://141.218.60.56/~jnz1568/getInfo.php?workbook=14_13.xlsx&amp;sheet=U0&amp;row=3191&amp;col=7&amp;number=1.05&amp;sourceID=14","1.05")</f>
        <v>1.05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HYPERLINK("http://141.218.60.56/~jnz1568/getInfo.php?workbook=14_13.xlsx&amp;sheet=U0&amp;row=3192&amp;col=6&amp;number=3.8&amp;sourceID=14","3.8")</f>
        <v>3.8</v>
      </c>
      <c r="G3192" s="4" t="str">
        <f>HYPERLINK("http://141.218.60.56/~jnz1568/getInfo.php?workbook=14_13.xlsx&amp;sheet=U0&amp;row=3192&amp;col=7&amp;number=1.03&amp;sourceID=14","1.03")</f>
        <v>1.03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HYPERLINK("http://141.218.60.56/~jnz1568/getInfo.php?workbook=14_13.xlsx&amp;sheet=U0&amp;row=3193&amp;col=6&amp;number=3.9&amp;sourceID=14","3.9")</f>
        <v>3.9</v>
      </c>
      <c r="G3193" s="4" t="str">
        <f>HYPERLINK("http://141.218.60.56/~jnz1568/getInfo.php?workbook=14_13.xlsx&amp;sheet=U0&amp;row=3193&amp;col=7&amp;number=1.01&amp;sourceID=14","1.01")</f>
        <v>1.01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HYPERLINK("http://141.218.60.56/~jnz1568/getInfo.php?workbook=14_13.xlsx&amp;sheet=U0&amp;row=3194&amp;col=6&amp;number=4&amp;sourceID=14","4")</f>
        <v>4</v>
      </c>
      <c r="G3194" s="4" t="str">
        <f>HYPERLINK("http://141.218.60.56/~jnz1568/getInfo.php?workbook=14_13.xlsx&amp;sheet=U0&amp;row=3194&amp;col=7&amp;number=0.981&amp;sourceID=14","0.981")</f>
        <v>0.981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HYPERLINK("http://141.218.60.56/~jnz1568/getInfo.php?workbook=14_13.xlsx&amp;sheet=U0&amp;row=3195&amp;col=6&amp;number=4.1&amp;sourceID=14","4.1")</f>
        <v>4.1</v>
      </c>
      <c r="G3195" s="4" t="str">
        <f>HYPERLINK("http://141.218.60.56/~jnz1568/getInfo.php?workbook=14_13.xlsx&amp;sheet=U0&amp;row=3195&amp;col=7&amp;number=0.956&amp;sourceID=14","0.956")</f>
        <v>0.956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HYPERLINK("http://141.218.60.56/~jnz1568/getInfo.php?workbook=14_13.xlsx&amp;sheet=U0&amp;row=3196&amp;col=6&amp;number=4.2&amp;sourceID=14","4.2")</f>
        <v>4.2</v>
      </c>
      <c r="G3196" s="4" t="str">
        <f>HYPERLINK("http://141.218.60.56/~jnz1568/getInfo.php?workbook=14_13.xlsx&amp;sheet=U0&amp;row=3196&amp;col=7&amp;number=0.929&amp;sourceID=14","0.929")</f>
        <v>0.929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HYPERLINK("http://141.218.60.56/~jnz1568/getInfo.php?workbook=14_13.xlsx&amp;sheet=U0&amp;row=3197&amp;col=6&amp;number=4.3&amp;sourceID=14","4.3")</f>
        <v>4.3</v>
      </c>
      <c r="G3197" s="4" t="str">
        <f>HYPERLINK("http://141.218.60.56/~jnz1568/getInfo.php?workbook=14_13.xlsx&amp;sheet=U0&amp;row=3197&amp;col=7&amp;number=0.901&amp;sourceID=14","0.901")</f>
        <v>0.901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HYPERLINK("http://141.218.60.56/~jnz1568/getInfo.php?workbook=14_13.xlsx&amp;sheet=U0&amp;row=3198&amp;col=6&amp;number=4.4&amp;sourceID=14","4.4")</f>
        <v>4.4</v>
      </c>
      <c r="G3198" s="4" t="str">
        <f>HYPERLINK("http://141.218.60.56/~jnz1568/getInfo.php?workbook=14_13.xlsx&amp;sheet=U0&amp;row=3198&amp;col=7&amp;number=0.872&amp;sourceID=14","0.872")</f>
        <v>0.872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HYPERLINK("http://141.218.60.56/~jnz1568/getInfo.php?workbook=14_13.xlsx&amp;sheet=U0&amp;row=3199&amp;col=6&amp;number=4.5&amp;sourceID=14","4.5")</f>
        <v>4.5</v>
      </c>
      <c r="G3199" s="4" t="str">
        <f>HYPERLINK("http://141.218.60.56/~jnz1568/getInfo.php?workbook=14_13.xlsx&amp;sheet=U0&amp;row=3199&amp;col=7&amp;number=0.841&amp;sourceID=14","0.841")</f>
        <v>0.841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HYPERLINK("http://141.218.60.56/~jnz1568/getInfo.php?workbook=14_13.xlsx&amp;sheet=U0&amp;row=3200&amp;col=6&amp;number=4.6&amp;sourceID=14","4.6")</f>
        <v>4.6</v>
      </c>
      <c r="G3200" s="4" t="str">
        <f>HYPERLINK("http://141.218.60.56/~jnz1568/getInfo.php?workbook=14_13.xlsx&amp;sheet=U0&amp;row=3200&amp;col=7&amp;number=0.809&amp;sourceID=14","0.809")</f>
        <v>0.809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HYPERLINK("http://141.218.60.56/~jnz1568/getInfo.php?workbook=14_13.xlsx&amp;sheet=U0&amp;row=3201&amp;col=6&amp;number=4.7&amp;sourceID=14","4.7")</f>
        <v>4.7</v>
      </c>
      <c r="G3201" s="4" t="str">
        <f>HYPERLINK("http://141.218.60.56/~jnz1568/getInfo.php?workbook=14_13.xlsx&amp;sheet=U0&amp;row=3201&amp;col=7&amp;number=0.775&amp;sourceID=14","0.775")</f>
        <v>0.775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HYPERLINK("http://141.218.60.56/~jnz1568/getInfo.php?workbook=14_13.xlsx&amp;sheet=U0&amp;row=3202&amp;col=6&amp;number=4.8&amp;sourceID=14","4.8")</f>
        <v>4.8</v>
      </c>
      <c r="G3202" s="4" t="str">
        <f>HYPERLINK("http://141.218.60.56/~jnz1568/getInfo.php?workbook=14_13.xlsx&amp;sheet=U0&amp;row=3202&amp;col=7&amp;number=0.737&amp;sourceID=14","0.737")</f>
        <v>0.737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HYPERLINK("http://141.218.60.56/~jnz1568/getInfo.php?workbook=14_13.xlsx&amp;sheet=U0&amp;row=3203&amp;col=6&amp;number=4.9&amp;sourceID=14","4.9")</f>
        <v>4.9</v>
      </c>
      <c r="G3203" s="4" t="str">
        <f>HYPERLINK("http://141.218.60.56/~jnz1568/getInfo.php?workbook=14_13.xlsx&amp;sheet=U0&amp;row=3203&amp;col=7&amp;number=0.697&amp;sourceID=14","0.697")</f>
        <v>0.697</v>
      </c>
    </row>
    <row r="3204" spans="1:7">
      <c r="A3204" s="3">
        <v>14</v>
      </c>
      <c r="B3204" s="3">
        <v>13</v>
      </c>
      <c r="C3204" s="3">
        <v>7</v>
      </c>
      <c r="D3204" s="3">
        <v>15</v>
      </c>
      <c r="E3204" s="3">
        <v>1</v>
      </c>
      <c r="F3204" s="4" t="str">
        <f>HYPERLINK("http://141.218.60.56/~jnz1568/getInfo.php?workbook=14_13.xlsx&amp;sheet=U0&amp;row=3204&amp;col=6&amp;number=3&amp;sourceID=14","3")</f>
        <v>3</v>
      </c>
      <c r="G3204" s="4" t="str">
        <f>HYPERLINK("http://141.218.60.56/~jnz1568/getInfo.php?workbook=14_13.xlsx&amp;sheet=U0&amp;row=3204&amp;col=7&amp;number=1.76&amp;sourceID=14","1.76")</f>
        <v>1.76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HYPERLINK("http://141.218.60.56/~jnz1568/getInfo.php?workbook=14_13.xlsx&amp;sheet=U0&amp;row=3205&amp;col=6&amp;number=3.1&amp;sourceID=14","3.1")</f>
        <v>3.1</v>
      </c>
      <c r="G3205" s="4" t="str">
        <f>HYPERLINK("http://141.218.60.56/~jnz1568/getInfo.php?workbook=14_13.xlsx&amp;sheet=U0&amp;row=3205&amp;col=7&amp;number=1.76&amp;sourceID=14","1.76")</f>
        <v>1.76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HYPERLINK("http://141.218.60.56/~jnz1568/getInfo.php?workbook=14_13.xlsx&amp;sheet=U0&amp;row=3206&amp;col=6&amp;number=3.2&amp;sourceID=14","3.2")</f>
        <v>3.2</v>
      </c>
      <c r="G3206" s="4" t="str">
        <f>HYPERLINK("http://141.218.60.56/~jnz1568/getInfo.php?workbook=14_13.xlsx&amp;sheet=U0&amp;row=3206&amp;col=7&amp;number=1.76&amp;sourceID=14","1.76")</f>
        <v>1.76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HYPERLINK("http://141.218.60.56/~jnz1568/getInfo.php?workbook=14_13.xlsx&amp;sheet=U0&amp;row=3207&amp;col=6&amp;number=3.3&amp;sourceID=14","3.3")</f>
        <v>3.3</v>
      </c>
      <c r="G3207" s="4" t="str">
        <f>HYPERLINK("http://141.218.60.56/~jnz1568/getInfo.php?workbook=14_13.xlsx&amp;sheet=U0&amp;row=3207&amp;col=7&amp;number=1.77&amp;sourceID=14","1.77")</f>
        <v>1.77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HYPERLINK("http://141.218.60.56/~jnz1568/getInfo.php?workbook=14_13.xlsx&amp;sheet=U0&amp;row=3208&amp;col=6&amp;number=3.4&amp;sourceID=14","3.4")</f>
        <v>3.4</v>
      </c>
      <c r="G3208" s="4" t="str">
        <f>HYPERLINK("http://141.218.60.56/~jnz1568/getInfo.php?workbook=14_13.xlsx&amp;sheet=U0&amp;row=3208&amp;col=7&amp;number=1.77&amp;sourceID=14","1.77")</f>
        <v>1.77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HYPERLINK("http://141.218.60.56/~jnz1568/getInfo.php?workbook=14_13.xlsx&amp;sheet=U0&amp;row=3209&amp;col=6&amp;number=3.5&amp;sourceID=14","3.5")</f>
        <v>3.5</v>
      </c>
      <c r="G3209" s="4" t="str">
        <f>HYPERLINK("http://141.218.60.56/~jnz1568/getInfo.php?workbook=14_13.xlsx&amp;sheet=U0&amp;row=3209&amp;col=7&amp;number=1.77&amp;sourceID=14","1.77")</f>
        <v>1.77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HYPERLINK("http://141.218.60.56/~jnz1568/getInfo.php?workbook=14_13.xlsx&amp;sheet=U0&amp;row=3210&amp;col=6&amp;number=3.6&amp;sourceID=14","3.6")</f>
        <v>3.6</v>
      </c>
      <c r="G3210" s="4" t="str">
        <f>HYPERLINK("http://141.218.60.56/~jnz1568/getInfo.php?workbook=14_13.xlsx&amp;sheet=U0&amp;row=3210&amp;col=7&amp;number=1.77&amp;sourceID=14","1.77")</f>
        <v>1.77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HYPERLINK("http://141.218.60.56/~jnz1568/getInfo.php?workbook=14_13.xlsx&amp;sheet=U0&amp;row=3211&amp;col=6&amp;number=3.7&amp;sourceID=14","3.7")</f>
        <v>3.7</v>
      </c>
      <c r="G3211" s="4" t="str">
        <f>HYPERLINK("http://141.218.60.56/~jnz1568/getInfo.php?workbook=14_13.xlsx&amp;sheet=U0&amp;row=3211&amp;col=7&amp;number=1.76&amp;sourceID=14","1.76")</f>
        <v>1.76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HYPERLINK("http://141.218.60.56/~jnz1568/getInfo.php?workbook=14_13.xlsx&amp;sheet=U0&amp;row=3212&amp;col=6&amp;number=3.8&amp;sourceID=14","3.8")</f>
        <v>3.8</v>
      </c>
      <c r="G3212" s="4" t="str">
        <f>HYPERLINK("http://141.218.60.56/~jnz1568/getInfo.php?workbook=14_13.xlsx&amp;sheet=U0&amp;row=3212&amp;col=7&amp;number=1.75&amp;sourceID=14","1.75")</f>
        <v>1.75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HYPERLINK("http://141.218.60.56/~jnz1568/getInfo.php?workbook=14_13.xlsx&amp;sheet=U0&amp;row=3213&amp;col=6&amp;number=3.9&amp;sourceID=14","3.9")</f>
        <v>3.9</v>
      </c>
      <c r="G3213" s="4" t="str">
        <f>HYPERLINK("http://141.218.60.56/~jnz1568/getInfo.php?workbook=14_13.xlsx&amp;sheet=U0&amp;row=3213&amp;col=7&amp;number=1.73&amp;sourceID=14","1.73")</f>
        <v>1.73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HYPERLINK("http://141.218.60.56/~jnz1568/getInfo.php?workbook=14_13.xlsx&amp;sheet=U0&amp;row=3214&amp;col=6&amp;number=4&amp;sourceID=14","4")</f>
        <v>4</v>
      </c>
      <c r="G3214" s="4" t="str">
        <f>HYPERLINK("http://141.218.60.56/~jnz1568/getInfo.php?workbook=14_13.xlsx&amp;sheet=U0&amp;row=3214&amp;col=7&amp;number=1.71&amp;sourceID=14","1.71")</f>
        <v>1.71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HYPERLINK("http://141.218.60.56/~jnz1568/getInfo.php?workbook=14_13.xlsx&amp;sheet=U0&amp;row=3215&amp;col=6&amp;number=4.1&amp;sourceID=14","4.1")</f>
        <v>4.1</v>
      </c>
      <c r="G3215" s="4" t="str">
        <f>HYPERLINK("http://141.218.60.56/~jnz1568/getInfo.php?workbook=14_13.xlsx&amp;sheet=U0&amp;row=3215&amp;col=7&amp;number=1.69&amp;sourceID=14","1.69")</f>
        <v>1.69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HYPERLINK("http://141.218.60.56/~jnz1568/getInfo.php?workbook=14_13.xlsx&amp;sheet=U0&amp;row=3216&amp;col=6&amp;number=4.2&amp;sourceID=14","4.2")</f>
        <v>4.2</v>
      </c>
      <c r="G3216" s="4" t="str">
        <f>HYPERLINK("http://141.218.60.56/~jnz1568/getInfo.php?workbook=14_13.xlsx&amp;sheet=U0&amp;row=3216&amp;col=7&amp;number=1.65&amp;sourceID=14","1.65")</f>
        <v>1.65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HYPERLINK("http://141.218.60.56/~jnz1568/getInfo.php?workbook=14_13.xlsx&amp;sheet=U0&amp;row=3217&amp;col=6&amp;number=4.3&amp;sourceID=14","4.3")</f>
        <v>4.3</v>
      </c>
      <c r="G3217" s="4" t="str">
        <f>HYPERLINK("http://141.218.60.56/~jnz1568/getInfo.php?workbook=14_13.xlsx&amp;sheet=U0&amp;row=3217&amp;col=7&amp;number=1.61&amp;sourceID=14","1.61")</f>
        <v>1.61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HYPERLINK("http://141.218.60.56/~jnz1568/getInfo.php?workbook=14_13.xlsx&amp;sheet=U0&amp;row=3218&amp;col=6&amp;number=4.4&amp;sourceID=14","4.4")</f>
        <v>4.4</v>
      </c>
      <c r="G3218" s="4" t="str">
        <f>HYPERLINK("http://141.218.60.56/~jnz1568/getInfo.php?workbook=14_13.xlsx&amp;sheet=U0&amp;row=3218&amp;col=7&amp;number=1.56&amp;sourceID=14","1.56")</f>
        <v>1.56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HYPERLINK("http://141.218.60.56/~jnz1568/getInfo.php?workbook=14_13.xlsx&amp;sheet=U0&amp;row=3219&amp;col=6&amp;number=4.5&amp;sourceID=14","4.5")</f>
        <v>4.5</v>
      </c>
      <c r="G3219" s="4" t="str">
        <f>HYPERLINK("http://141.218.60.56/~jnz1568/getInfo.php?workbook=14_13.xlsx&amp;sheet=U0&amp;row=3219&amp;col=7&amp;number=1.51&amp;sourceID=14","1.51")</f>
        <v>1.51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HYPERLINK("http://141.218.60.56/~jnz1568/getInfo.php?workbook=14_13.xlsx&amp;sheet=U0&amp;row=3220&amp;col=6&amp;number=4.6&amp;sourceID=14","4.6")</f>
        <v>4.6</v>
      </c>
      <c r="G3220" s="4" t="str">
        <f>HYPERLINK("http://141.218.60.56/~jnz1568/getInfo.php?workbook=14_13.xlsx&amp;sheet=U0&amp;row=3220&amp;col=7&amp;number=1.45&amp;sourceID=14","1.45")</f>
        <v>1.45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HYPERLINK("http://141.218.60.56/~jnz1568/getInfo.php?workbook=14_13.xlsx&amp;sheet=U0&amp;row=3221&amp;col=6&amp;number=4.7&amp;sourceID=14","4.7")</f>
        <v>4.7</v>
      </c>
      <c r="G3221" s="4" t="str">
        <f>HYPERLINK("http://141.218.60.56/~jnz1568/getInfo.php?workbook=14_13.xlsx&amp;sheet=U0&amp;row=3221&amp;col=7&amp;number=1.39&amp;sourceID=14","1.39")</f>
        <v>1.39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HYPERLINK("http://141.218.60.56/~jnz1568/getInfo.php?workbook=14_13.xlsx&amp;sheet=U0&amp;row=3222&amp;col=6&amp;number=4.8&amp;sourceID=14","4.8")</f>
        <v>4.8</v>
      </c>
      <c r="G3222" s="4" t="str">
        <f>HYPERLINK("http://141.218.60.56/~jnz1568/getInfo.php?workbook=14_13.xlsx&amp;sheet=U0&amp;row=3222&amp;col=7&amp;number=1.32&amp;sourceID=14","1.32")</f>
        <v>1.32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HYPERLINK("http://141.218.60.56/~jnz1568/getInfo.php?workbook=14_13.xlsx&amp;sheet=U0&amp;row=3223&amp;col=6&amp;number=4.9&amp;sourceID=14","4.9")</f>
        <v>4.9</v>
      </c>
      <c r="G3223" s="4" t="str">
        <f>HYPERLINK("http://141.218.60.56/~jnz1568/getInfo.php?workbook=14_13.xlsx&amp;sheet=U0&amp;row=3223&amp;col=7&amp;number=1.25&amp;sourceID=14","1.25")</f>
        <v>1.25</v>
      </c>
    </row>
    <row r="3224" spans="1:7">
      <c r="A3224" s="3">
        <v>14</v>
      </c>
      <c r="B3224" s="3">
        <v>13</v>
      </c>
      <c r="C3224" s="3">
        <v>7</v>
      </c>
      <c r="D3224" s="3">
        <v>16</v>
      </c>
      <c r="E3224" s="3">
        <v>1</v>
      </c>
      <c r="F3224" s="4" t="str">
        <f>HYPERLINK("http://141.218.60.56/~jnz1568/getInfo.php?workbook=14_13.xlsx&amp;sheet=U0&amp;row=3224&amp;col=6&amp;number=3&amp;sourceID=14","3")</f>
        <v>3</v>
      </c>
      <c r="G3224" s="4" t="str">
        <f>HYPERLINK("http://141.218.60.56/~jnz1568/getInfo.php?workbook=14_13.xlsx&amp;sheet=U0&amp;row=3224&amp;col=7&amp;number=0.638&amp;sourceID=14","0.638")</f>
        <v>0.638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HYPERLINK("http://141.218.60.56/~jnz1568/getInfo.php?workbook=14_13.xlsx&amp;sheet=U0&amp;row=3225&amp;col=6&amp;number=3.1&amp;sourceID=14","3.1")</f>
        <v>3.1</v>
      </c>
      <c r="G3225" s="4" t="str">
        <f>HYPERLINK("http://141.218.60.56/~jnz1568/getInfo.php?workbook=14_13.xlsx&amp;sheet=U0&amp;row=3225&amp;col=7&amp;number=0.628&amp;sourceID=14","0.628")</f>
        <v>0.628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HYPERLINK("http://141.218.60.56/~jnz1568/getInfo.php?workbook=14_13.xlsx&amp;sheet=U0&amp;row=3226&amp;col=6&amp;number=3.2&amp;sourceID=14","3.2")</f>
        <v>3.2</v>
      </c>
      <c r="G3226" s="4" t="str">
        <f>HYPERLINK("http://141.218.60.56/~jnz1568/getInfo.php?workbook=14_13.xlsx&amp;sheet=U0&amp;row=3226&amp;col=7&amp;number=0.616&amp;sourceID=14","0.616")</f>
        <v>0.616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HYPERLINK("http://141.218.60.56/~jnz1568/getInfo.php?workbook=14_13.xlsx&amp;sheet=U0&amp;row=3227&amp;col=6&amp;number=3.3&amp;sourceID=14","3.3")</f>
        <v>3.3</v>
      </c>
      <c r="G3227" s="4" t="str">
        <f>HYPERLINK("http://141.218.60.56/~jnz1568/getInfo.php?workbook=14_13.xlsx&amp;sheet=U0&amp;row=3227&amp;col=7&amp;number=0.602&amp;sourceID=14","0.602")</f>
        <v>0.602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HYPERLINK("http://141.218.60.56/~jnz1568/getInfo.php?workbook=14_13.xlsx&amp;sheet=U0&amp;row=3228&amp;col=6&amp;number=3.4&amp;sourceID=14","3.4")</f>
        <v>3.4</v>
      </c>
      <c r="G3228" s="4" t="str">
        <f>HYPERLINK("http://141.218.60.56/~jnz1568/getInfo.php?workbook=14_13.xlsx&amp;sheet=U0&amp;row=3228&amp;col=7&amp;number=0.584&amp;sourceID=14","0.584")</f>
        <v>0.584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HYPERLINK("http://141.218.60.56/~jnz1568/getInfo.php?workbook=14_13.xlsx&amp;sheet=U0&amp;row=3229&amp;col=6&amp;number=3.5&amp;sourceID=14","3.5")</f>
        <v>3.5</v>
      </c>
      <c r="G3229" s="4" t="str">
        <f>HYPERLINK("http://141.218.60.56/~jnz1568/getInfo.php?workbook=14_13.xlsx&amp;sheet=U0&amp;row=3229&amp;col=7&amp;number=0.564&amp;sourceID=14","0.564")</f>
        <v>0.564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HYPERLINK("http://141.218.60.56/~jnz1568/getInfo.php?workbook=14_13.xlsx&amp;sheet=U0&amp;row=3230&amp;col=6&amp;number=3.6&amp;sourceID=14","3.6")</f>
        <v>3.6</v>
      </c>
      <c r="G3230" s="4" t="str">
        <f>HYPERLINK("http://141.218.60.56/~jnz1568/getInfo.php?workbook=14_13.xlsx&amp;sheet=U0&amp;row=3230&amp;col=7&amp;number=0.54&amp;sourceID=14","0.54")</f>
        <v>0.54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HYPERLINK("http://141.218.60.56/~jnz1568/getInfo.php?workbook=14_13.xlsx&amp;sheet=U0&amp;row=3231&amp;col=6&amp;number=3.7&amp;sourceID=14","3.7")</f>
        <v>3.7</v>
      </c>
      <c r="G3231" s="4" t="str">
        <f>HYPERLINK("http://141.218.60.56/~jnz1568/getInfo.php?workbook=14_13.xlsx&amp;sheet=U0&amp;row=3231&amp;col=7&amp;number=0.513&amp;sourceID=14","0.513")</f>
        <v>0.513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HYPERLINK("http://141.218.60.56/~jnz1568/getInfo.php?workbook=14_13.xlsx&amp;sheet=U0&amp;row=3232&amp;col=6&amp;number=3.8&amp;sourceID=14","3.8")</f>
        <v>3.8</v>
      </c>
      <c r="G3232" s="4" t="str">
        <f>HYPERLINK("http://141.218.60.56/~jnz1568/getInfo.php?workbook=14_13.xlsx&amp;sheet=U0&amp;row=3232&amp;col=7&amp;number=0.484&amp;sourceID=14","0.484")</f>
        <v>0.484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HYPERLINK("http://141.218.60.56/~jnz1568/getInfo.php?workbook=14_13.xlsx&amp;sheet=U0&amp;row=3233&amp;col=6&amp;number=3.9&amp;sourceID=14","3.9")</f>
        <v>3.9</v>
      </c>
      <c r="G3233" s="4" t="str">
        <f>HYPERLINK("http://141.218.60.56/~jnz1568/getInfo.php?workbook=14_13.xlsx&amp;sheet=U0&amp;row=3233&amp;col=7&amp;number=0.456&amp;sourceID=14","0.456")</f>
        <v>0.456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HYPERLINK("http://141.218.60.56/~jnz1568/getInfo.php?workbook=14_13.xlsx&amp;sheet=U0&amp;row=3234&amp;col=6&amp;number=4&amp;sourceID=14","4")</f>
        <v>4</v>
      </c>
      <c r="G3234" s="4" t="str">
        <f>HYPERLINK("http://141.218.60.56/~jnz1568/getInfo.php?workbook=14_13.xlsx&amp;sheet=U0&amp;row=3234&amp;col=7&amp;number=0.428&amp;sourceID=14","0.428")</f>
        <v>0.428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HYPERLINK("http://141.218.60.56/~jnz1568/getInfo.php?workbook=14_13.xlsx&amp;sheet=U0&amp;row=3235&amp;col=6&amp;number=4.1&amp;sourceID=14","4.1")</f>
        <v>4.1</v>
      </c>
      <c r="G3235" s="4" t="str">
        <f>HYPERLINK("http://141.218.60.56/~jnz1568/getInfo.php?workbook=14_13.xlsx&amp;sheet=U0&amp;row=3235&amp;col=7&amp;number=0.404&amp;sourceID=14","0.404")</f>
        <v>0.404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HYPERLINK("http://141.218.60.56/~jnz1568/getInfo.php?workbook=14_13.xlsx&amp;sheet=U0&amp;row=3236&amp;col=6&amp;number=4.2&amp;sourceID=14","4.2")</f>
        <v>4.2</v>
      </c>
      <c r="G3236" s="4" t="str">
        <f>HYPERLINK("http://141.218.60.56/~jnz1568/getInfo.php?workbook=14_13.xlsx&amp;sheet=U0&amp;row=3236&amp;col=7&amp;number=0.383&amp;sourceID=14","0.383")</f>
        <v>0.383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HYPERLINK("http://141.218.60.56/~jnz1568/getInfo.php?workbook=14_13.xlsx&amp;sheet=U0&amp;row=3237&amp;col=6&amp;number=4.3&amp;sourceID=14","4.3")</f>
        <v>4.3</v>
      </c>
      <c r="G3237" s="4" t="str">
        <f>HYPERLINK("http://141.218.60.56/~jnz1568/getInfo.php?workbook=14_13.xlsx&amp;sheet=U0&amp;row=3237&amp;col=7&amp;number=0.366&amp;sourceID=14","0.366")</f>
        <v>0.366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HYPERLINK("http://141.218.60.56/~jnz1568/getInfo.php?workbook=14_13.xlsx&amp;sheet=U0&amp;row=3238&amp;col=6&amp;number=4.4&amp;sourceID=14","4.4")</f>
        <v>4.4</v>
      </c>
      <c r="G3238" s="4" t="str">
        <f>HYPERLINK("http://141.218.60.56/~jnz1568/getInfo.php?workbook=14_13.xlsx&amp;sheet=U0&amp;row=3238&amp;col=7&amp;number=0.353&amp;sourceID=14","0.353")</f>
        <v>0.353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HYPERLINK("http://141.218.60.56/~jnz1568/getInfo.php?workbook=14_13.xlsx&amp;sheet=U0&amp;row=3239&amp;col=6&amp;number=4.5&amp;sourceID=14","4.5")</f>
        <v>4.5</v>
      </c>
      <c r="G3239" s="4" t="str">
        <f>HYPERLINK("http://141.218.60.56/~jnz1568/getInfo.php?workbook=14_13.xlsx&amp;sheet=U0&amp;row=3239&amp;col=7&amp;number=0.344&amp;sourceID=14","0.344")</f>
        <v>0.344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HYPERLINK("http://141.218.60.56/~jnz1568/getInfo.php?workbook=14_13.xlsx&amp;sheet=U0&amp;row=3240&amp;col=6&amp;number=4.6&amp;sourceID=14","4.6")</f>
        <v>4.6</v>
      </c>
      <c r="G3240" s="4" t="str">
        <f>HYPERLINK("http://141.218.60.56/~jnz1568/getInfo.php?workbook=14_13.xlsx&amp;sheet=U0&amp;row=3240&amp;col=7&amp;number=0.336&amp;sourceID=14","0.336")</f>
        <v>0.336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HYPERLINK("http://141.218.60.56/~jnz1568/getInfo.php?workbook=14_13.xlsx&amp;sheet=U0&amp;row=3241&amp;col=6&amp;number=4.7&amp;sourceID=14","4.7")</f>
        <v>4.7</v>
      </c>
      <c r="G3241" s="4" t="str">
        <f>HYPERLINK("http://141.218.60.56/~jnz1568/getInfo.php?workbook=14_13.xlsx&amp;sheet=U0&amp;row=3241&amp;col=7&amp;number=0.33&amp;sourceID=14","0.33")</f>
        <v>0.33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HYPERLINK("http://141.218.60.56/~jnz1568/getInfo.php?workbook=14_13.xlsx&amp;sheet=U0&amp;row=3242&amp;col=6&amp;number=4.8&amp;sourceID=14","4.8")</f>
        <v>4.8</v>
      </c>
      <c r="G3242" s="4" t="str">
        <f>HYPERLINK("http://141.218.60.56/~jnz1568/getInfo.php?workbook=14_13.xlsx&amp;sheet=U0&amp;row=3242&amp;col=7&amp;number=0.323&amp;sourceID=14","0.323")</f>
        <v>0.323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HYPERLINK("http://141.218.60.56/~jnz1568/getInfo.php?workbook=14_13.xlsx&amp;sheet=U0&amp;row=3243&amp;col=6&amp;number=4.9&amp;sourceID=14","4.9")</f>
        <v>4.9</v>
      </c>
      <c r="G3243" s="4" t="str">
        <f>HYPERLINK("http://141.218.60.56/~jnz1568/getInfo.php?workbook=14_13.xlsx&amp;sheet=U0&amp;row=3243&amp;col=7&amp;number=0.316&amp;sourceID=14","0.316")</f>
        <v>0.316</v>
      </c>
    </row>
    <row r="3244" spans="1:7">
      <c r="A3244" s="3">
        <v>14</v>
      </c>
      <c r="B3244" s="3">
        <v>13</v>
      </c>
      <c r="C3244" s="3">
        <v>7</v>
      </c>
      <c r="D3244" s="3">
        <v>17</v>
      </c>
      <c r="E3244" s="3">
        <v>1</v>
      </c>
      <c r="F3244" s="4" t="str">
        <f>HYPERLINK("http://141.218.60.56/~jnz1568/getInfo.php?workbook=14_13.xlsx&amp;sheet=U0&amp;row=3244&amp;col=6&amp;number=3&amp;sourceID=14","3")</f>
        <v>3</v>
      </c>
      <c r="G3244" s="4" t="str">
        <f>HYPERLINK("http://141.218.60.56/~jnz1568/getInfo.php?workbook=14_13.xlsx&amp;sheet=U0&amp;row=3244&amp;col=7&amp;number=0.796&amp;sourceID=14","0.796")</f>
        <v>0.796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HYPERLINK("http://141.218.60.56/~jnz1568/getInfo.php?workbook=14_13.xlsx&amp;sheet=U0&amp;row=3245&amp;col=6&amp;number=3.1&amp;sourceID=14","3.1")</f>
        <v>3.1</v>
      </c>
      <c r="G3245" s="4" t="str">
        <f>HYPERLINK("http://141.218.60.56/~jnz1568/getInfo.php?workbook=14_13.xlsx&amp;sheet=U0&amp;row=3245&amp;col=7&amp;number=0.788&amp;sourceID=14","0.788")</f>
        <v>0.788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HYPERLINK("http://141.218.60.56/~jnz1568/getInfo.php?workbook=14_13.xlsx&amp;sheet=U0&amp;row=3246&amp;col=6&amp;number=3.2&amp;sourceID=14","3.2")</f>
        <v>3.2</v>
      </c>
      <c r="G3246" s="4" t="str">
        <f>HYPERLINK("http://141.218.60.56/~jnz1568/getInfo.php?workbook=14_13.xlsx&amp;sheet=U0&amp;row=3246&amp;col=7&amp;number=0.778&amp;sourceID=14","0.778")</f>
        <v>0.778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HYPERLINK("http://141.218.60.56/~jnz1568/getInfo.php?workbook=14_13.xlsx&amp;sheet=U0&amp;row=3247&amp;col=6&amp;number=3.3&amp;sourceID=14","3.3")</f>
        <v>3.3</v>
      </c>
      <c r="G3247" s="4" t="str">
        <f>HYPERLINK("http://141.218.60.56/~jnz1568/getInfo.php?workbook=14_13.xlsx&amp;sheet=U0&amp;row=3247&amp;col=7&amp;number=0.765&amp;sourceID=14","0.765")</f>
        <v>0.765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HYPERLINK("http://141.218.60.56/~jnz1568/getInfo.php?workbook=14_13.xlsx&amp;sheet=U0&amp;row=3248&amp;col=6&amp;number=3.4&amp;sourceID=14","3.4")</f>
        <v>3.4</v>
      </c>
      <c r="G3248" s="4" t="str">
        <f>HYPERLINK("http://141.218.60.56/~jnz1568/getInfo.php?workbook=14_13.xlsx&amp;sheet=U0&amp;row=3248&amp;col=7&amp;number=0.75&amp;sourceID=14","0.75")</f>
        <v>0.75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HYPERLINK("http://141.218.60.56/~jnz1568/getInfo.php?workbook=14_13.xlsx&amp;sheet=U0&amp;row=3249&amp;col=6&amp;number=3.5&amp;sourceID=14","3.5")</f>
        <v>3.5</v>
      </c>
      <c r="G3249" s="4" t="str">
        <f>HYPERLINK("http://141.218.60.56/~jnz1568/getInfo.php?workbook=14_13.xlsx&amp;sheet=U0&amp;row=3249&amp;col=7&amp;number=0.732&amp;sourceID=14","0.732")</f>
        <v>0.732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HYPERLINK("http://141.218.60.56/~jnz1568/getInfo.php?workbook=14_13.xlsx&amp;sheet=U0&amp;row=3250&amp;col=6&amp;number=3.6&amp;sourceID=14","3.6")</f>
        <v>3.6</v>
      </c>
      <c r="G3250" s="4" t="str">
        <f>HYPERLINK("http://141.218.60.56/~jnz1568/getInfo.php?workbook=14_13.xlsx&amp;sheet=U0&amp;row=3250&amp;col=7&amp;number=0.711&amp;sourceID=14","0.711")</f>
        <v>0.711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HYPERLINK("http://141.218.60.56/~jnz1568/getInfo.php?workbook=14_13.xlsx&amp;sheet=U0&amp;row=3251&amp;col=6&amp;number=3.7&amp;sourceID=14","3.7")</f>
        <v>3.7</v>
      </c>
      <c r="G3251" s="4" t="str">
        <f>HYPERLINK("http://141.218.60.56/~jnz1568/getInfo.php?workbook=14_13.xlsx&amp;sheet=U0&amp;row=3251&amp;col=7&amp;number=0.688&amp;sourceID=14","0.688")</f>
        <v>0.688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HYPERLINK("http://141.218.60.56/~jnz1568/getInfo.php?workbook=14_13.xlsx&amp;sheet=U0&amp;row=3252&amp;col=6&amp;number=3.8&amp;sourceID=14","3.8")</f>
        <v>3.8</v>
      </c>
      <c r="G3252" s="4" t="str">
        <f>HYPERLINK("http://141.218.60.56/~jnz1568/getInfo.php?workbook=14_13.xlsx&amp;sheet=U0&amp;row=3252&amp;col=7&amp;number=0.664&amp;sourceID=14","0.664")</f>
        <v>0.664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HYPERLINK("http://141.218.60.56/~jnz1568/getInfo.php?workbook=14_13.xlsx&amp;sheet=U0&amp;row=3253&amp;col=6&amp;number=3.9&amp;sourceID=14","3.9")</f>
        <v>3.9</v>
      </c>
      <c r="G3253" s="4" t="str">
        <f>HYPERLINK("http://141.218.60.56/~jnz1568/getInfo.php?workbook=14_13.xlsx&amp;sheet=U0&amp;row=3253&amp;col=7&amp;number=0.64&amp;sourceID=14","0.64")</f>
        <v>0.64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HYPERLINK("http://141.218.60.56/~jnz1568/getInfo.php?workbook=14_13.xlsx&amp;sheet=U0&amp;row=3254&amp;col=6&amp;number=4&amp;sourceID=14","4")</f>
        <v>4</v>
      </c>
      <c r="G3254" s="4" t="str">
        <f>HYPERLINK("http://141.218.60.56/~jnz1568/getInfo.php?workbook=14_13.xlsx&amp;sheet=U0&amp;row=3254&amp;col=7&amp;number=0.618&amp;sourceID=14","0.618")</f>
        <v>0.618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HYPERLINK("http://141.218.60.56/~jnz1568/getInfo.php?workbook=14_13.xlsx&amp;sheet=U0&amp;row=3255&amp;col=6&amp;number=4.1&amp;sourceID=14","4.1")</f>
        <v>4.1</v>
      </c>
      <c r="G3255" s="4" t="str">
        <f>HYPERLINK("http://141.218.60.56/~jnz1568/getInfo.php?workbook=14_13.xlsx&amp;sheet=U0&amp;row=3255&amp;col=7&amp;number=0.598&amp;sourceID=14","0.598")</f>
        <v>0.598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HYPERLINK("http://141.218.60.56/~jnz1568/getInfo.php?workbook=14_13.xlsx&amp;sheet=U0&amp;row=3256&amp;col=6&amp;number=4.2&amp;sourceID=14","4.2")</f>
        <v>4.2</v>
      </c>
      <c r="G3256" s="4" t="str">
        <f>HYPERLINK("http://141.218.60.56/~jnz1568/getInfo.php?workbook=14_13.xlsx&amp;sheet=U0&amp;row=3256&amp;col=7&amp;number=0.581&amp;sourceID=14","0.581")</f>
        <v>0.581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HYPERLINK("http://141.218.60.56/~jnz1568/getInfo.php?workbook=14_13.xlsx&amp;sheet=U0&amp;row=3257&amp;col=6&amp;number=4.3&amp;sourceID=14","4.3")</f>
        <v>4.3</v>
      </c>
      <c r="G3257" s="4" t="str">
        <f>HYPERLINK("http://141.218.60.56/~jnz1568/getInfo.php?workbook=14_13.xlsx&amp;sheet=U0&amp;row=3257&amp;col=7&amp;number=0.566&amp;sourceID=14","0.566")</f>
        <v>0.566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HYPERLINK("http://141.218.60.56/~jnz1568/getInfo.php?workbook=14_13.xlsx&amp;sheet=U0&amp;row=3258&amp;col=6&amp;number=4.4&amp;sourceID=14","4.4")</f>
        <v>4.4</v>
      </c>
      <c r="G3258" s="4" t="str">
        <f>HYPERLINK("http://141.218.60.56/~jnz1568/getInfo.php?workbook=14_13.xlsx&amp;sheet=U0&amp;row=3258&amp;col=7&amp;number=0.553&amp;sourceID=14","0.553")</f>
        <v>0.553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HYPERLINK("http://141.218.60.56/~jnz1568/getInfo.php?workbook=14_13.xlsx&amp;sheet=U0&amp;row=3259&amp;col=6&amp;number=4.5&amp;sourceID=14","4.5")</f>
        <v>4.5</v>
      </c>
      <c r="G3259" s="4" t="str">
        <f>HYPERLINK("http://141.218.60.56/~jnz1568/getInfo.php?workbook=14_13.xlsx&amp;sheet=U0&amp;row=3259&amp;col=7&amp;number=0.54&amp;sourceID=14","0.54")</f>
        <v>0.54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HYPERLINK("http://141.218.60.56/~jnz1568/getInfo.php?workbook=14_13.xlsx&amp;sheet=U0&amp;row=3260&amp;col=6&amp;number=4.6&amp;sourceID=14","4.6")</f>
        <v>4.6</v>
      </c>
      <c r="G3260" s="4" t="str">
        <f>HYPERLINK("http://141.218.60.56/~jnz1568/getInfo.php?workbook=14_13.xlsx&amp;sheet=U0&amp;row=3260&amp;col=7&amp;number=0.527&amp;sourceID=14","0.527")</f>
        <v>0.527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HYPERLINK("http://141.218.60.56/~jnz1568/getInfo.php?workbook=14_13.xlsx&amp;sheet=U0&amp;row=3261&amp;col=6&amp;number=4.7&amp;sourceID=14","4.7")</f>
        <v>4.7</v>
      </c>
      <c r="G3261" s="4" t="str">
        <f>HYPERLINK("http://141.218.60.56/~jnz1568/getInfo.php?workbook=14_13.xlsx&amp;sheet=U0&amp;row=3261&amp;col=7&amp;number=0.512&amp;sourceID=14","0.512")</f>
        <v>0.512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HYPERLINK("http://141.218.60.56/~jnz1568/getInfo.php?workbook=14_13.xlsx&amp;sheet=U0&amp;row=3262&amp;col=6&amp;number=4.8&amp;sourceID=14","4.8")</f>
        <v>4.8</v>
      </c>
      <c r="G3262" s="4" t="str">
        <f>HYPERLINK("http://141.218.60.56/~jnz1568/getInfo.php?workbook=14_13.xlsx&amp;sheet=U0&amp;row=3262&amp;col=7&amp;number=0.495&amp;sourceID=14","0.495")</f>
        <v>0.495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HYPERLINK("http://141.218.60.56/~jnz1568/getInfo.php?workbook=14_13.xlsx&amp;sheet=U0&amp;row=3263&amp;col=6&amp;number=4.9&amp;sourceID=14","4.9")</f>
        <v>4.9</v>
      </c>
      <c r="G3263" s="4" t="str">
        <f>HYPERLINK("http://141.218.60.56/~jnz1568/getInfo.php?workbook=14_13.xlsx&amp;sheet=U0&amp;row=3263&amp;col=7&amp;number=0.475&amp;sourceID=14","0.475")</f>
        <v>0.475</v>
      </c>
    </row>
    <row r="3264" spans="1:7">
      <c r="A3264" s="3">
        <v>14</v>
      </c>
      <c r="B3264" s="3">
        <v>13</v>
      </c>
      <c r="C3264" s="3">
        <v>7</v>
      </c>
      <c r="D3264" s="3">
        <v>18</v>
      </c>
      <c r="E3264" s="3">
        <v>1</v>
      </c>
      <c r="F3264" s="4" t="str">
        <f>HYPERLINK("http://141.218.60.56/~jnz1568/getInfo.php?workbook=14_13.xlsx&amp;sheet=U0&amp;row=3264&amp;col=6&amp;number=3&amp;sourceID=14","3")</f>
        <v>3</v>
      </c>
      <c r="G3264" s="4" t="str">
        <f>HYPERLINK("http://141.218.60.56/~jnz1568/getInfo.php?workbook=14_13.xlsx&amp;sheet=U0&amp;row=3264&amp;col=7&amp;number=1.69&amp;sourceID=14","1.69")</f>
        <v>1.69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HYPERLINK("http://141.218.60.56/~jnz1568/getInfo.php?workbook=14_13.xlsx&amp;sheet=U0&amp;row=3265&amp;col=6&amp;number=3.1&amp;sourceID=14","3.1")</f>
        <v>3.1</v>
      </c>
      <c r="G3265" s="4" t="str">
        <f>HYPERLINK("http://141.218.60.56/~jnz1568/getInfo.php?workbook=14_13.xlsx&amp;sheet=U0&amp;row=3265&amp;col=7&amp;number=1.68&amp;sourceID=14","1.68")</f>
        <v>1.68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HYPERLINK("http://141.218.60.56/~jnz1568/getInfo.php?workbook=14_13.xlsx&amp;sheet=U0&amp;row=3266&amp;col=6&amp;number=3.2&amp;sourceID=14","3.2")</f>
        <v>3.2</v>
      </c>
      <c r="G3266" s="4" t="str">
        <f>HYPERLINK("http://141.218.60.56/~jnz1568/getInfo.php?workbook=14_13.xlsx&amp;sheet=U0&amp;row=3266&amp;col=7&amp;number=1.66&amp;sourceID=14","1.66")</f>
        <v>1.66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HYPERLINK("http://141.218.60.56/~jnz1568/getInfo.php?workbook=14_13.xlsx&amp;sheet=U0&amp;row=3267&amp;col=6&amp;number=3.3&amp;sourceID=14","3.3")</f>
        <v>3.3</v>
      </c>
      <c r="G3267" s="4" t="str">
        <f>HYPERLINK("http://141.218.60.56/~jnz1568/getInfo.php?workbook=14_13.xlsx&amp;sheet=U0&amp;row=3267&amp;col=7&amp;number=1.64&amp;sourceID=14","1.64")</f>
        <v>1.64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HYPERLINK("http://141.218.60.56/~jnz1568/getInfo.php?workbook=14_13.xlsx&amp;sheet=U0&amp;row=3268&amp;col=6&amp;number=3.4&amp;sourceID=14","3.4")</f>
        <v>3.4</v>
      </c>
      <c r="G3268" s="4" t="str">
        <f>HYPERLINK("http://141.218.60.56/~jnz1568/getInfo.php?workbook=14_13.xlsx&amp;sheet=U0&amp;row=3268&amp;col=7&amp;number=1.62&amp;sourceID=14","1.62")</f>
        <v>1.62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HYPERLINK("http://141.218.60.56/~jnz1568/getInfo.php?workbook=14_13.xlsx&amp;sheet=U0&amp;row=3269&amp;col=6&amp;number=3.5&amp;sourceID=14","3.5")</f>
        <v>3.5</v>
      </c>
      <c r="G3269" s="4" t="str">
        <f>HYPERLINK("http://141.218.60.56/~jnz1568/getInfo.php?workbook=14_13.xlsx&amp;sheet=U0&amp;row=3269&amp;col=7&amp;number=1.59&amp;sourceID=14","1.59")</f>
        <v>1.59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HYPERLINK("http://141.218.60.56/~jnz1568/getInfo.php?workbook=14_13.xlsx&amp;sheet=U0&amp;row=3270&amp;col=6&amp;number=3.6&amp;sourceID=14","3.6")</f>
        <v>3.6</v>
      </c>
      <c r="G3270" s="4" t="str">
        <f>HYPERLINK("http://141.218.60.56/~jnz1568/getInfo.php?workbook=14_13.xlsx&amp;sheet=U0&amp;row=3270&amp;col=7&amp;number=1.56&amp;sourceID=14","1.56")</f>
        <v>1.56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HYPERLINK("http://141.218.60.56/~jnz1568/getInfo.php?workbook=14_13.xlsx&amp;sheet=U0&amp;row=3271&amp;col=6&amp;number=3.7&amp;sourceID=14","3.7")</f>
        <v>3.7</v>
      </c>
      <c r="G3271" s="4" t="str">
        <f>HYPERLINK("http://141.218.60.56/~jnz1568/getInfo.php?workbook=14_13.xlsx&amp;sheet=U0&amp;row=3271&amp;col=7&amp;number=1.52&amp;sourceID=14","1.52")</f>
        <v>1.52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HYPERLINK("http://141.218.60.56/~jnz1568/getInfo.php?workbook=14_13.xlsx&amp;sheet=U0&amp;row=3272&amp;col=6&amp;number=3.8&amp;sourceID=14","3.8")</f>
        <v>3.8</v>
      </c>
      <c r="G3272" s="4" t="str">
        <f>HYPERLINK("http://141.218.60.56/~jnz1568/getInfo.php?workbook=14_13.xlsx&amp;sheet=U0&amp;row=3272&amp;col=7&amp;number=1.49&amp;sourceID=14","1.49")</f>
        <v>1.49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HYPERLINK("http://141.218.60.56/~jnz1568/getInfo.php?workbook=14_13.xlsx&amp;sheet=U0&amp;row=3273&amp;col=6&amp;number=3.9&amp;sourceID=14","3.9")</f>
        <v>3.9</v>
      </c>
      <c r="G3273" s="4" t="str">
        <f>HYPERLINK("http://141.218.60.56/~jnz1568/getInfo.php?workbook=14_13.xlsx&amp;sheet=U0&amp;row=3273&amp;col=7&amp;number=1.46&amp;sourceID=14","1.46")</f>
        <v>1.46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HYPERLINK("http://141.218.60.56/~jnz1568/getInfo.php?workbook=14_13.xlsx&amp;sheet=U0&amp;row=3274&amp;col=6&amp;number=4&amp;sourceID=14","4")</f>
        <v>4</v>
      </c>
      <c r="G3274" s="4" t="str">
        <f>HYPERLINK("http://141.218.60.56/~jnz1568/getInfo.php?workbook=14_13.xlsx&amp;sheet=U0&amp;row=3274&amp;col=7&amp;number=1.42&amp;sourceID=14","1.42")</f>
        <v>1.42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HYPERLINK("http://141.218.60.56/~jnz1568/getInfo.php?workbook=14_13.xlsx&amp;sheet=U0&amp;row=3275&amp;col=6&amp;number=4.1&amp;sourceID=14","4.1")</f>
        <v>4.1</v>
      </c>
      <c r="G3275" s="4" t="str">
        <f>HYPERLINK("http://141.218.60.56/~jnz1568/getInfo.php?workbook=14_13.xlsx&amp;sheet=U0&amp;row=3275&amp;col=7&amp;number=1.39&amp;sourceID=14","1.39")</f>
        <v>1.39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HYPERLINK("http://141.218.60.56/~jnz1568/getInfo.php?workbook=14_13.xlsx&amp;sheet=U0&amp;row=3276&amp;col=6&amp;number=4.2&amp;sourceID=14","4.2")</f>
        <v>4.2</v>
      </c>
      <c r="G3276" s="4" t="str">
        <f>HYPERLINK("http://141.218.60.56/~jnz1568/getInfo.php?workbook=14_13.xlsx&amp;sheet=U0&amp;row=3276&amp;col=7&amp;number=1.36&amp;sourceID=14","1.36")</f>
        <v>1.36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HYPERLINK("http://141.218.60.56/~jnz1568/getInfo.php?workbook=14_13.xlsx&amp;sheet=U0&amp;row=3277&amp;col=6&amp;number=4.3&amp;sourceID=14","4.3")</f>
        <v>4.3</v>
      </c>
      <c r="G3277" s="4" t="str">
        <f>HYPERLINK("http://141.218.60.56/~jnz1568/getInfo.php?workbook=14_13.xlsx&amp;sheet=U0&amp;row=3277&amp;col=7&amp;number=1.35&amp;sourceID=14","1.35")</f>
        <v>1.35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HYPERLINK("http://141.218.60.56/~jnz1568/getInfo.php?workbook=14_13.xlsx&amp;sheet=U0&amp;row=3278&amp;col=6&amp;number=4.4&amp;sourceID=14","4.4")</f>
        <v>4.4</v>
      </c>
      <c r="G3278" s="4" t="str">
        <f>HYPERLINK("http://141.218.60.56/~jnz1568/getInfo.php?workbook=14_13.xlsx&amp;sheet=U0&amp;row=3278&amp;col=7&amp;number=1.35&amp;sourceID=14","1.35")</f>
        <v>1.35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HYPERLINK("http://141.218.60.56/~jnz1568/getInfo.php?workbook=14_13.xlsx&amp;sheet=U0&amp;row=3279&amp;col=6&amp;number=4.5&amp;sourceID=14","4.5")</f>
        <v>4.5</v>
      </c>
      <c r="G3279" s="4" t="str">
        <f>HYPERLINK("http://141.218.60.56/~jnz1568/getInfo.php?workbook=14_13.xlsx&amp;sheet=U0&amp;row=3279&amp;col=7&amp;number=1.36&amp;sourceID=14","1.36")</f>
        <v>1.36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HYPERLINK("http://141.218.60.56/~jnz1568/getInfo.php?workbook=14_13.xlsx&amp;sheet=U0&amp;row=3280&amp;col=6&amp;number=4.6&amp;sourceID=14","4.6")</f>
        <v>4.6</v>
      </c>
      <c r="G3280" s="4" t="str">
        <f>HYPERLINK("http://141.218.60.56/~jnz1568/getInfo.php?workbook=14_13.xlsx&amp;sheet=U0&amp;row=3280&amp;col=7&amp;number=1.37&amp;sourceID=14","1.37")</f>
        <v>1.37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HYPERLINK("http://141.218.60.56/~jnz1568/getInfo.php?workbook=14_13.xlsx&amp;sheet=U0&amp;row=3281&amp;col=6&amp;number=4.7&amp;sourceID=14","4.7")</f>
        <v>4.7</v>
      </c>
      <c r="G3281" s="4" t="str">
        <f>HYPERLINK("http://141.218.60.56/~jnz1568/getInfo.php?workbook=14_13.xlsx&amp;sheet=U0&amp;row=3281&amp;col=7&amp;number=1.39&amp;sourceID=14","1.39")</f>
        <v>1.39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HYPERLINK("http://141.218.60.56/~jnz1568/getInfo.php?workbook=14_13.xlsx&amp;sheet=U0&amp;row=3282&amp;col=6&amp;number=4.8&amp;sourceID=14","4.8")</f>
        <v>4.8</v>
      </c>
      <c r="G3282" s="4" t="str">
        <f>HYPERLINK("http://141.218.60.56/~jnz1568/getInfo.php?workbook=14_13.xlsx&amp;sheet=U0&amp;row=3282&amp;col=7&amp;number=1.41&amp;sourceID=14","1.41")</f>
        <v>1.41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HYPERLINK("http://141.218.60.56/~jnz1568/getInfo.php?workbook=14_13.xlsx&amp;sheet=U0&amp;row=3283&amp;col=6&amp;number=4.9&amp;sourceID=14","4.9")</f>
        <v>4.9</v>
      </c>
      <c r="G3283" s="4" t="str">
        <f>HYPERLINK("http://141.218.60.56/~jnz1568/getInfo.php?workbook=14_13.xlsx&amp;sheet=U0&amp;row=3283&amp;col=7&amp;number=1.43&amp;sourceID=14","1.43")</f>
        <v>1.43</v>
      </c>
    </row>
    <row r="3284" spans="1:7">
      <c r="A3284" s="3">
        <v>14</v>
      </c>
      <c r="B3284" s="3">
        <v>13</v>
      </c>
      <c r="C3284" s="3">
        <v>7</v>
      </c>
      <c r="D3284" s="3">
        <v>19</v>
      </c>
      <c r="E3284" s="3">
        <v>1</v>
      </c>
      <c r="F3284" s="4" t="str">
        <f>HYPERLINK("http://141.218.60.56/~jnz1568/getInfo.php?workbook=14_13.xlsx&amp;sheet=U0&amp;row=3284&amp;col=6&amp;number=3&amp;sourceID=14","3")</f>
        <v>3</v>
      </c>
      <c r="G3284" s="4" t="str">
        <f>HYPERLINK("http://141.218.60.56/~jnz1568/getInfo.php?workbook=14_13.xlsx&amp;sheet=U0&amp;row=3284&amp;col=7&amp;number=0.133&amp;sourceID=14","0.133")</f>
        <v>0.133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HYPERLINK("http://141.218.60.56/~jnz1568/getInfo.php?workbook=14_13.xlsx&amp;sheet=U0&amp;row=3285&amp;col=6&amp;number=3.1&amp;sourceID=14","3.1")</f>
        <v>3.1</v>
      </c>
      <c r="G3285" s="4" t="str">
        <f>HYPERLINK("http://141.218.60.56/~jnz1568/getInfo.php?workbook=14_13.xlsx&amp;sheet=U0&amp;row=3285&amp;col=7&amp;number=0.136&amp;sourceID=14","0.136")</f>
        <v>0.136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HYPERLINK("http://141.218.60.56/~jnz1568/getInfo.php?workbook=14_13.xlsx&amp;sheet=U0&amp;row=3286&amp;col=6&amp;number=3.2&amp;sourceID=14","3.2")</f>
        <v>3.2</v>
      </c>
      <c r="G3286" s="4" t="str">
        <f>HYPERLINK("http://141.218.60.56/~jnz1568/getInfo.php?workbook=14_13.xlsx&amp;sheet=U0&amp;row=3286&amp;col=7&amp;number=0.14&amp;sourceID=14","0.14")</f>
        <v>0.14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HYPERLINK("http://141.218.60.56/~jnz1568/getInfo.php?workbook=14_13.xlsx&amp;sheet=U0&amp;row=3287&amp;col=6&amp;number=3.3&amp;sourceID=14","3.3")</f>
        <v>3.3</v>
      </c>
      <c r="G3287" s="4" t="str">
        <f>HYPERLINK("http://141.218.60.56/~jnz1568/getInfo.php?workbook=14_13.xlsx&amp;sheet=U0&amp;row=3287&amp;col=7&amp;number=0.144&amp;sourceID=14","0.144")</f>
        <v>0.144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HYPERLINK("http://141.218.60.56/~jnz1568/getInfo.php?workbook=14_13.xlsx&amp;sheet=U0&amp;row=3288&amp;col=6&amp;number=3.4&amp;sourceID=14","3.4")</f>
        <v>3.4</v>
      </c>
      <c r="G3288" s="4" t="str">
        <f>HYPERLINK("http://141.218.60.56/~jnz1568/getInfo.php?workbook=14_13.xlsx&amp;sheet=U0&amp;row=3288&amp;col=7&amp;number=0.149&amp;sourceID=14","0.149")</f>
        <v>0.149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HYPERLINK("http://141.218.60.56/~jnz1568/getInfo.php?workbook=14_13.xlsx&amp;sheet=U0&amp;row=3289&amp;col=6&amp;number=3.5&amp;sourceID=14","3.5")</f>
        <v>3.5</v>
      </c>
      <c r="G3289" s="4" t="str">
        <f>HYPERLINK("http://141.218.60.56/~jnz1568/getInfo.php?workbook=14_13.xlsx&amp;sheet=U0&amp;row=3289&amp;col=7&amp;number=0.154&amp;sourceID=14","0.154")</f>
        <v>0.154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HYPERLINK("http://141.218.60.56/~jnz1568/getInfo.php?workbook=14_13.xlsx&amp;sheet=U0&amp;row=3290&amp;col=6&amp;number=3.6&amp;sourceID=14","3.6")</f>
        <v>3.6</v>
      </c>
      <c r="G3290" s="4" t="str">
        <f>HYPERLINK("http://141.218.60.56/~jnz1568/getInfo.php?workbook=14_13.xlsx&amp;sheet=U0&amp;row=3290&amp;col=7&amp;number=0.159&amp;sourceID=14","0.159")</f>
        <v>0.159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HYPERLINK("http://141.218.60.56/~jnz1568/getInfo.php?workbook=14_13.xlsx&amp;sheet=U0&amp;row=3291&amp;col=6&amp;number=3.7&amp;sourceID=14","3.7")</f>
        <v>3.7</v>
      </c>
      <c r="G3291" s="4" t="str">
        <f>HYPERLINK("http://141.218.60.56/~jnz1568/getInfo.php?workbook=14_13.xlsx&amp;sheet=U0&amp;row=3291&amp;col=7&amp;number=0.162&amp;sourceID=14","0.162")</f>
        <v>0.162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HYPERLINK("http://141.218.60.56/~jnz1568/getInfo.php?workbook=14_13.xlsx&amp;sheet=U0&amp;row=3292&amp;col=6&amp;number=3.8&amp;sourceID=14","3.8")</f>
        <v>3.8</v>
      </c>
      <c r="G3292" s="4" t="str">
        <f>HYPERLINK("http://141.218.60.56/~jnz1568/getInfo.php?workbook=14_13.xlsx&amp;sheet=U0&amp;row=3292&amp;col=7&amp;number=0.163&amp;sourceID=14","0.163")</f>
        <v>0.163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HYPERLINK("http://141.218.60.56/~jnz1568/getInfo.php?workbook=14_13.xlsx&amp;sheet=U0&amp;row=3293&amp;col=6&amp;number=3.9&amp;sourceID=14","3.9")</f>
        <v>3.9</v>
      </c>
      <c r="G3293" s="4" t="str">
        <f>HYPERLINK("http://141.218.60.56/~jnz1568/getInfo.php?workbook=14_13.xlsx&amp;sheet=U0&amp;row=3293&amp;col=7&amp;number=0.162&amp;sourceID=14","0.162")</f>
        <v>0.162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HYPERLINK("http://141.218.60.56/~jnz1568/getInfo.php?workbook=14_13.xlsx&amp;sheet=U0&amp;row=3294&amp;col=6&amp;number=4&amp;sourceID=14","4")</f>
        <v>4</v>
      </c>
      <c r="G3294" s="4" t="str">
        <f>HYPERLINK("http://141.218.60.56/~jnz1568/getInfo.php?workbook=14_13.xlsx&amp;sheet=U0&amp;row=3294&amp;col=7&amp;number=0.159&amp;sourceID=14","0.159")</f>
        <v>0.159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HYPERLINK("http://141.218.60.56/~jnz1568/getInfo.php?workbook=14_13.xlsx&amp;sheet=U0&amp;row=3295&amp;col=6&amp;number=4.1&amp;sourceID=14","4.1")</f>
        <v>4.1</v>
      </c>
      <c r="G3295" s="4" t="str">
        <f>HYPERLINK("http://141.218.60.56/~jnz1568/getInfo.php?workbook=14_13.xlsx&amp;sheet=U0&amp;row=3295&amp;col=7&amp;number=0.156&amp;sourceID=14","0.156")</f>
        <v>0.156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HYPERLINK("http://141.218.60.56/~jnz1568/getInfo.php?workbook=14_13.xlsx&amp;sheet=U0&amp;row=3296&amp;col=6&amp;number=4.2&amp;sourceID=14","4.2")</f>
        <v>4.2</v>
      </c>
      <c r="G3296" s="4" t="str">
        <f>HYPERLINK("http://141.218.60.56/~jnz1568/getInfo.php?workbook=14_13.xlsx&amp;sheet=U0&amp;row=3296&amp;col=7&amp;number=0.153&amp;sourceID=14","0.153")</f>
        <v>0.153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HYPERLINK("http://141.218.60.56/~jnz1568/getInfo.php?workbook=14_13.xlsx&amp;sheet=U0&amp;row=3297&amp;col=6&amp;number=4.3&amp;sourceID=14","4.3")</f>
        <v>4.3</v>
      </c>
      <c r="G3297" s="4" t="str">
        <f>HYPERLINK("http://141.218.60.56/~jnz1568/getInfo.php?workbook=14_13.xlsx&amp;sheet=U0&amp;row=3297&amp;col=7&amp;number=0.15&amp;sourceID=14","0.15")</f>
        <v>0.15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HYPERLINK("http://141.218.60.56/~jnz1568/getInfo.php?workbook=14_13.xlsx&amp;sheet=U0&amp;row=3298&amp;col=6&amp;number=4.4&amp;sourceID=14","4.4")</f>
        <v>4.4</v>
      </c>
      <c r="G3298" s="4" t="str">
        <f>HYPERLINK("http://141.218.60.56/~jnz1568/getInfo.php?workbook=14_13.xlsx&amp;sheet=U0&amp;row=3298&amp;col=7&amp;number=0.148&amp;sourceID=14","0.148")</f>
        <v>0.148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HYPERLINK("http://141.218.60.56/~jnz1568/getInfo.php?workbook=14_13.xlsx&amp;sheet=U0&amp;row=3299&amp;col=6&amp;number=4.5&amp;sourceID=14","4.5")</f>
        <v>4.5</v>
      </c>
      <c r="G3299" s="4" t="str">
        <f>HYPERLINK("http://141.218.60.56/~jnz1568/getInfo.php?workbook=14_13.xlsx&amp;sheet=U0&amp;row=3299&amp;col=7&amp;number=0.145&amp;sourceID=14","0.145")</f>
        <v>0.145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HYPERLINK("http://141.218.60.56/~jnz1568/getInfo.php?workbook=14_13.xlsx&amp;sheet=U0&amp;row=3300&amp;col=6&amp;number=4.6&amp;sourceID=14","4.6")</f>
        <v>4.6</v>
      </c>
      <c r="G3300" s="4" t="str">
        <f>HYPERLINK("http://141.218.60.56/~jnz1568/getInfo.php?workbook=14_13.xlsx&amp;sheet=U0&amp;row=3300&amp;col=7&amp;number=0.143&amp;sourceID=14","0.143")</f>
        <v>0.143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HYPERLINK("http://141.218.60.56/~jnz1568/getInfo.php?workbook=14_13.xlsx&amp;sheet=U0&amp;row=3301&amp;col=6&amp;number=4.7&amp;sourceID=14","4.7")</f>
        <v>4.7</v>
      </c>
      <c r="G3301" s="4" t="str">
        <f>HYPERLINK("http://141.218.60.56/~jnz1568/getInfo.php?workbook=14_13.xlsx&amp;sheet=U0&amp;row=3301&amp;col=7&amp;number=0.14&amp;sourceID=14","0.14")</f>
        <v>0.14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HYPERLINK("http://141.218.60.56/~jnz1568/getInfo.php?workbook=14_13.xlsx&amp;sheet=U0&amp;row=3302&amp;col=6&amp;number=4.8&amp;sourceID=14","4.8")</f>
        <v>4.8</v>
      </c>
      <c r="G3302" s="4" t="str">
        <f>HYPERLINK("http://141.218.60.56/~jnz1568/getInfo.php?workbook=14_13.xlsx&amp;sheet=U0&amp;row=3302&amp;col=7&amp;number=0.136&amp;sourceID=14","0.136")</f>
        <v>0.136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HYPERLINK("http://141.218.60.56/~jnz1568/getInfo.php?workbook=14_13.xlsx&amp;sheet=U0&amp;row=3303&amp;col=6&amp;number=4.9&amp;sourceID=14","4.9")</f>
        <v>4.9</v>
      </c>
      <c r="G3303" s="4" t="str">
        <f>HYPERLINK("http://141.218.60.56/~jnz1568/getInfo.php?workbook=14_13.xlsx&amp;sheet=U0&amp;row=3303&amp;col=7&amp;number=0.132&amp;sourceID=14","0.132")</f>
        <v>0.132</v>
      </c>
    </row>
    <row r="3304" spans="1:7">
      <c r="A3304" s="3">
        <v>14</v>
      </c>
      <c r="B3304" s="3">
        <v>13</v>
      </c>
      <c r="C3304" s="3">
        <v>7</v>
      </c>
      <c r="D3304" s="3">
        <v>20</v>
      </c>
      <c r="E3304" s="3">
        <v>1</v>
      </c>
      <c r="F3304" s="4" t="str">
        <f>HYPERLINK("http://141.218.60.56/~jnz1568/getInfo.php?workbook=14_13.xlsx&amp;sheet=U0&amp;row=3304&amp;col=6&amp;number=3&amp;sourceID=14","3")</f>
        <v>3</v>
      </c>
      <c r="G3304" s="4" t="str">
        <f>HYPERLINK("http://141.218.60.56/~jnz1568/getInfo.php?workbook=14_13.xlsx&amp;sheet=U0&amp;row=3304&amp;col=7&amp;number=0.368&amp;sourceID=14","0.368")</f>
        <v>0.368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HYPERLINK("http://141.218.60.56/~jnz1568/getInfo.php?workbook=14_13.xlsx&amp;sheet=U0&amp;row=3305&amp;col=6&amp;number=3.1&amp;sourceID=14","3.1")</f>
        <v>3.1</v>
      </c>
      <c r="G3305" s="4" t="str">
        <f>HYPERLINK("http://141.218.60.56/~jnz1568/getInfo.php?workbook=14_13.xlsx&amp;sheet=U0&amp;row=3305&amp;col=7&amp;number=0.378&amp;sourceID=14","0.378")</f>
        <v>0.378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HYPERLINK("http://141.218.60.56/~jnz1568/getInfo.php?workbook=14_13.xlsx&amp;sheet=U0&amp;row=3306&amp;col=6&amp;number=3.2&amp;sourceID=14","3.2")</f>
        <v>3.2</v>
      </c>
      <c r="G3306" s="4" t="str">
        <f>HYPERLINK("http://141.218.60.56/~jnz1568/getInfo.php?workbook=14_13.xlsx&amp;sheet=U0&amp;row=3306&amp;col=7&amp;number=0.388&amp;sourceID=14","0.388")</f>
        <v>0.388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HYPERLINK("http://141.218.60.56/~jnz1568/getInfo.php?workbook=14_13.xlsx&amp;sheet=U0&amp;row=3307&amp;col=6&amp;number=3.3&amp;sourceID=14","3.3")</f>
        <v>3.3</v>
      </c>
      <c r="G3307" s="4" t="str">
        <f>HYPERLINK("http://141.218.60.56/~jnz1568/getInfo.php?workbook=14_13.xlsx&amp;sheet=U0&amp;row=3307&amp;col=7&amp;number=0.401&amp;sourceID=14","0.401")</f>
        <v>0.401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HYPERLINK("http://141.218.60.56/~jnz1568/getInfo.php?workbook=14_13.xlsx&amp;sheet=U0&amp;row=3308&amp;col=6&amp;number=3.4&amp;sourceID=14","3.4")</f>
        <v>3.4</v>
      </c>
      <c r="G3308" s="4" t="str">
        <f>HYPERLINK("http://141.218.60.56/~jnz1568/getInfo.php?workbook=14_13.xlsx&amp;sheet=U0&amp;row=3308&amp;col=7&amp;number=0.416&amp;sourceID=14","0.416")</f>
        <v>0.416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HYPERLINK("http://141.218.60.56/~jnz1568/getInfo.php?workbook=14_13.xlsx&amp;sheet=U0&amp;row=3309&amp;col=6&amp;number=3.5&amp;sourceID=14","3.5")</f>
        <v>3.5</v>
      </c>
      <c r="G3309" s="4" t="str">
        <f>HYPERLINK("http://141.218.60.56/~jnz1568/getInfo.php?workbook=14_13.xlsx&amp;sheet=U0&amp;row=3309&amp;col=7&amp;number=0.431&amp;sourceID=14","0.431")</f>
        <v>0.431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HYPERLINK("http://141.218.60.56/~jnz1568/getInfo.php?workbook=14_13.xlsx&amp;sheet=U0&amp;row=3310&amp;col=6&amp;number=3.6&amp;sourceID=14","3.6")</f>
        <v>3.6</v>
      </c>
      <c r="G3310" s="4" t="str">
        <f>HYPERLINK("http://141.218.60.56/~jnz1568/getInfo.php?workbook=14_13.xlsx&amp;sheet=U0&amp;row=3310&amp;col=7&amp;number=0.446&amp;sourceID=14","0.446")</f>
        <v>0.446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HYPERLINK("http://141.218.60.56/~jnz1568/getInfo.php?workbook=14_13.xlsx&amp;sheet=U0&amp;row=3311&amp;col=6&amp;number=3.7&amp;sourceID=14","3.7")</f>
        <v>3.7</v>
      </c>
      <c r="G3311" s="4" t="str">
        <f>HYPERLINK("http://141.218.60.56/~jnz1568/getInfo.php?workbook=14_13.xlsx&amp;sheet=U0&amp;row=3311&amp;col=7&amp;number=0.459&amp;sourceID=14","0.459")</f>
        <v>0.459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HYPERLINK("http://141.218.60.56/~jnz1568/getInfo.php?workbook=14_13.xlsx&amp;sheet=U0&amp;row=3312&amp;col=6&amp;number=3.8&amp;sourceID=14","3.8")</f>
        <v>3.8</v>
      </c>
      <c r="G3312" s="4" t="str">
        <f>HYPERLINK("http://141.218.60.56/~jnz1568/getInfo.php?workbook=14_13.xlsx&amp;sheet=U0&amp;row=3312&amp;col=7&amp;number=0.467&amp;sourceID=14","0.467")</f>
        <v>0.467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HYPERLINK("http://141.218.60.56/~jnz1568/getInfo.php?workbook=14_13.xlsx&amp;sheet=U0&amp;row=3313&amp;col=6&amp;number=3.9&amp;sourceID=14","3.9")</f>
        <v>3.9</v>
      </c>
      <c r="G3313" s="4" t="str">
        <f>HYPERLINK("http://141.218.60.56/~jnz1568/getInfo.php?workbook=14_13.xlsx&amp;sheet=U0&amp;row=3313&amp;col=7&amp;number=0.471&amp;sourceID=14","0.471")</f>
        <v>0.471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HYPERLINK("http://141.218.60.56/~jnz1568/getInfo.php?workbook=14_13.xlsx&amp;sheet=U0&amp;row=3314&amp;col=6&amp;number=4&amp;sourceID=14","4")</f>
        <v>4</v>
      </c>
      <c r="G3314" s="4" t="str">
        <f>HYPERLINK("http://141.218.60.56/~jnz1568/getInfo.php?workbook=14_13.xlsx&amp;sheet=U0&amp;row=3314&amp;col=7&amp;number=0.474&amp;sourceID=14","0.474")</f>
        <v>0.474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HYPERLINK("http://141.218.60.56/~jnz1568/getInfo.php?workbook=14_13.xlsx&amp;sheet=U0&amp;row=3315&amp;col=6&amp;number=4.1&amp;sourceID=14","4.1")</f>
        <v>4.1</v>
      </c>
      <c r="G3315" s="4" t="str">
        <f>HYPERLINK("http://141.218.60.56/~jnz1568/getInfo.php?workbook=14_13.xlsx&amp;sheet=U0&amp;row=3315&amp;col=7&amp;number=0.479&amp;sourceID=14","0.479")</f>
        <v>0.479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HYPERLINK("http://141.218.60.56/~jnz1568/getInfo.php?workbook=14_13.xlsx&amp;sheet=U0&amp;row=3316&amp;col=6&amp;number=4.2&amp;sourceID=14","4.2")</f>
        <v>4.2</v>
      </c>
      <c r="G3316" s="4" t="str">
        <f>HYPERLINK("http://141.218.60.56/~jnz1568/getInfo.php?workbook=14_13.xlsx&amp;sheet=U0&amp;row=3316&amp;col=7&amp;number=0.49&amp;sourceID=14","0.49")</f>
        <v>0.49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HYPERLINK("http://141.218.60.56/~jnz1568/getInfo.php?workbook=14_13.xlsx&amp;sheet=U0&amp;row=3317&amp;col=6&amp;number=4.3&amp;sourceID=14","4.3")</f>
        <v>4.3</v>
      </c>
      <c r="G3317" s="4" t="str">
        <f>HYPERLINK("http://141.218.60.56/~jnz1568/getInfo.php?workbook=14_13.xlsx&amp;sheet=U0&amp;row=3317&amp;col=7&amp;number=0.508&amp;sourceID=14","0.508")</f>
        <v>0.508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HYPERLINK("http://141.218.60.56/~jnz1568/getInfo.php?workbook=14_13.xlsx&amp;sheet=U0&amp;row=3318&amp;col=6&amp;number=4.4&amp;sourceID=14","4.4")</f>
        <v>4.4</v>
      </c>
      <c r="G3318" s="4" t="str">
        <f>HYPERLINK("http://141.218.60.56/~jnz1568/getInfo.php?workbook=14_13.xlsx&amp;sheet=U0&amp;row=3318&amp;col=7&amp;number=0.535&amp;sourceID=14","0.535")</f>
        <v>0.535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HYPERLINK("http://141.218.60.56/~jnz1568/getInfo.php?workbook=14_13.xlsx&amp;sheet=U0&amp;row=3319&amp;col=6&amp;number=4.5&amp;sourceID=14","4.5")</f>
        <v>4.5</v>
      </c>
      <c r="G3319" s="4" t="str">
        <f>HYPERLINK("http://141.218.60.56/~jnz1568/getInfo.php?workbook=14_13.xlsx&amp;sheet=U0&amp;row=3319&amp;col=7&amp;number=0.57&amp;sourceID=14","0.57")</f>
        <v>0.57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HYPERLINK("http://141.218.60.56/~jnz1568/getInfo.php?workbook=14_13.xlsx&amp;sheet=U0&amp;row=3320&amp;col=6&amp;number=4.6&amp;sourceID=14","4.6")</f>
        <v>4.6</v>
      </c>
      <c r="G3320" s="4" t="str">
        <f>HYPERLINK("http://141.218.60.56/~jnz1568/getInfo.php?workbook=14_13.xlsx&amp;sheet=U0&amp;row=3320&amp;col=7&amp;number=0.615&amp;sourceID=14","0.615")</f>
        <v>0.615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HYPERLINK("http://141.218.60.56/~jnz1568/getInfo.php?workbook=14_13.xlsx&amp;sheet=U0&amp;row=3321&amp;col=6&amp;number=4.7&amp;sourceID=14","4.7")</f>
        <v>4.7</v>
      </c>
      <c r="G3321" s="4" t="str">
        <f>HYPERLINK("http://141.218.60.56/~jnz1568/getInfo.php?workbook=14_13.xlsx&amp;sheet=U0&amp;row=3321&amp;col=7&amp;number=0.669&amp;sourceID=14","0.669")</f>
        <v>0.669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HYPERLINK("http://141.218.60.56/~jnz1568/getInfo.php?workbook=14_13.xlsx&amp;sheet=U0&amp;row=3322&amp;col=6&amp;number=4.8&amp;sourceID=14","4.8")</f>
        <v>4.8</v>
      </c>
      <c r="G3322" s="4" t="str">
        <f>HYPERLINK("http://141.218.60.56/~jnz1568/getInfo.php?workbook=14_13.xlsx&amp;sheet=U0&amp;row=3322&amp;col=7&amp;number=0.732&amp;sourceID=14","0.732")</f>
        <v>0.732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HYPERLINK("http://141.218.60.56/~jnz1568/getInfo.php?workbook=14_13.xlsx&amp;sheet=U0&amp;row=3323&amp;col=6&amp;number=4.9&amp;sourceID=14","4.9")</f>
        <v>4.9</v>
      </c>
      <c r="G3323" s="4" t="str">
        <f>HYPERLINK("http://141.218.60.56/~jnz1568/getInfo.php?workbook=14_13.xlsx&amp;sheet=U0&amp;row=3323&amp;col=7&amp;number=0.801&amp;sourceID=14","0.801")</f>
        <v>0.801</v>
      </c>
    </row>
    <row r="3324" spans="1:7">
      <c r="A3324" s="3">
        <v>14</v>
      </c>
      <c r="B3324" s="3">
        <v>13</v>
      </c>
      <c r="C3324" s="3">
        <v>7</v>
      </c>
      <c r="D3324" s="3">
        <v>21</v>
      </c>
      <c r="E3324" s="3">
        <v>1</v>
      </c>
      <c r="F3324" s="4" t="str">
        <f>HYPERLINK("http://141.218.60.56/~jnz1568/getInfo.php?workbook=14_13.xlsx&amp;sheet=U0&amp;row=3324&amp;col=6&amp;number=3&amp;sourceID=14","3")</f>
        <v>3</v>
      </c>
      <c r="G3324" s="4" t="str">
        <f>HYPERLINK("http://141.218.60.56/~jnz1568/getInfo.php?workbook=14_13.xlsx&amp;sheet=U0&amp;row=3324&amp;col=7&amp;number=0.349&amp;sourceID=14","0.349")</f>
        <v>0.349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HYPERLINK("http://141.218.60.56/~jnz1568/getInfo.php?workbook=14_13.xlsx&amp;sheet=U0&amp;row=3325&amp;col=6&amp;number=3.1&amp;sourceID=14","3.1")</f>
        <v>3.1</v>
      </c>
      <c r="G3325" s="4" t="str">
        <f>HYPERLINK("http://141.218.60.56/~jnz1568/getInfo.php?workbook=14_13.xlsx&amp;sheet=U0&amp;row=3325&amp;col=7&amp;number=0.356&amp;sourceID=14","0.356")</f>
        <v>0.356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HYPERLINK("http://141.218.60.56/~jnz1568/getInfo.php?workbook=14_13.xlsx&amp;sheet=U0&amp;row=3326&amp;col=6&amp;number=3.2&amp;sourceID=14","3.2")</f>
        <v>3.2</v>
      </c>
      <c r="G3326" s="4" t="str">
        <f>HYPERLINK("http://141.218.60.56/~jnz1568/getInfo.php?workbook=14_13.xlsx&amp;sheet=U0&amp;row=3326&amp;col=7&amp;number=0.364&amp;sourceID=14","0.364")</f>
        <v>0.364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HYPERLINK("http://141.218.60.56/~jnz1568/getInfo.php?workbook=14_13.xlsx&amp;sheet=U0&amp;row=3327&amp;col=6&amp;number=3.3&amp;sourceID=14","3.3")</f>
        <v>3.3</v>
      </c>
      <c r="G3327" s="4" t="str">
        <f>HYPERLINK("http://141.218.60.56/~jnz1568/getInfo.php?workbook=14_13.xlsx&amp;sheet=U0&amp;row=3327&amp;col=7&amp;number=0.374&amp;sourceID=14","0.374")</f>
        <v>0.374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HYPERLINK("http://141.218.60.56/~jnz1568/getInfo.php?workbook=14_13.xlsx&amp;sheet=U0&amp;row=3328&amp;col=6&amp;number=3.4&amp;sourceID=14","3.4")</f>
        <v>3.4</v>
      </c>
      <c r="G3328" s="4" t="str">
        <f>HYPERLINK("http://141.218.60.56/~jnz1568/getInfo.php?workbook=14_13.xlsx&amp;sheet=U0&amp;row=3328&amp;col=7&amp;number=0.385&amp;sourceID=14","0.385")</f>
        <v>0.385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HYPERLINK("http://141.218.60.56/~jnz1568/getInfo.php?workbook=14_13.xlsx&amp;sheet=U0&amp;row=3329&amp;col=6&amp;number=3.5&amp;sourceID=14","3.5")</f>
        <v>3.5</v>
      </c>
      <c r="G3329" s="4" t="str">
        <f>HYPERLINK("http://141.218.60.56/~jnz1568/getInfo.php?workbook=14_13.xlsx&amp;sheet=U0&amp;row=3329&amp;col=7&amp;number=0.398&amp;sourceID=14","0.398")</f>
        <v>0.398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HYPERLINK("http://141.218.60.56/~jnz1568/getInfo.php?workbook=14_13.xlsx&amp;sheet=U0&amp;row=3330&amp;col=6&amp;number=3.6&amp;sourceID=14","3.6")</f>
        <v>3.6</v>
      </c>
      <c r="G3330" s="4" t="str">
        <f>HYPERLINK("http://141.218.60.56/~jnz1568/getInfo.php?workbook=14_13.xlsx&amp;sheet=U0&amp;row=3330&amp;col=7&amp;number=0.411&amp;sourceID=14","0.411")</f>
        <v>0.411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HYPERLINK("http://141.218.60.56/~jnz1568/getInfo.php?workbook=14_13.xlsx&amp;sheet=U0&amp;row=3331&amp;col=6&amp;number=3.7&amp;sourceID=14","3.7")</f>
        <v>3.7</v>
      </c>
      <c r="G3331" s="4" t="str">
        <f>HYPERLINK("http://141.218.60.56/~jnz1568/getInfo.php?workbook=14_13.xlsx&amp;sheet=U0&amp;row=3331&amp;col=7&amp;number=0.422&amp;sourceID=14","0.422")</f>
        <v>0.422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HYPERLINK("http://141.218.60.56/~jnz1568/getInfo.php?workbook=14_13.xlsx&amp;sheet=U0&amp;row=3332&amp;col=6&amp;number=3.8&amp;sourceID=14","3.8")</f>
        <v>3.8</v>
      </c>
      <c r="G3332" s="4" t="str">
        <f>HYPERLINK("http://141.218.60.56/~jnz1568/getInfo.php?workbook=14_13.xlsx&amp;sheet=U0&amp;row=3332&amp;col=7&amp;number=0.431&amp;sourceID=14","0.431")</f>
        <v>0.431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HYPERLINK("http://141.218.60.56/~jnz1568/getInfo.php?workbook=14_13.xlsx&amp;sheet=U0&amp;row=3333&amp;col=6&amp;number=3.9&amp;sourceID=14","3.9")</f>
        <v>3.9</v>
      </c>
      <c r="G3333" s="4" t="str">
        <f>HYPERLINK("http://141.218.60.56/~jnz1568/getInfo.php?workbook=14_13.xlsx&amp;sheet=U0&amp;row=3333&amp;col=7&amp;number=0.437&amp;sourceID=14","0.437")</f>
        <v>0.437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HYPERLINK("http://141.218.60.56/~jnz1568/getInfo.php?workbook=14_13.xlsx&amp;sheet=U0&amp;row=3334&amp;col=6&amp;number=4&amp;sourceID=14","4")</f>
        <v>4</v>
      </c>
      <c r="G3334" s="4" t="str">
        <f>HYPERLINK("http://141.218.60.56/~jnz1568/getInfo.php?workbook=14_13.xlsx&amp;sheet=U0&amp;row=3334&amp;col=7&amp;number=0.442&amp;sourceID=14","0.442")</f>
        <v>0.442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HYPERLINK("http://141.218.60.56/~jnz1568/getInfo.php?workbook=14_13.xlsx&amp;sheet=U0&amp;row=3335&amp;col=6&amp;number=4.1&amp;sourceID=14","4.1")</f>
        <v>4.1</v>
      </c>
      <c r="G3335" s="4" t="str">
        <f>HYPERLINK("http://141.218.60.56/~jnz1568/getInfo.php?workbook=14_13.xlsx&amp;sheet=U0&amp;row=3335&amp;col=7&amp;number=0.448&amp;sourceID=14","0.448")</f>
        <v>0.448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HYPERLINK("http://141.218.60.56/~jnz1568/getInfo.php?workbook=14_13.xlsx&amp;sheet=U0&amp;row=3336&amp;col=6&amp;number=4.2&amp;sourceID=14","4.2")</f>
        <v>4.2</v>
      </c>
      <c r="G3336" s="4" t="str">
        <f>HYPERLINK("http://141.218.60.56/~jnz1568/getInfo.php?workbook=14_13.xlsx&amp;sheet=U0&amp;row=3336&amp;col=7&amp;number=0.457&amp;sourceID=14","0.457")</f>
        <v>0.457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HYPERLINK("http://141.218.60.56/~jnz1568/getInfo.php?workbook=14_13.xlsx&amp;sheet=U0&amp;row=3337&amp;col=6&amp;number=4.3&amp;sourceID=14","4.3")</f>
        <v>4.3</v>
      </c>
      <c r="G3337" s="4" t="str">
        <f>HYPERLINK("http://141.218.60.56/~jnz1568/getInfo.php?workbook=14_13.xlsx&amp;sheet=U0&amp;row=3337&amp;col=7&amp;number=0.468&amp;sourceID=14","0.468")</f>
        <v>0.468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HYPERLINK("http://141.218.60.56/~jnz1568/getInfo.php?workbook=14_13.xlsx&amp;sheet=U0&amp;row=3338&amp;col=6&amp;number=4.4&amp;sourceID=14","4.4")</f>
        <v>4.4</v>
      </c>
      <c r="G3338" s="4" t="str">
        <f>HYPERLINK("http://141.218.60.56/~jnz1568/getInfo.php?workbook=14_13.xlsx&amp;sheet=U0&amp;row=3338&amp;col=7&amp;number=0.482&amp;sourceID=14","0.482")</f>
        <v>0.482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HYPERLINK("http://141.218.60.56/~jnz1568/getInfo.php?workbook=14_13.xlsx&amp;sheet=U0&amp;row=3339&amp;col=6&amp;number=4.5&amp;sourceID=14","4.5")</f>
        <v>4.5</v>
      </c>
      <c r="G3339" s="4" t="str">
        <f>HYPERLINK("http://141.218.60.56/~jnz1568/getInfo.php?workbook=14_13.xlsx&amp;sheet=U0&amp;row=3339&amp;col=7&amp;number=0.497&amp;sourceID=14","0.497")</f>
        <v>0.497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HYPERLINK("http://141.218.60.56/~jnz1568/getInfo.php?workbook=14_13.xlsx&amp;sheet=U0&amp;row=3340&amp;col=6&amp;number=4.6&amp;sourceID=14","4.6")</f>
        <v>4.6</v>
      </c>
      <c r="G3340" s="4" t="str">
        <f>HYPERLINK("http://141.218.60.56/~jnz1568/getInfo.php?workbook=14_13.xlsx&amp;sheet=U0&amp;row=3340&amp;col=7&amp;number=0.511&amp;sourceID=14","0.511")</f>
        <v>0.511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HYPERLINK("http://141.218.60.56/~jnz1568/getInfo.php?workbook=14_13.xlsx&amp;sheet=U0&amp;row=3341&amp;col=6&amp;number=4.7&amp;sourceID=14","4.7")</f>
        <v>4.7</v>
      </c>
      <c r="G3341" s="4" t="str">
        <f>HYPERLINK("http://141.218.60.56/~jnz1568/getInfo.php?workbook=14_13.xlsx&amp;sheet=U0&amp;row=3341&amp;col=7&amp;number=0.525&amp;sourceID=14","0.525")</f>
        <v>0.525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HYPERLINK("http://141.218.60.56/~jnz1568/getInfo.php?workbook=14_13.xlsx&amp;sheet=U0&amp;row=3342&amp;col=6&amp;number=4.8&amp;sourceID=14","4.8")</f>
        <v>4.8</v>
      </c>
      <c r="G3342" s="4" t="str">
        <f>HYPERLINK("http://141.218.60.56/~jnz1568/getInfo.php?workbook=14_13.xlsx&amp;sheet=U0&amp;row=3342&amp;col=7&amp;number=0.538&amp;sourceID=14","0.538")</f>
        <v>0.538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HYPERLINK("http://141.218.60.56/~jnz1568/getInfo.php?workbook=14_13.xlsx&amp;sheet=U0&amp;row=3343&amp;col=6&amp;number=4.9&amp;sourceID=14","4.9")</f>
        <v>4.9</v>
      </c>
      <c r="G3343" s="4" t="str">
        <f>HYPERLINK("http://141.218.60.56/~jnz1568/getInfo.php?workbook=14_13.xlsx&amp;sheet=U0&amp;row=3343&amp;col=7&amp;number=0.548&amp;sourceID=14","0.548")</f>
        <v>0.548</v>
      </c>
    </row>
    <row r="3344" spans="1:7">
      <c r="A3344" s="3">
        <v>14</v>
      </c>
      <c r="B3344" s="3">
        <v>13</v>
      </c>
      <c r="C3344" s="3">
        <v>7</v>
      </c>
      <c r="D3344" s="3">
        <v>22</v>
      </c>
      <c r="E3344" s="3">
        <v>1</v>
      </c>
      <c r="F3344" s="4" t="str">
        <f>HYPERLINK("http://141.218.60.56/~jnz1568/getInfo.php?workbook=14_13.xlsx&amp;sheet=U0&amp;row=3344&amp;col=6&amp;number=3&amp;sourceID=14","3")</f>
        <v>3</v>
      </c>
      <c r="G3344" s="4" t="str">
        <f>HYPERLINK("http://141.218.60.56/~jnz1568/getInfo.php?workbook=14_13.xlsx&amp;sheet=U0&amp;row=3344&amp;col=7&amp;number=0.866&amp;sourceID=14","0.866")</f>
        <v>0.866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HYPERLINK("http://141.218.60.56/~jnz1568/getInfo.php?workbook=14_13.xlsx&amp;sheet=U0&amp;row=3345&amp;col=6&amp;number=3.1&amp;sourceID=14","3.1")</f>
        <v>3.1</v>
      </c>
      <c r="G3345" s="4" t="str">
        <f>HYPERLINK("http://141.218.60.56/~jnz1568/getInfo.php?workbook=14_13.xlsx&amp;sheet=U0&amp;row=3345&amp;col=7&amp;number=0.886&amp;sourceID=14","0.886")</f>
        <v>0.886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HYPERLINK("http://141.218.60.56/~jnz1568/getInfo.php?workbook=14_13.xlsx&amp;sheet=U0&amp;row=3346&amp;col=6&amp;number=3.2&amp;sourceID=14","3.2")</f>
        <v>3.2</v>
      </c>
      <c r="G3346" s="4" t="str">
        <f>HYPERLINK("http://141.218.60.56/~jnz1568/getInfo.php?workbook=14_13.xlsx&amp;sheet=U0&amp;row=3346&amp;col=7&amp;number=0.909&amp;sourceID=14","0.909")</f>
        <v>0.909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HYPERLINK("http://141.218.60.56/~jnz1568/getInfo.php?workbook=14_13.xlsx&amp;sheet=U0&amp;row=3347&amp;col=6&amp;number=3.3&amp;sourceID=14","3.3")</f>
        <v>3.3</v>
      </c>
      <c r="G3347" s="4" t="str">
        <f>HYPERLINK("http://141.218.60.56/~jnz1568/getInfo.php?workbook=14_13.xlsx&amp;sheet=U0&amp;row=3347&amp;col=7&amp;number=0.938&amp;sourceID=14","0.938")</f>
        <v>0.938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HYPERLINK("http://141.218.60.56/~jnz1568/getInfo.php?workbook=14_13.xlsx&amp;sheet=U0&amp;row=3348&amp;col=6&amp;number=3.4&amp;sourceID=14","3.4")</f>
        <v>3.4</v>
      </c>
      <c r="G3348" s="4" t="str">
        <f>HYPERLINK("http://141.218.60.56/~jnz1568/getInfo.php?workbook=14_13.xlsx&amp;sheet=U0&amp;row=3348&amp;col=7&amp;number=0.972&amp;sourceID=14","0.972")</f>
        <v>0.972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HYPERLINK("http://141.218.60.56/~jnz1568/getInfo.php?workbook=14_13.xlsx&amp;sheet=U0&amp;row=3349&amp;col=6&amp;number=3.5&amp;sourceID=14","3.5")</f>
        <v>3.5</v>
      </c>
      <c r="G3349" s="4" t="str">
        <f>HYPERLINK("http://141.218.60.56/~jnz1568/getInfo.php?workbook=14_13.xlsx&amp;sheet=U0&amp;row=3349&amp;col=7&amp;number=1.01&amp;sourceID=14","1.01")</f>
        <v>1.01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HYPERLINK("http://141.218.60.56/~jnz1568/getInfo.php?workbook=14_13.xlsx&amp;sheet=U0&amp;row=3350&amp;col=6&amp;number=3.6&amp;sourceID=14","3.6")</f>
        <v>3.6</v>
      </c>
      <c r="G3350" s="4" t="str">
        <f>HYPERLINK("http://141.218.60.56/~jnz1568/getInfo.php?workbook=14_13.xlsx&amp;sheet=U0&amp;row=3350&amp;col=7&amp;number=1.06&amp;sourceID=14","1.06")</f>
        <v>1.06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HYPERLINK("http://141.218.60.56/~jnz1568/getInfo.php?workbook=14_13.xlsx&amp;sheet=U0&amp;row=3351&amp;col=6&amp;number=3.7&amp;sourceID=14","3.7")</f>
        <v>3.7</v>
      </c>
      <c r="G3351" s="4" t="str">
        <f>HYPERLINK("http://141.218.60.56/~jnz1568/getInfo.php?workbook=14_13.xlsx&amp;sheet=U0&amp;row=3351&amp;col=7&amp;number=1.1&amp;sourceID=14","1.1")</f>
        <v>1.1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HYPERLINK("http://141.218.60.56/~jnz1568/getInfo.php?workbook=14_13.xlsx&amp;sheet=U0&amp;row=3352&amp;col=6&amp;number=3.8&amp;sourceID=14","3.8")</f>
        <v>3.8</v>
      </c>
      <c r="G3352" s="4" t="str">
        <f>HYPERLINK("http://141.218.60.56/~jnz1568/getInfo.php?workbook=14_13.xlsx&amp;sheet=U0&amp;row=3352&amp;col=7&amp;number=1.15&amp;sourceID=14","1.15")</f>
        <v>1.15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HYPERLINK("http://141.218.60.56/~jnz1568/getInfo.php?workbook=14_13.xlsx&amp;sheet=U0&amp;row=3353&amp;col=6&amp;number=3.9&amp;sourceID=14","3.9")</f>
        <v>3.9</v>
      </c>
      <c r="G3353" s="4" t="str">
        <f>HYPERLINK("http://141.218.60.56/~jnz1568/getInfo.php?workbook=14_13.xlsx&amp;sheet=U0&amp;row=3353&amp;col=7&amp;number=1.2&amp;sourceID=14","1.2")</f>
        <v>1.2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HYPERLINK("http://141.218.60.56/~jnz1568/getInfo.php?workbook=14_13.xlsx&amp;sheet=U0&amp;row=3354&amp;col=6&amp;number=4&amp;sourceID=14","4")</f>
        <v>4</v>
      </c>
      <c r="G3354" s="4" t="str">
        <f>HYPERLINK("http://141.218.60.56/~jnz1568/getInfo.php?workbook=14_13.xlsx&amp;sheet=U0&amp;row=3354&amp;col=7&amp;number=1.25&amp;sourceID=14","1.25")</f>
        <v>1.25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HYPERLINK("http://141.218.60.56/~jnz1568/getInfo.php?workbook=14_13.xlsx&amp;sheet=U0&amp;row=3355&amp;col=6&amp;number=4.1&amp;sourceID=14","4.1")</f>
        <v>4.1</v>
      </c>
      <c r="G3355" s="4" t="str">
        <f>HYPERLINK("http://141.218.60.56/~jnz1568/getInfo.php?workbook=14_13.xlsx&amp;sheet=U0&amp;row=3355&amp;col=7&amp;number=1.33&amp;sourceID=14","1.33")</f>
        <v>1.33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HYPERLINK("http://141.218.60.56/~jnz1568/getInfo.php?workbook=14_13.xlsx&amp;sheet=U0&amp;row=3356&amp;col=6&amp;number=4.2&amp;sourceID=14","4.2")</f>
        <v>4.2</v>
      </c>
      <c r="G3356" s="4" t="str">
        <f>HYPERLINK("http://141.218.60.56/~jnz1568/getInfo.php?workbook=14_13.xlsx&amp;sheet=U0&amp;row=3356&amp;col=7&amp;number=1.43&amp;sourceID=14","1.43")</f>
        <v>1.43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HYPERLINK("http://141.218.60.56/~jnz1568/getInfo.php?workbook=14_13.xlsx&amp;sheet=U0&amp;row=3357&amp;col=6&amp;number=4.3&amp;sourceID=14","4.3")</f>
        <v>4.3</v>
      </c>
      <c r="G3357" s="4" t="str">
        <f>HYPERLINK("http://141.218.60.56/~jnz1568/getInfo.php?workbook=14_13.xlsx&amp;sheet=U0&amp;row=3357&amp;col=7&amp;number=1.56&amp;sourceID=14","1.56")</f>
        <v>1.56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HYPERLINK("http://141.218.60.56/~jnz1568/getInfo.php?workbook=14_13.xlsx&amp;sheet=U0&amp;row=3358&amp;col=6&amp;number=4.4&amp;sourceID=14","4.4")</f>
        <v>4.4</v>
      </c>
      <c r="G3358" s="4" t="str">
        <f>HYPERLINK("http://141.218.60.56/~jnz1568/getInfo.php?workbook=14_13.xlsx&amp;sheet=U0&amp;row=3358&amp;col=7&amp;number=1.72&amp;sourceID=14","1.72")</f>
        <v>1.72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HYPERLINK("http://141.218.60.56/~jnz1568/getInfo.php?workbook=14_13.xlsx&amp;sheet=U0&amp;row=3359&amp;col=6&amp;number=4.5&amp;sourceID=14","4.5")</f>
        <v>4.5</v>
      </c>
      <c r="G3359" s="4" t="str">
        <f>HYPERLINK("http://141.218.60.56/~jnz1568/getInfo.php?workbook=14_13.xlsx&amp;sheet=U0&amp;row=3359&amp;col=7&amp;number=1.91&amp;sourceID=14","1.91")</f>
        <v>1.91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HYPERLINK("http://141.218.60.56/~jnz1568/getInfo.php?workbook=14_13.xlsx&amp;sheet=U0&amp;row=3360&amp;col=6&amp;number=4.6&amp;sourceID=14","4.6")</f>
        <v>4.6</v>
      </c>
      <c r="G3360" s="4" t="str">
        <f>HYPERLINK("http://141.218.60.56/~jnz1568/getInfo.php?workbook=14_13.xlsx&amp;sheet=U0&amp;row=3360&amp;col=7&amp;number=2.15&amp;sourceID=14","2.15")</f>
        <v>2.15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HYPERLINK("http://141.218.60.56/~jnz1568/getInfo.php?workbook=14_13.xlsx&amp;sheet=U0&amp;row=3361&amp;col=6&amp;number=4.7&amp;sourceID=14","4.7")</f>
        <v>4.7</v>
      </c>
      <c r="G3361" s="4" t="str">
        <f>HYPERLINK("http://141.218.60.56/~jnz1568/getInfo.php?workbook=14_13.xlsx&amp;sheet=U0&amp;row=3361&amp;col=7&amp;number=2.43&amp;sourceID=14","2.43")</f>
        <v>2.43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HYPERLINK("http://141.218.60.56/~jnz1568/getInfo.php?workbook=14_13.xlsx&amp;sheet=U0&amp;row=3362&amp;col=6&amp;number=4.8&amp;sourceID=14","4.8")</f>
        <v>4.8</v>
      </c>
      <c r="G3362" s="4" t="str">
        <f>HYPERLINK("http://141.218.60.56/~jnz1568/getInfo.php?workbook=14_13.xlsx&amp;sheet=U0&amp;row=3362&amp;col=7&amp;number=2.77&amp;sourceID=14","2.77")</f>
        <v>2.77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HYPERLINK("http://141.218.60.56/~jnz1568/getInfo.php?workbook=14_13.xlsx&amp;sheet=U0&amp;row=3363&amp;col=6&amp;number=4.9&amp;sourceID=14","4.9")</f>
        <v>4.9</v>
      </c>
      <c r="G3363" s="4" t="str">
        <f>HYPERLINK("http://141.218.60.56/~jnz1568/getInfo.php?workbook=14_13.xlsx&amp;sheet=U0&amp;row=3363&amp;col=7&amp;number=3.15&amp;sourceID=14","3.15")</f>
        <v>3.15</v>
      </c>
    </row>
    <row r="3364" spans="1:7">
      <c r="A3364" s="3">
        <v>14</v>
      </c>
      <c r="B3364" s="3">
        <v>13</v>
      </c>
      <c r="C3364" s="3">
        <v>7</v>
      </c>
      <c r="D3364" s="3">
        <v>23</v>
      </c>
      <c r="E3364" s="3">
        <v>1</v>
      </c>
      <c r="F3364" s="4" t="str">
        <f>HYPERLINK("http://141.218.60.56/~jnz1568/getInfo.php?workbook=14_13.xlsx&amp;sheet=U0&amp;row=3364&amp;col=6&amp;number=3&amp;sourceID=14","3")</f>
        <v>3</v>
      </c>
      <c r="G3364" s="4" t="str">
        <f>HYPERLINK("http://141.218.60.56/~jnz1568/getInfo.php?workbook=14_13.xlsx&amp;sheet=U0&amp;row=3364&amp;col=7&amp;number=1.53&amp;sourceID=14","1.53")</f>
        <v>1.53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HYPERLINK("http://141.218.60.56/~jnz1568/getInfo.php?workbook=14_13.xlsx&amp;sheet=U0&amp;row=3365&amp;col=6&amp;number=3.1&amp;sourceID=14","3.1")</f>
        <v>3.1</v>
      </c>
      <c r="G3365" s="4" t="str">
        <f>HYPERLINK("http://141.218.60.56/~jnz1568/getInfo.php?workbook=14_13.xlsx&amp;sheet=U0&amp;row=3365&amp;col=7&amp;number=1.53&amp;sourceID=14","1.53")</f>
        <v>1.53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HYPERLINK("http://141.218.60.56/~jnz1568/getInfo.php?workbook=14_13.xlsx&amp;sheet=U0&amp;row=3366&amp;col=6&amp;number=3.2&amp;sourceID=14","3.2")</f>
        <v>3.2</v>
      </c>
      <c r="G3366" s="4" t="str">
        <f>HYPERLINK("http://141.218.60.56/~jnz1568/getInfo.php?workbook=14_13.xlsx&amp;sheet=U0&amp;row=3366&amp;col=7&amp;number=1.53&amp;sourceID=14","1.53")</f>
        <v>1.53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HYPERLINK("http://141.218.60.56/~jnz1568/getInfo.php?workbook=14_13.xlsx&amp;sheet=U0&amp;row=3367&amp;col=6&amp;number=3.3&amp;sourceID=14","3.3")</f>
        <v>3.3</v>
      </c>
      <c r="G3367" s="4" t="str">
        <f>HYPERLINK("http://141.218.60.56/~jnz1568/getInfo.php?workbook=14_13.xlsx&amp;sheet=U0&amp;row=3367&amp;col=7&amp;number=1.54&amp;sourceID=14","1.54")</f>
        <v>1.54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HYPERLINK("http://141.218.60.56/~jnz1568/getInfo.php?workbook=14_13.xlsx&amp;sheet=U0&amp;row=3368&amp;col=6&amp;number=3.4&amp;sourceID=14","3.4")</f>
        <v>3.4</v>
      </c>
      <c r="G3368" s="4" t="str">
        <f>HYPERLINK("http://141.218.60.56/~jnz1568/getInfo.php?workbook=14_13.xlsx&amp;sheet=U0&amp;row=3368&amp;col=7&amp;number=1.54&amp;sourceID=14","1.54")</f>
        <v>1.54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HYPERLINK("http://141.218.60.56/~jnz1568/getInfo.php?workbook=14_13.xlsx&amp;sheet=U0&amp;row=3369&amp;col=6&amp;number=3.5&amp;sourceID=14","3.5")</f>
        <v>3.5</v>
      </c>
      <c r="G3369" s="4" t="str">
        <f>HYPERLINK("http://141.218.60.56/~jnz1568/getInfo.php?workbook=14_13.xlsx&amp;sheet=U0&amp;row=3369&amp;col=7&amp;number=1.54&amp;sourceID=14","1.54")</f>
        <v>1.54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HYPERLINK("http://141.218.60.56/~jnz1568/getInfo.php?workbook=14_13.xlsx&amp;sheet=U0&amp;row=3370&amp;col=6&amp;number=3.6&amp;sourceID=14","3.6")</f>
        <v>3.6</v>
      </c>
      <c r="G3370" s="4" t="str">
        <f>HYPERLINK("http://141.218.60.56/~jnz1568/getInfo.php?workbook=14_13.xlsx&amp;sheet=U0&amp;row=3370&amp;col=7&amp;number=1.55&amp;sourceID=14","1.55")</f>
        <v>1.55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HYPERLINK("http://141.218.60.56/~jnz1568/getInfo.php?workbook=14_13.xlsx&amp;sheet=U0&amp;row=3371&amp;col=6&amp;number=3.7&amp;sourceID=14","3.7")</f>
        <v>3.7</v>
      </c>
      <c r="G3371" s="4" t="str">
        <f>HYPERLINK("http://141.218.60.56/~jnz1568/getInfo.php?workbook=14_13.xlsx&amp;sheet=U0&amp;row=3371&amp;col=7&amp;number=1.55&amp;sourceID=14","1.55")</f>
        <v>1.55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HYPERLINK("http://141.218.60.56/~jnz1568/getInfo.php?workbook=14_13.xlsx&amp;sheet=U0&amp;row=3372&amp;col=6&amp;number=3.8&amp;sourceID=14","3.8")</f>
        <v>3.8</v>
      </c>
      <c r="G3372" s="4" t="str">
        <f>HYPERLINK("http://141.218.60.56/~jnz1568/getInfo.php?workbook=14_13.xlsx&amp;sheet=U0&amp;row=3372&amp;col=7&amp;number=1.56&amp;sourceID=14","1.56")</f>
        <v>1.56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HYPERLINK("http://141.218.60.56/~jnz1568/getInfo.php?workbook=14_13.xlsx&amp;sheet=U0&amp;row=3373&amp;col=6&amp;number=3.9&amp;sourceID=14","3.9")</f>
        <v>3.9</v>
      </c>
      <c r="G3373" s="4" t="str">
        <f>HYPERLINK("http://141.218.60.56/~jnz1568/getInfo.php?workbook=14_13.xlsx&amp;sheet=U0&amp;row=3373&amp;col=7&amp;number=1.57&amp;sourceID=14","1.57")</f>
        <v>1.57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HYPERLINK("http://141.218.60.56/~jnz1568/getInfo.php?workbook=14_13.xlsx&amp;sheet=U0&amp;row=3374&amp;col=6&amp;number=4&amp;sourceID=14","4")</f>
        <v>4</v>
      </c>
      <c r="G3374" s="4" t="str">
        <f>HYPERLINK("http://141.218.60.56/~jnz1568/getInfo.php?workbook=14_13.xlsx&amp;sheet=U0&amp;row=3374&amp;col=7&amp;number=1.58&amp;sourceID=14","1.58")</f>
        <v>1.58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HYPERLINK("http://141.218.60.56/~jnz1568/getInfo.php?workbook=14_13.xlsx&amp;sheet=U0&amp;row=3375&amp;col=6&amp;number=4.1&amp;sourceID=14","4.1")</f>
        <v>4.1</v>
      </c>
      <c r="G3375" s="4" t="str">
        <f>HYPERLINK("http://141.218.60.56/~jnz1568/getInfo.php?workbook=14_13.xlsx&amp;sheet=U0&amp;row=3375&amp;col=7&amp;number=1.59&amp;sourceID=14","1.59")</f>
        <v>1.59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HYPERLINK("http://141.218.60.56/~jnz1568/getInfo.php?workbook=14_13.xlsx&amp;sheet=U0&amp;row=3376&amp;col=6&amp;number=4.2&amp;sourceID=14","4.2")</f>
        <v>4.2</v>
      </c>
      <c r="G3376" s="4" t="str">
        <f>HYPERLINK("http://141.218.60.56/~jnz1568/getInfo.php?workbook=14_13.xlsx&amp;sheet=U0&amp;row=3376&amp;col=7&amp;number=1.6&amp;sourceID=14","1.6")</f>
        <v>1.6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HYPERLINK("http://141.218.60.56/~jnz1568/getInfo.php?workbook=14_13.xlsx&amp;sheet=U0&amp;row=3377&amp;col=6&amp;number=4.3&amp;sourceID=14","4.3")</f>
        <v>4.3</v>
      </c>
      <c r="G3377" s="4" t="str">
        <f>HYPERLINK("http://141.218.60.56/~jnz1568/getInfo.php?workbook=14_13.xlsx&amp;sheet=U0&amp;row=3377&amp;col=7&amp;number=1.61&amp;sourceID=14","1.61")</f>
        <v>1.61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HYPERLINK("http://141.218.60.56/~jnz1568/getInfo.php?workbook=14_13.xlsx&amp;sheet=U0&amp;row=3378&amp;col=6&amp;number=4.4&amp;sourceID=14","4.4")</f>
        <v>4.4</v>
      </c>
      <c r="G3378" s="4" t="str">
        <f>HYPERLINK("http://141.218.60.56/~jnz1568/getInfo.php?workbook=14_13.xlsx&amp;sheet=U0&amp;row=3378&amp;col=7&amp;number=1.61&amp;sourceID=14","1.61")</f>
        <v>1.61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HYPERLINK("http://141.218.60.56/~jnz1568/getInfo.php?workbook=14_13.xlsx&amp;sheet=U0&amp;row=3379&amp;col=6&amp;number=4.5&amp;sourceID=14","4.5")</f>
        <v>4.5</v>
      </c>
      <c r="G3379" s="4" t="str">
        <f>HYPERLINK("http://141.218.60.56/~jnz1568/getInfo.php?workbook=14_13.xlsx&amp;sheet=U0&amp;row=3379&amp;col=7&amp;number=1.6&amp;sourceID=14","1.6")</f>
        <v>1.6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HYPERLINK("http://141.218.60.56/~jnz1568/getInfo.php?workbook=14_13.xlsx&amp;sheet=U0&amp;row=3380&amp;col=6&amp;number=4.6&amp;sourceID=14","4.6")</f>
        <v>4.6</v>
      </c>
      <c r="G3380" s="4" t="str">
        <f>HYPERLINK("http://141.218.60.56/~jnz1568/getInfo.php?workbook=14_13.xlsx&amp;sheet=U0&amp;row=3380&amp;col=7&amp;number=1.59&amp;sourceID=14","1.59")</f>
        <v>1.59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HYPERLINK("http://141.218.60.56/~jnz1568/getInfo.php?workbook=14_13.xlsx&amp;sheet=U0&amp;row=3381&amp;col=6&amp;number=4.7&amp;sourceID=14","4.7")</f>
        <v>4.7</v>
      </c>
      <c r="G3381" s="4" t="str">
        <f>HYPERLINK("http://141.218.60.56/~jnz1568/getInfo.php?workbook=14_13.xlsx&amp;sheet=U0&amp;row=3381&amp;col=7&amp;number=1.57&amp;sourceID=14","1.57")</f>
        <v>1.57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HYPERLINK("http://141.218.60.56/~jnz1568/getInfo.php?workbook=14_13.xlsx&amp;sheet=U0&amp;row=3382&amp;col=6&amp;number=4.8&amp;sourceID=14","4.8")</f>
        <v>4.8</v>
      </c>
      <c r="G3382" s="4" t="str">
        <f>HYPERLINK("http://141.218.60.56/~jnz1568/getInfo.php?workbook=14_13.xlsx&amp;sheet=U0&amp;row=3382&amp;col=7&amp;number=1.53&amp;sourceID=14","1.53")</f>
        <v>1.53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HYPERLINK("http://141.218.60.56/~jnz1568/getInfo.php?workbook=14_13.xlsx&amp;sheet=U0&amp;row=3383&amp;col=6&amp;number=4.9&amp;sourceID=14","4.9")</f>
        <v>4.9</v>
      </c>
      <c r="G3383" s="4" t="str">
        <f>HYPERLINK("http://141.218.60.56/~jnz1568/getInfo.php?workbook=14_13.xlsx&amp;sheet=U0&amp;row=3383&amp;col=7&amp;number=1.49&amp;sourceID=14","1.49")</f>
        <v>1.49</v>
      </c>
    </row>
    <row r="3384" spans="1:7">
      <c r="A3384" s="3">
        <v>14</v>
      </c>
      <c r="B3384" s="3">
        <v>13</v>
      </c>
      <c r="C3384" s="3">
        <v>7</v>
      </c>
      <c r="D3384" s="3">
        <v>24</v>
      </c>
      <c r="E3384" s="3">
        <v>1</v>
      </c>
      <c r="F3384" s="4" t="str">
        <f>HYPERLINK("http://141.218.60.56/~jnz1568/getInfo.php?workbook=14_13.xlsx&amp;sheet=U0&amp;row=3384&amp;col=6&amp;number=3&amp;sourceID=14","3")</f>
        <v>3</v>
      </c>
      <c r="G3384" s="4" t="str">
        <f>HYPERLINK("http://141.218.60.56/~jnz1568/getInfo.php?workbook=14_13.xlsx&amp;sheet=U0&amp;row=3384&amp;col=7&amp;number=2.29&amp;sourceID=14","2.29")</f>
        <v>2.29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HYPERLINK("http://141.218.60.56/~jnz1568/getInfo.php?workbook=14_13.xlsx&amp;sheet=U0&amp;row=3385&amp;col=6&amp;number=3.1&amp;sourceID=14","3.1")</f>
        <v>3.1</v>
      </c>
      <c r="G3385" s="4" t="str">
        <f>HYPERLINK("http://141.218.60.56/~jnz1568/getInfo.php?workbook=14_13.xlsx&amp;sheet=U0&amp;row=3385&amp;col=7&amp;number=2.29&amp;sourceID=14","2.29")</f>
        <v>2.29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HYPERLINK("http://141.218.60.56/~jnz1568/getInfo.php?workbook=14_13.xlsx&amp;sheet=U0&amp;row=3386&amp;col=6&amp;number=3.2&amp;sourceID=14","3.2")</f>
        <v>3.2</v>
      </c>
      <c r="G3386" s="4" t="str">
        <f>HYPERLINK("http://141.218.60.56/~jnz1568/getInfo.php?workbook=14_13.xlsx&amp;sheet=U0&amp;row=3386&amp;col=7&amp;number=2.29&amp;sourceID=14","2.29")</f>
        <v>2.29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HYPERLINK("http://141.218.60.56/~jnz1568/getInfo.php?workbook=14_13.xlsx&amp;sheet=U0&amp;row=3387&amp;col=6&amp;number=3.3&amp;sourceID=14","3.3")</f>
        <v>3.3</v>
      </c>
      <c r="G3387" s="4" t="str">
        <f>HYPERLINK("http://141.218.60.56/~jnz1568/getInfo.php?workbook=14_13.xlsx&amp;sheet=U0&amp;row=3387&amp;col=7&amp;number=2.3&amp;sourceID=14","2.3")</f>
        <v>2.3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HYPERLINK("http://141.218.60.56/~jnz1568/getInfo.php?workbook=14_13.xlsx&amp;sheet=U0&amp;row=3388&amp;col=6&amp;number=3.4&amp;sourceID=14","3.4")</f>
        <v>3.4</v>
      </c>
      <c r="G3388" s="4" t="str">
        <f>HYPERLINK("http://141.218.60.56/~jnz1568/getInfo.php?workbook=14_13.xlsx&amp;sheet=U0&amp;row=3388&amp;col=7&amp;number=2.3&amp;sourceID=14","2.3")</f>
        <v>2.3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HYPERLINK("http://141.218.60.56/~jnz1568/getInfo.php?workbook=14_13.xlsx&amp;sheet=U0&amp;row=3389&amp;col=6&amp;number=3.5&amp;sourceID=14","3.5")</f>
        <v>3.5</v>
      </c>
      <c r="G3389" s="4" t="str">
        <f>HYPERLINK("http://141.218.60.56/~jnz1568/getInfo.php?workbook=14_13.xlsx&amp;sheet=U0&amp;row=3389&amp;col=7&amp;number=2.31&amp;sourceID=14","2.31")</f>
        <v>2.31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HYPERLINK("http://141.218.60.56/~jnz1568/getInfo.php?workbook=14_13.xlsx&amp;sheet=U0&amp;row=3390&amp;col=6&amp;number=3.6&amp;sourceID=14","3.6")</f>
        <v>3.6</v>
      </c>
      <c r="G3390" s="4" t="str">
        <f>HYPERLINK("http://141.218.60.56/~jnz1568/getInfo.php?workbook=14_13.xlsx&amp;sheet=U0&amp;row=3390&amp;col=7&amp;number=2.32&amp;sourceID=14","2.32")</f>
        <v>2.32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HYPERLINK("http://141.218.60.56/~jnz1568/getInfo.php?workbook=14_13.xlsx&amp;sheet=U0&amp;row=3391&amp;col=6&amp;number=3.7&amp;sourceID=14","3.7")</f>
        <v>3.7</v>
      </c>
      <c r="G3391" s="4" t="str">
        <f>HYPERLINK("http://141.218.60.56/~jnz1568/getInfo.php?workbook=14_13.xlsx&amp;sheet=U0&amp;row=3391&amp;col=7&amp;number=2.33&amp;sourceID=14","2.33")</f>
        <v>2.33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HYPERLINK("http://141.218.60.56/~jnz1568/getInfo.php?workbook=14_13.xlsx&amp;sheet=U0&amp;row=3392&amp;col=6&amp;number=3.8&amp;sourceID=14","3.8")</f>
        <v>3.8</v>
      </c>
      <c r="G3392" s="4" t="str">
        <f>HYPERLINK("http://141.218.60.56/~jnz1568/getInfo.php?workbook=14_13.xlsx&amp;sheet=U0&amp;row=3392&amp;col=7&amp;number=2.34&amp;sourceID=14","2.34")</f>
        <v>2.34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HYPERLINK("http://141.218.60.56/~jnz1568/getInfo.php?workbook=14_13.xlsx&amp;sheet=U0&amp;row=3393&amp;col=6&amp;number=3.9&amp;sourceID=14","3.9")</f>
        <v>3.9</v>
      </c>
      <c r="G3393" s="4" t="str">
        <f>HYPERLINK("http://141.218.60.56/~jnz1568/getInfo.php?workbook=14_13.xlsx&amp;sheet=U0&amp;row=3393&amp;col=7&amp;number=2.36&amp;sourceID=14","2.36")</f>
        <v>2.36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HYPERLINK("http://141.218.60.56/~jnz1568/getInfo.php?workbook=14_13.xlsx&amp;sheet=U0&amp;row=3394&amp;col=6&amp;number=4&amp;sourceID=14","4")</f>
        <v>4</v>
      </c>
      <c r="G3394" s="4" t="str">
        <f>HYPERLINK("http://141.218.60.56/~jnz1568/getInfo.php?workbook=14_13.xlsx&amp;sheet=U0&amp;row=3394&amp;col=7&amp;number=2.38&amp;sourceID=14","2.38")</f>
        <v>2.38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HYPERLINK("http://141.218.60.56/~jnz1568/getInfo.php?workbook=14_13.xlsx&amp;sheet=U0&amp;row=3395&amp;col=6&amp;number=4.1&amp;sourceID=14","4.1")</f>
        <v>4.1</v>
      </c>
      <c r="G3395" s="4" t="str">
        <f>HYPERLINK("http://141.218.60.56/~jnz1568/getInfo.php?workbook=14_13.xlsx&amp;sheet=U0&amp;row=3395&amp;col=7&amp;number=2.4&amp;sourceID=14","2.4")</f>
        <v>2.4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HYPERLINK("http://141.218.60.56/~jnz1568/getInfo.php?workbook=14_13.xlsx&amp;sheet=U0&amp;row=3396&amp;col=6&amp;number=4.2&amp;sourceID=14","4.2")</f>
        <v>4.2</v>
      </c>
      <c r="G3396" s="4" t="str">
        <f>HYPERLINK("http://141.218.60.56/~jnz1568/getInfo.php?workbook=14_13.xlsx&amp;sheet=U0&amp;row=3396&amp;col=7&amp;number=2.41&amp;sourceID=14","2.41")</f>
        <v>2.41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HYPERLINK("http://141.218.60.56/~jnz1568/getInfo.php?workbook=14_13.xlsx&amp;sheet=U0&amp;row=3397&amp;col=6&amp;number=4.3&amp;sourceID=14","4.3")</f>
        <v>4.3</v>
      </c>
      <c r="G3397" s="4" t="str">
        <f>HYPERLINK("http://141.218.60.56/~jnz1568/getInfo.php?workbook=14_13.xlsx&amp;sheet=U0&amp;row=3397&amp;col=7&amp;number=2.43&amp;sourceID=14","2.43")</f>
        <v>2.43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HYPERLINK("http://141.218.60.56/~jnz1568/getInfo.php?workbook=14_13.xlsx&amp;sheet=U0&amp;row=3398&amp;col=6&amp;number=4.4&amp;sourceID=14","4.4")</f>
        <v>4.4</v>
      </c>
      <c r="G3398" s="4" t="str">
        <f>HYPERLINK("http://141.218.60.56/~jnz1568/getInfo.php?workbook=14_13.xlsx&amp;sheet=U0&amp;row=3398&amp;col=7&amp;number=2.44&amp;sourceID=14","2.44")</f>
        <v>2.44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HYPERLINK("http://141.218.60.56/~jnz1568/getInfo.php?workbook=14_13.xlsx&amp;sheet=U0&amp;row=3399&amp;col=6&amp;number=4.5&amp;sourceID=14","4.5")</f>
        <v>4.5</v>
      </c>
      <c r="G3399" s="4" t="str">
        <f>HYPERLINK("http://141.218.60.56/~jnz1568/getInfo.php?workbook=14_13.xlsx&amp;sheet=U0&amp;row=3399&amp;col=7&amp;number=2.44&amp;sourceID=14","2.44")</f>
        <v>2.44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HYPERLINK("http://141.218.60.56/~jnz1568/getInfo.php?workbook=14_13.xlsx&amp;sheet=U0&amp;row=3400&amp;col=6&amp;number=4.6&amp;sourceID=14","4.6")</f>
        <v>4.6</v>
      </c>
      <c r="G3400" s="4" t="str">
        <f>HYPERLINK("http://141.218.60.56/~jnz1568/getInfo.php?workbook=14_13.xlsx&amp;sheet=U0&amp;row=3400&amp;col=7&amp;number=2.44&amp;sourceID=14","2.44")</f>
        <v>2.44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HYPERLINK("http://141.218.60.56/~jnz1568/getInfo.php?workbook=14_13.xlsx&amp;sheet=U0&amp;row=3401&amp;col=6&amp;number=4.7&amp;sourceID=14","4.7")</f>
        <v>4.7</v>
      </c>
      <c r="G3401" s="4" t="str">
        <f>HYPERLINK("http://141.218.60.56/~jnz1568/getInfo.php?workbook=14_13.xlsx&amp;sheet=U0&amp;row=3401&amp;col=7&amp;number=2.42&amp;sourceID=14","2.42")</f>
        <v>2.42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HYPERLINK("http://141.218.60.56/~jnz1568/getInfo.php?workbook=14_13.xlsx&amp;sheet=U0&amp;row=3402&amp;col=6&amp;number=4.8&amp;sourceID=14","4.8")</f>
        <v>4.8</v>
      </c>
      <c r="G3402" s="4" t="str">
        <f>HYPERLINK("http://141.218.60.56/~jnz1568/getInfo.php?workbook=14_13.xlsx&amp;sheet=U0&amp;row=3402&amp;col=7&amp;number=2.4&amp;sourceID=14","2.4")</f>
        <v>2.4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HYPERLINK("http://141.218.60.56/~jnz1568/getInfo.php?workbook=14_13.xlsx&amp;sheet=U0&amp;row=3403&amp;col=6&amp;number=4.9&amp;sourceID=14","4.9")</f>
        <v>4.9</v>
      </c>
      <c r="G3403" s="4" t="str">
        <f>HYPERLINK("http://141.218.60.56/~jnz1568/getInfo.php?workbook=14_13.xlsx&amp;sheet=U0&amp;row=3403&amp;col=7&amp;number=2.37&amp;sourceID=14","2.37")</f>
        <v>2.37</v>
      </c>
    </row>
    <row r="3404" spans="1:7">
      <c r="A3404" s="3">
        <v>14</v>
      </c>
      <c r="B3404" s="3">
        <v>13</v>
      </c>
      <c r="C3404" s="3">
        <v>7</v>
      </c>
      <c r="D3404" s="3">
        <v>25</v>
      </c>
      <c r="E3404" s="3">
        <v>1</v>
      </c>
      <c r="F3404" s="4" t="str">
        <f>HYPERLINK("http://141.218.60.56/~jnz1568/getInfo.php?workbook=14_13.xlsx&amp;sheet=U0&amp;row=3404&amp;col=6&amp;number=3&amp;sourceID=14","3")</f>
        <v>3</v>
      </c>
      <c r="G3404" s="4" t="str">
        <f>HYPERLINK("http://141.218.60.56/~jnz1568/getInfo.php?workbook=14_13.xlsx&amp;sheet=U0&amp;row=3404&amp;col=7&amp;number=0.275&amp;sourceID=14","0.275")</f>
        <v>0.275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HYPERLINK("http://141.218.60.56/~jnz1568/getInfo.php?workbook=14_13.xlsx&amp;sheet=U0&amp;row=3405&amp;col=6&amp;number=3.1&amp;sourceID=14","3.1")</f>
        <v>3.1</v>
      </c>
      <c r="G3405" s="4" t="str">
        <f>HYPERLINK("http://141.218.60.56/~jnz1568/getInfo.php?workbook=14_13.xlsx&amp;sheet=U0&amp;row=3405&amp;col=7&amp;number=0.271&amp;sourceID=14","0.271")</f>
        <v>0.271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HYPERLINK("http://141.218.60.56/~jnz1568/getInfo.php?workbook=14_13.xlsx&amp;sheet=U0&amp;row=3406&amp;col=6&amp;number=3.2&amp;sourceID=14","3.2")</f>
        <v>3.2</v>
      </c>
      <c r="G3406" s="4" t="str">
        <f>HYPERLINK("http://141.218.60.56/~jnz1568/getInfo.php?workbook=14_13.xlsx&amp;sheet=U0&amp;row=3406&amp;col=7&amp;number=0.265&amp;sourceID=14","0.265")</f>
        <v>0.265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HYPERLINK("http://141.218.60.56/~jnz1568/getInfo.php?workbook=14_13.xlsx&amp;sheet=U0&amp;row=3407&amp;col=6&amp;number=3.3&amp;sourceID=14","3.3")</f>
        <v>3.3</v>
      </c>
      <c r="G3407" s="4" t="str">
        <f>HYPERLINK("http://141.218.60.56/~jnz1568/getInfo.php?workbook=14_13.xlsx&amp;sheet=U0&amp;row=3407&amp;col=7&amp;number=0.258&amp;sourceID=14","0.258")</f>
        <v>0.258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HYPERLINK("http://141.218.60.56/~jnz1568/getInfo.php?workbook=14_13.xlsx&amp;sheet=U0&amp;row=3408&amp;col=6&amp;number=3.4&amp;sourceID=14","3.4")</f>
        <v>3.4</v>
      </c>
      <c r="G3408" s="4" t="str">
        <f>HYPERLINK("http://141.218.60.56/~jnz1568/getInfo.php?workbook=14_13.xlsx&amp;sheet=U0&amp;row=3408&amp;col=7&amp;number=0.251&amp;sourceID=14","0.251")</f>
        <v>0.251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HYPERLINK("http://141.218.60.56/~jnz1568/getInfo.php?workbook=14_13.xlsx&amp;sheet=U0&amp;row=3409&amp;col=6&amp;number=3.5&amp;sourceID=14","3.5")</f>
        <v>3.5</v>
      </c>
      <c r="G3409" s="4" t="str">
        <f>HYPERLINK("http://141.218.60.56/~jnz1568/getInfo.php?workbook=14_13.xlsx&amp;sheet=U0&amp;row=3409&amp;col=7&amp;number=0.243&amp;sourceID=14","0.243")</f>
        <v>0.243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HYPERLINK("http://141.218.60.56/~jnz1568/getInfo.php?workbook=14_13.xlsx&amp;sheet=U0&amp;row=3410&amp;col=6&amp;number=3.6&amp;sourceID=14","3.6")</f>
        <v>3.6</v>
      </c>
      <c r="G3410" s="4" t="str">
        <f>HYPERLINK("http://141.218.60.56/~jnz1568/getInfo.php?workbook=14_13.xlsx&amp;sheet=U0&amp;row=3410&amp;col=7&amp;number=0.235&amp;sourceID=14","0.235")</f>
        <v>0.235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HYPERLINK("http://141.218.60.56/~jnz1568/getInfo.php?workbook=14_13.xlsx&amp;sheet=U0&amp;row=3411&amp;col=6&amp;number=3.7&amp;sourceID=14","3.7")</f>
        <v>3.7</v>
      </c>
      <c r="G3411" s="4" t="str">
        <f>HYPERLINK("http://141.218.60.56/~jnz1568/getInfo.php?workbook=14_13.xlsx&amp;sheet=U0&amp;row=3411&amp;col=7&amp;number=0.229&amp;sourceID=14","0.229")</f>
        <v>0.229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HYPERLINK("http://141.218.60.56/~jnz1568/getInfo.php?workbook=14_13.xlsx&amp;sheet=U0&amp;row=3412&amp;col=6&amp;number=3.8&amp;sourceID=14","3.8")</f>
        <v>3.8</v>
      </c>
      <c r="G3412" s="4" t="str">
        <f>HYPERLINK("http://141.218.60.56/~jnz1568/getInfo.php?workbook=14_13.xlsx&amp;sheet=U0&amp;row=3412&amp;col=7&amp;number=0.224&amp;sourceID=14","0.224")</f>
        <v>0.224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HYPERLINK("http://141.218.60.56/~jnz1568/getInfo.php?workbook=14_13.xlsx&amp;sheet=U0&amp;row=3413&amp;col=6&amp;number=3.9&amp;sourceID=14","3.9")</f>
        <v>3.9</v>
      </c>
      <c r="G3413" s="4" t="str">
        <f>HYPERLINK("http://141.218.60.56/~jnz1568/getInfo.php?workbook=14_13.xlsx&amp;sheet=U0&amp;row=3413&amp;col=7&amp;number=0.221&amp;sourceID=14","0.221")</f>
        <v>0.221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HYPERLINK("http://141.218.60.56/~jnz1568/getInfo.php?workbook=14_13.xlsx&amp;sheet=U0&amp;row=3414&amp;col=6&amp;number=4&amp;sourceID=14","4")</f>
        <v>4</v>
      </c>
      <c r="G3414" s="4" t="str">
        <f>HYPERLINK("http://141.218.60.56/~jnz1568/getInfo.php?workbook=14_13.xlsx&amp;sheet=U0&amp;row=3414&amp;col=7&amp;number=0.22&amp;sourceID=14","0.22")</f>
        <v>0.22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HYPERLINK("http://141.218.60.56/~jnz1568/getInfo.php?workbook=14_13.xlsx&amp;sheet=U0&amp;row=3415&amp;col=6&amp;number=4.1&amp;sourceID=14","4.1")</f>
        <v>4.1</v>
      </c>
      <c r="G3415" s="4" t="str">
        <f>HYPERLINK("http://141.218.60.56/~jnz1568/getInfo.php?workbook=14_13.xlsx&amp;sheet=U0&amp;row=3415&amp;col=7&amp;number=0.22&amp;sourceID=14","0.22")</f>
        <v>0.22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HYPERLINK("http://141.218.60.56/~jnz1568/getInfo.php?workbook=14_13.xlsx&amp;sheet=U0&amp;row=3416&amp;col=6&amp;number=4.2&amp;sourceID=14","4.2")</f>
        <v>4.2</v>
      </c>
      <c r="G3416" s="4" t="str">
        <f>HYPERLINK("http://141.218.60.56/~jnz1568/getInfo.php?workbook=14_13.xlsx&amp;sheet=U0&amp;row=3416&amp;col=7&amp;number=0.221&amp;sourceID=14","0.221")</f>
        <v>0.221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HYPERLINK("http://141.218.60.56/~jnz1568/getInfo.php?workbook=14_13.xlsx&amp;sheet=U0&amp;row=3417&amp;col=6&amp;number=4.3&amp;sourceID=14","4.3")</f>
        <v>4.3</v>
      </c>
      <c r="G3417" s="4" t="str">
        <f>HYPERLINK("http://141.218.60.56/~jnz1568/getInfo.php?workbook=14_13.xlsx&amp;sheet=U0&amp;row=3417&amp;col=7&amp;number=0.222&amp;sourceID=14","0.222")</f>
        <v>0.222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HYPERLINK("http://141.218.60.56/~jnz1568/getInfo.php?workbook=14_13.xlsx&amp;sheet=U0&amp;row=3418&amp;col=6&amp;number=4.4&amp;sourceID=14","4.4")</f>
        <v>4.4</v>
      </c>
      <c r="G3418" s="4" t="str">
        <f>HYPERLINK("http://141.218.60.56/~jnz1568/getInfo.php?workbook=14_13.xlsx&amp;sheet=U0&amp;row=3418&amp;col=7&amp;number=0.223&amp;sourceID=14","0.223")</f>
        <v>0.223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HYPERLINK("http://141.218.60.56/~jnz1568/getInfo.php?workbook=14_13.xlsx&amp;sheet=U0&amp;row=3419&amp;col=6&amp;number=4.5&amp;sourceID=14","4.5")</f>
        <v>4.5</v>
      </c>
      <c r="G3419" s="4" t="str">
        <f>HYPERLINK("http://141.218.60.56/~jnz1568/getInfo.php?workbook=14_13.xlsx&amp;sheet=U0&amp;row=3419&amp;col=7&amp;number=0.223&amp;sourceID=14","0.223")</f>
        <v>0.223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HYPERLINK("http://141.218.60.56/~jnz1568/getInfo.php?workbook=14_13.xlsx&amp;sheet=U0&amp;row=3420&amp;col=6&amp;number=4.6&amp;sourceID=14","4.6")</f>
        <v>4.6</v>
      </c>
      <c r="G3420" s="4" t="str">
        <f>HYPERLINK("http://141.218.60.56/~jnz1568/getInfo.php?workbook=14_13.xlsx&amp;sheet=U0&amp;row=3420&amp;col=7&amp;number=0.222&amp;sourceID=14","0.222")</f>
        <v>0.222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HYPERLINK("http://141.218.60.56/~jnz1568/getInfo.php?workbook=14_13.xlsx&amp;sheet=U0&amp;row=3421&amp;col=6&amp;number=4.7&amp;sourceID=14","4.7")</f>
        <v>4.7</v>
      </c>
      <c r="G3421" s="4" t="str">
        <f>HYPERLINK("http://141.218.60.56/~jnz1568/getInfo.php?workbook=14_13.xlsx&amp;sheet=U0&amp;row=3421&amp;col=7&amp;number=0.219&amp;sourceID=14","0.219")</f>
        <v>0.219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HYPERLINK("http://141.218.60.56/~jnz1568/getInfo.php?workbook=14_13.xlsx&amp;sheet=U0&amp;row=3422&amp;col=6&amp;number=4.8&amp;sourceID=14","4.8")</f>
        <v>4.8</v>
      </c>
      <c r="G3422" s="4" t="str">
        <f>HYPERLINK("http://141.218.60.56/~jnz1568/getInfo.php?workbook=14_13.xlsx&amp;sheet=U0&amp;row=3422&amp;col=7&amp;number=0.214&amp;sourceID=14","0.214")</f>
        <v>0.214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HYPERLINK("http://141.218.60.56/~jnz1568/getInfo.php?workbook=14_13.xlsx&amp;sheet=U0&amp;row=3423&amp;col=6&amp;number=4.9&amp;sourceID=14","4.9")</f>
        <v>4.9</v>
      </c>
      <c r="G3423" s="4" t="str">
        <f>HYPERLINK("http://141.218.60.56/~jnz1568/getInfo.php?workbook=14_13.xlsx&amp;sheet=U0&amp;row=3423&amp;col=7&amp;number=0.206&amp;sourceID=14","0.206")</f>
        <v>0.206</v>
      </c>
    </row>
    <row r="3424" spans="1:7">
      <c r="A3424" s="3">
        <v>14</v>
      </c>
      <c r="B3424" s="3">
        <v>13</v>
      </c>
      <c r="C3424" s="3">
        <v>7</v>
      </c>
      <c r="D3424" s="3">
        <v>26</v>
      </c>
      <c r="E3424" s="3">
        <v>1</v>
      </c>
      <c r="F3424" s="4" t="str">
        <f>HYPERLINK("http://141.218.60.56/~jnz1568/getInfo.php?workbook=14_13.xlsx&amp;sheet=U0&amp;row=3424&amp;col=6&amp;number=3&amp;sourceID=14","3")</f>
        <v>3</v>
      </c>
      <c r="G3424" s="4" t="str">
        <f>HYPERLINK("http://141.218.60.56/~jnz1568/getInfo.php?workbook=14_13.xlsx&amp;sheet=U0&amp;row=3424&amp;col=7&amp;number=0.36&amp;sourceID=14","0.36")</f>
        <v>0.36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HYPERLINK("http://141.218.60.56/~jnz1568/getInfo.php?workbook=14_13.xlsx&amp;sheet=U0&amp;row=3425&amp;col=6&amp;number=3.1&amp;sourceID=14","3.1")</f>
        <v>3.1</v>
      </c>
      <c r="G3425" s="4" t="str">
        <f>HYPERLINK("http://141.218.60.56/~jnz1568/getInfo.php?workbook=14_13.xlsx&amp;sheet=U0&amp;row=3425&amp;col=7&amp;number=0.359&amp;sourceID=14","0.359")</f>
        <v>0.359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HYPERLINK("http://141.218.60.56/~jnz1568/getInfo.php?workbook=14_13.xlsx&amp;sheet=U0&amp;row=3426&amp;col=6&amp;number=3.2&amp;sourceID=14","3.2")</f>
        <v>3.2</v>
      </c>
      <c r="G3426" s="4" t="str">
        <f>HYPERLINK("http://141.218.60.56/~jnz1568/getInfo.php?workbook=14_13.xlsx&amp;sheet=U0&amp;row=3426&amp;col=7&amp;number=0.359&amp;sourceID=14","0.359")</f>
        <v>0.359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HYPERLINK("http://141.218.60.56/~jnz1568/getInfo.php?workbook=14_13.xlsx&amp;sheet=U0&amp;row=3427&amp;col=6&amp;number=3.3&amp;sourceID=14","3.3")</f>
        <v>3.3</v>
      </c>
      <c r="G3427" s="4" t="str">
        <f>HYPERLINK("http://141.218.60.56/~jnz1568/getInfo.php?workbook=14_13.xlsx&amp;sheet=U0&amp;row=3427&amp;col=7&amp;number=0.358&amp;sourceID=14","0.358")</f>
        <v>0.358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HYPERLINK("http://141.218.60.56/~jnz1568/getInfo.php?workbook=14_13.xlsx&amp;sheet=U0&amp;row=3428&amp;col=6&amp;number=3.4&amp;sourceID=14","3.4")</f>
        <v>3.4</v>
      </c>
      <c r="G3428" s="4" t="str">
        <f>HYPERLINK("http://141.218.60.56/~jnz1568/getInfo.php?workbook=14_13.xlsx&amp;sheet=U0&amp;row=3428&amp;col=7&amp;number=0.358&amp;sourceID=14","0.358")</f>
        <v>0.358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HYPERLINK("http://141.218.60.56/~jnz1568/getInfo.php?workbook=14_13.xlsx&amp;sheet=U0&amp;row=3429&amp;col=6&amp;number=3.5&amp;sourceID=14","3.5")</f>
        <v>3.5</v>
      </c>
      <c r="G3429" s="4" t="str">
        <f>HYPERLINK("http://141.218.60.56/~jnz1568/getInfo.php?workbook=14_13.xlsx&amp;sheet=U0&amp;row=3429&amp;col=7&amp;number=0.358&amp;sourceID=14","0.358")</f>
        <v>0.358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HYPERLINK("http://141.218.60.56/~jnz1568/getInfo.php?workbook=14_13.xlsx&amp;sheet=U0&amp;row=3430&amp;col=6&amp;number=3.6&amp;sourceID=14","3.6")</f>
        <v>3.6</v>
      </c>
      <c r="G3430" s="4" t="str">
        <f>HYPERLINK("http://141.218.60.56/~jnz1568/getInfo.php?workbook=14_13.xlsx&amp;sheet=U0&amp;row=3430&amp;col=7&amp;number=0.358&amp;sourceID=14","0.358")</f>
        <v>0.358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HYPERLINK("http://141.218.60.56/~jnz1568/getInfo.php?workbook=14_13.xlsx&amp;sheet=U0&amp;row=3431&amp;col=6&amp;number=3.7&amp;sourceID=14","3.7")</f>
        <v>3.7</v>
      </c>
      <c r="G3431" s="4" t="str">
        <f>HYPERLINK("http://141.218.60.56/~jnz1568/getInfo.php?workbook=14_13.xlsx&amp;sheet=U0&amp;row=3431&amp;col=7&amp;number=0.36&amp;sourceID=14","0.36")</f>
        <v>0.36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HYPERLINK("http://141.218.60.56/~jnz1568/getInfo.php?workbook=14_13.xlsx&amp;sheet=U0&amp;row=3432&amp;col=6&amp;number=3.8&amp;sourceID=14","3.8")</f>
        <v>3.8</v>
      </c>
      <c r="G3432" s="4" t="str">
        <f>HYPERLINK("http://141.218.60.56/~jnz1568/getInfo.php?workbook=14_13.xlsx&amp;sheet=U0&amp;row=3432&amp;col=7&amp;number=0.363&amp;sourceID=14","0.363")</f>
        <v>0.363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HYPERLINK("http://141.218.60.56/~jnz1568/getInfo.php?workbook=14_13.xlsx&amp;sheet=U0&amp;row=3433&amp;col=6&amp;number=3.9&amp;sourceID=14","3.9")</f>
        <v>3.9</v>
      </c>
      <c r="G3433" s="4" t="str">
        <f>HYPERLINK("http://141.218.60.56/~jnz1568/getInfo.php?workbook=14_13.xlsx&amp;sheet=U0&amp;row=3433&amp;col=7&amp;number=0.367&amp;sourceID=14","0.367")</f>
        <v>0.367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HYPERLINK("http://141.218.60.56/~jnz1568/getInfo.php?workbook=14_13.xlsx&amp;sheet=U0&amp;row=3434&amp;col=6&amp;number=4&amp;sourceID=14","4")</f>
        <v>4</v>
      </c>
      <c r="G3434" s="4" t="str">
        <f>HYPERLINK("http://141.218.60.56/~jnz1568/getInfo.php?workbook=14_13.xlsx&amp;sheet=U0&amp;row=3434&amp;col=7&amp;number=0.372&amp;sourceID=14","0.372")</f>
        <v>0.372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HYPERLINK("http://141.218.60.56/~jnz1568/getInfo.php?workbook=14_13.xlsx&amp;sheet=U0&amp;row=3435&amp;col=6&amp;number=4.1&amp;sourceID=14","4.1")</f>
        <v>4.1</v>
      </c>
      <c r="G3435" s="4" t="str">
        <f>HYPERLINK("http://141.218.60.56/~jnz1568/getInfo.php?workbook=14_13.xlsx&amp;sheet=U0&amp;row=3435&amp;col=7&amp;number=0.377&amp;sourceID=14","0.377")</f>
        <v>0.377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HYPERLINK("http://141.218.60.56/~jnz1568/getInfo.php?workbook=14_13.xlsx&amp;sheet=U0&amp;row=3436&amp;col=6&amp;number=4.2&amp;sourceID=14","4.2")</f>
        <v>4.2</v>
      </c>
      <c r="G3436" s="4" t="str">
        <f>HYPERLINK("http://141.218.60.56/~jnz1568/getInfo.php?workbook=14_13.xlsx&amp;sheet=U0&amp;row=3436&amp;col=7&amp;number=0.382&amp;sourceID=14","0.382")</f>
        <v>0.382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HYPERLINK("http://141.218.60.56/~jnz1568/getInfo.php?workbook=14_13.xlsx&amp;sheet=U0&amp;row=3437&amp;col=6&amp;number=4.3&amp;sourceID=14","4.3")</f>
        <v>4.3</v>
      </c>
      <c r="G3437" s="4" t="str">
        <f>HYPERLINK("http://141.218.60.56/~jnz1568/getInfo.php?workbook=14_13.xlsx&amp;sheet=U0&amp;row=3437&amp;col=7&amp;number=0.384&amp;sourceID=14","0.384")</f>
        <v>0.384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HYPERLINK("http://141.218.60.56/~jnz1568/getInfo.php?workbook=14_13.xlsx&amp;sheet=U0&amp;row=3438&amp;col=6&amp;number=4.4&amp;sourceID=14","4.4")</f>
        <v>4.4</v>
      </c>
      <c r="G3438" s="4" t="str">
        <f>HYPERLINK("http://141.218.60.56/~jnz1568/getInfo.php?workbook=14_13.xlsx&amp;sheet=U0&amp;row=3438&amp;col=7&amp;number=0.384&amp;sourceID=14","0.384")</f>
        <v>0.384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HYPERLINK("http://141.218.60.56/~jnz1568/getInfo.php?workbook=14_13.xlsx&amp;sheet=U0&amp;row=3439&amp;col=6&amp;number=4.5&amp;sourceID=14","4.5")</f>
        <v>4.5</v>
      </c>
      <c r="G3439" s="4" t="str">
        <f>HYPERLINK("http://141.218.60.56/~jnz1568/getInfo.php?workbook=14_13.xlsx&amp;sheet=U0&amp;row=3439&amp;col=7&amp;number=0.379&amp;sourceID=14","0.379")</f>
        <v>0.379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HYPERLINK("http://141.218.60.56/~jnz1568/getInfo.php?workbook=14_13.xlsx&amp;sheet=U0&amp;row=3440&amp;col=6&amp;number=4.6&amp;sourceID=14","4.6")</f>
        <v>4.6</v>
      </c>
      <c r="G3440" s="4" t="str">
        <f>HYPERLINK("http://141.218.60.56/~jnz1568/getInfo.php?workbook=14_13.xlsx&amp;sheet=U0&amp;row=3440&amp;col=7&amp;number=0.371&amp;sourceID=14","0.371")</f>
        <v>0.371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HYPERLINK("http://141.218.60.56/~jnz1568/getInfo.php?workbook=14_13.xlsx&amp;sheet=U0&amp;row=3441&amp;col=6&amp;number=4.7&amp;sourceID=14","4.7")</f>
        <v>4.7</v>
      </c>
      <c r="G3441" s="4" t="str">
        <f>HYPERLINK("http://141.218.60.56/~jnz1568/getInfo.php?workbook=14_13.xlsx&amp;sheet=U0&amp;row=3441&amp;col=7&amp;number=0.359&amp;sourceID=14","0.359")</f>
        <v>0.359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HYPERLINK("http://141.218.60.56/~jnz1568/getInfo.php?workbook=14_13.xlsx&amp;sheet=U0&amp;row=3442&amp;col=6&amp;number=4.8&amp;sourceID=14","4.8")</f>
        <v>4.8</v>
      </c>
      <c r="G3442" s="4" t="str">
        <f>HYPERLINK("http://141.218.60.56/~jnz1568/getInfo.php?workbook=14_13.xlsx&amp;sheet=U0&amp;row=3442&amp;col=7&amp;number=0.343&amp;sourceID=14","0.343")</f>
        <v>0.343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HYPERLINK("http://141.218.60.56/~jnz1568/getInfo.php?workbook=14_13.xlsx&amp;sheet=U0&amp;row=3443&amp;col=6&amp;number=4.9&amp;sourceID=14","4.9")</f>
        <v>4.9</v>
      </c>
      <c r="G3443" s="4" t="str">
        <f>HYPERLINK("http://141.218.60.56/~jnz1568/getInfo.php?workbook=14_13.xlsx&amp;sheet=U0&amp;row=3443&amp;col=7&amp;number=0.324&amp;sourceID=14","0.324")</f>
        <v>0.324</v>
      </c>
    </row>
    <row r="3444" spans="1:7">
      <c r="A3444" s="3">
        <v>14</v>
      </c>
      <c r="B3444" s="3">
        <v>13</v>
      </c>
      <c r="C3444" s="3">
        <v>7</v>
      </c>
      <c r="D3444" s="3">
        <v>27</v>
      </c>
      <c r="E3444" s="3">
        <v>1</v>
      </c>
      <c r="F3444" s="4" t="str">
        <f>HYPERLINK("http://141.218.60.56/~jnz1568/getInfo.php?workbook=14_13.xlsx&amp;sheet=U0&amp;row=3444&amp;col=6&amp;number=3&amp;sourceID=14","3")</f>
        <v>3</v>
      </c>
      <c r="G3444" s="4" t="str">
        <f>HYPERLINK("http://141.218.60.56/~jnz1568/getInfo.php?workbook=14_13.xlsx&amp;sheet=U0&amp;row=3444&amp;col=7&amp;number=0.887&amp;sourceID=14","0.887")</f>
        <v>0.887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HYPERLINK("http://141.218.60.56/~jnz1568/getInfo.php?workbook=14_13.xlsx&amp;sheet=U0&amp;row=3445&amp;col=6&amp;number=3.1&amp;sourceID=14","3.1")</f>
        <v>3.1</v>
      </c>
      <c r="G3445" s="4" t="str">
        <f>HYPERLINK("http://141.218.60.56/~jnz1568/getInfo.php?workbook=14_13.xlsx&amp;sheet=U0&amp;row=3445&amp;col=7&amp;number=0.886&amp;sourceID=14","0.886")</f>
        <v>0.886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HYPERLINK("http://141.218.60.56/~jnz1568/getInfo.php?workbook=14_13.xlsx&amp;sheet=U0&amp;row=3446&amp;col=6&amp;number=3.2&amp;sourceID=14","3.2")</f>
        <v>3.2</v>
      </c>
      <c r="G3446" s="4" t="str">
        <f>HYPERLINK("http://141.218.60.56/~jnz1568/getInfo.php?workbook=14_13.xlsx&amp;sheet=U0&amp;row=3446&amp;col=7&amp;number=0.884&amp;sourceID=14","0.884")</f>
        <v>0.884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HYPERLINK("http://141.218.60.56/~jnz1568/getInfo.php?workbook=14_13.xlsx&amp;sheet=U0&amp;row=3447&amp;col=6&amp;number=3.3&amp;sourceID=14","3.3")</f>
        <v>3.3</v>
      </c>
      <c r="G3447" s="4" t="str">
        <f>HYPERLINK("http://141.218.60.56/~jnz1568/getInfo.php?workbook=14_13.xlsx&amp;sheet=U0&amp;row=3447&amp;col=7&amp;number=0.883&amp;sourceID=14","0.883")</f>
        <v>0.883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HYPERLINK("http://141.218.60.56/~jnz1568/getInfo.php?workbook=14_13.xlsx&amp;sheet=U0&amp;row=3448&amp;col=6&amp;number=3.4&amp;sourceID=14","3.4")</f>
        <v>3.4</v>
      </c>
      <c r="G3448" s="4" t="str">
        <f>HYPERLINK("http://141.218.60.56/~jnz1568/getInfo.php?workbook=14_13.xlsx&amp;sheet=U0&amp;row=3448&amp;col=7&amp;number=0.881&amp;sourceID=14","0.881")</f>
        <v>0.881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HYPERLINK("http://141.218.60.56/~jnz1568/getInfo.php?workbook=14_13.xlsx&amp;sheet=U0&amp;row=3449&amp;col=6&amp;number=3.5&amp;sourceID=14","3.5")</f>
        <v>3.5</v>
      </c>
      <c r="G3449" s="4" t="str">
        <f>HYPERLINK("http://141.218.60.56/~jnz1568/getInfo.php?workbook=14_13.xlsx&amp;sheet=U0&amp;row=3449&amp;col=7&amp;number=0.879&amp;sourceID=14","0.879")</f>
        <v>0.879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HYPERLINK("http://141.218.60.56/~jnz1568/getInfo.php?workbook=14_13.xlsx&amp;sheet=U0&amp;row=3450&amp;col=6&amp;number=3.6&amp;sourceID=14","3.6")</f>
        <v>3.6</v>
      </c>
      <c r="G3450" s="4" t="str">
        <f>HYPERLINK("http://141.218.60.56/~jnz1568/getInfo.php?workbook=14_13.xlsx&amp;sheet=U0&amp;row=3450&amp;col=7&amp;number=0.877&amp;sourceID=14","0.877")</f>
        <v>0.877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HYPERLINK("http://141.218.60.56/~jnz1568/getInfo.php?workbook=14_13.xlsx&amp;sheet=U0&amp;row=3451&amp;col=6&amp;number=3.7&amp;sourceID=14","3.7")</f>
        <v>3.7</v>
      </c>
      <c r="G3451" s="4" t="str">
        <f>HYPERLINK("http://141.218.60.56/~jnz1568/getInfo.php?workbook=14_13.xlsx&amp;sheet=U0&amp;row=3451&amp;col=7&amp;number=0.876&amp;sourceID=14","0.876")</f>
        <v>0.876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HYPERLINK("http://141.218.60.56/~jnz1568/getInfo.php?workbook=14_13.xlsx&amp;sheet=U0&amp;row=3452&amp;col=6&amp;number=3.8&amp;sourceID=14","3.8")</f>
        <v>3.8</v>
      </c>
      <c r="G3452" s="4" t="str">
        <f>HYPERLINK("http://141.218.60.56/~jnz1568/getInfo.php?workbook=14_13.xlsx&amp;sheet=U0&amp;row=3452&amp;col=7&amp;number=0.875&amp;sourceID=14","0.875")</f>
        <v>0.875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HYPERLINK("http://141.218.60.56/~jnz1568/getInfo.php?workbook=14_13.xlsx&amp;sheet=U0&amp;row=3453&amp;col=6&amp;number=3.9&amp;sourceID=14","3.9")</f>
        <v>3.9</v>
      </c>
      <c r="G3453" s="4" t="str">
        <f>HYPERLINK("http://141.218.60.56/~jnz1568/getInfo.php?workbook=14_13.xlsx&amp;sheet=U0&amp;row=3453&amp;col=7&amp;number=0.874&amp;sourceID=14","0.874")</f>
        <v>0.874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HYPERLINK("http://141.218.60.56/~jnz1568/getInfo.php?workbook=14_13.xlsx&amp;sheet=U0&amp;row=3454&amp;col=6&amp;number=4&amp;sourceID=14","4")</f>
        <v>4</v>
      </c>
      <c r="G3454" s="4" t="str">
        <f>HYPERLINK("http://141.218.60.56/~jnz1568/getInfo.php?workbook=14_13.xlsx&amp;sheet=U0&amp;row=3454&amp;col=7&amp;number=0.873&amp;sourceID=14","0.873")</f>
        <v>0.873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HYPERLINK("http://141.218.60.56/~jnz1568/getInfo.php?workbook=14_13.xlsx&amp;sheet=U0&amp;row=3455&amp;col=6&amp;number=4.1&amp;sourceID=14","4.1")</f>
        <v>4.1</v>
      </c>
      <c r="G3455" s="4" t="str">
        <f>HYPERLINK("http://141.218.60.56/~jnz1568/getInfo.php?workbook=14_13.xlsx&amp;sheet=U0&amp;row=3455&amp;col=7&amp;number=0.872&amp;sourceID=14","0.872")</f>
        <v>0.872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HYPERLINK("http://141.218.60.56/~jnz1568/getInfo.php?workbook=14_13.xlsx&amp;sheet=U0&amp;row=3456&amp;col=6&amp;number=4.2&amp;sourceID=14","4.2")</f>
        <v>4.2</v>
      </c>
      <c r="G3456" s="4" t="str">
        <f>HYPERLINK("http://141.218.60.56/~jnz1568/getInfo.php?workbook=14_13.xlsx&amp;sheet=U0&amp;row=3456&amp;col=7&amp;number=0.871&amp;sourceID=14","0.871")</f>
        <v>0.871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HYPERLINK("http://141.218.60.56/~jnz1568/getInfo.php?workbook=14_13.xlsx&amp;sheet=U0&amp;row=3457&amp;col=6&amp;number=4.3&amp;sourceID=14","4.3")</f>
        <v>4.3</v>
      </c>
      <c r="G3457" s="4" t="str">
        <f>HYPERLINK("http://141.218.60.56/~jnz1568/getInfo.php?workbook=14_13.xlsx&amp;sheet=U0&amp;row=3457&amp;col=7&amp;number=0.871&amp;sourceID=14","0.871")</f>
        <v>0.871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HYPERLINK("http://141.218.60.56/~jnz1568/getInfo.php?workbook=14_13.xlsx&amp;sheet=U0&amp;row=3458&amp;col=6&amp;number=4.4&amp;sourceID=14","4.4")</f>
        <v>4.4</v>
      </c>
      <c r="G3458" s="4" t="str">
        <f>HYPERLINK("http://141.218.60.56/~jnz1568/getInfo.php?workbook=14_13.xlsx&amp;sheet=U0&amp;row=3458&amp;col=7&amp;number=0.87&amp;sourceID=14","0.87")</f>
        <v>0.87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HYPERLINK("http://141.218.60.56/~jnz1568/getInfo.php?workbook=14_13.xlsx&amp;sheet=U0&amp;row=3459&amp;col=6&amp;number=4.5&amp;sourceID=14","4.5")</f>
        <v>4.5</v>
      </c>
      <c r="G3459" s="4" t="str">
        <f>HYPERLINK("http://141.218.60.56/~jnz1568/getInfo.php?workbook=14_13.xlsx&amp;sheet=U0&amp;row=3459&amp;col=7&amp;number=0.869&amp;sourceID=14","0.869")</f>
        <v>0.869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HYPERLINK("http://141.218.60.56/~jnz1568/getInfo.php?workbook=14_13.xlsx&amp;sheet=U0&amp;row=3460&amp;col=6&amp;number=4.6&amp;sourceID=14","4.6")</f>
        <v>4.6</v>
      </c>
      <c r="G3460" s="4" t="str">
        <f>HYPERLINK("http://141.218.60.56/~jnz1568/getInfo.php?workbook=14_13.xlsx&amp;sheet=U0&amp;row=3460&amp;col=7&amp;number=0.868&amp;sourceID=14","0.868")</f>
        <v>0.868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HYPERLINK("http://141.218.60.56/~jnz1568/getInfo.php?workbook=14_13.xlsx&amp;sheet=U0&amp;row=3461&amp;col=6&amp;number=4.7&amp;sourceID=14","4.7")</f>
        <v>4.7</v>
      </c>
      <c r="G3461" s="4" t="str">
        <f>HYPERLINK("http://141.218.60.56/~jnz1568/getInfo.php?workbook=14_13.xlsx&amp;sheet=U0&amp;row=3461&amp;col=7&amp;number=0.866&amp;sourceID=14","0.866")</f>
        <v>0.866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HYPERLINK("http://141.218.60.56/~jnz1568/getInfo.php?workbook=14_13.xlsx&amp;sheet=U0&amp;row=3462&amp;col=6&amp;number=4.8&amp;sourceID=14","4.8")</f>
        <v>4.8</v>
      </c>
      <c r="G3462" s="4" t="str">
        <f>HYPERLINK("http://141.218.60.56/~jnz1568/getInfo.php?workbook=14_13.xlsx&amp;sheet=U0&amp;row=3462&amp;col=7&amp;number=0.864&amp;sourceID=14","0.864")</f>
        <v>0.864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HYPERLINK("http://141.218.60.56/~jnz1568/getInfo.php?workbook=14_13.xlsx&amp;sheet=U0&amp;row=3463&amp;col=6&amp;number=4.9&amp;sourceID=14","4.9")</f>
        <v>4.9</v>
      </c>
      <c r="G3463" s="4" t="str">
        <f>HYPERLINK("http://141.218.60.56/~jnz1568/getInfo.php?workbook=14_13.xlsx&amp;sheet=U0&amp;row=3463&amp;col=7&amp;number=0.861&amp;sourceID=14","0.861")</f>
        <v>0.861</v>
      </c>
    </row>
    <row r="3464" spans="1:7">
      <c r="A3464" s="3">
        <v>14</v>
      </c>
      <c r="B3464" s="3">
        <v>13</v>
      </c>
      <c r="C3464" s="3">
        <v>7</v>
      </c>
      <c r="D3464" s="3">
        <v>28</v>
      </c>
      <c r="E3464" s="3">
        <v>1</v>
      </c>
      <c r="F3464" s="4" t="str">
        <f>HYPERLINK("http://141.218.60.56/~jnz1568/getInfo.php?workbook=14_13.xlsx&amp;sheet=U0&amp;row=3464&amp;col=6&amp;number=3&amp;sourceID=14","3")</f>
        <v>3</v>
      </c>
      <c r="G3464" s="4" t="str">
        <f>HYPERLINK("http://141.218.60.56/~jnz1568/getInfo.php?workbook=14_13.xlsx&amp;sheet=U0&amp;row=3464&amp;col=7&amp;number=0.116&amp;sourceID=14","0.116")</f>
        <v>0.116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HYPERLINK("http://141.218.60.56/~jnz1568/getInfo.php?workbook=14_13.xlsx&amp;sheet=U0&amp;row=3465&amp;col=6&amp;number=3.1&amp;sourceID=14","3.1")</f>
        <v>3.1</v>
      </c>
      <c r="G3465" s="4" t="str">
        <f>HYPERLINK("http://141.218.60.56/~jnz1568/getInfo.php?workbook=14_13.xlsx&amp;sheet=U0&amp;row=3465&amp;col=7&amp;number=0.116&amp;sourceID=14","0.116")</f>
        <v>0.116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HYPERLINK("http://141.218.60.56/~jnz1568/getInfo.php?workbook=14_13.xlsx&amp;sheet=U0&amp;row=3466&amp;col=6&amp;number=3.2&amp;sourceID=14","3.2")</f>
        <v>3.2</v>
      </c>
      <c r="G3466" s="4" t="str">
        <f>HYPERLINK("http://141.218.60.56/~jnz1568/getInfo.php?workbook=14_13.xlsx&amp;sheet=U0&amp;row=3466&amp;col=7&amp;number=0.115&amp;sourceID=14","0.115")</f>
        <v>0.115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HYPERLINK("http://141.218.60.56/~jnz1568/getInfo.php?workbook=14_13.xlsx&amp;sheet=U0&amp;row=3467&amp;col=6&amp;number=3.3&amp;sourceID=14","3.3")</f>
        <v>3.3</v>
      </c>
      <c r="G3467" s="4" t="str">
        <f>HYPERLINK("http://141.218.60.56/~jnz1568/getInfo.php?workbook=14_13.xlsx&amp;sheet=U0&amp;row=3467&amp;col=7&amp;number=0.114&amp;sourceID=14","0.114")</f>
        <v>0.114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HYPERLINK("http://141.218.60.56/~jnz1568/getInfo.php?workbook=14_13.xlsx&amp;sheet=U0&amp;row=3468&amp;col=6&amp;number=3.4&amp;sourceID=14","3.4")</f>
        <v>3.4</v>
      </c>
      <c r="G3468" s="4" t="str">
        <f>HYPERLINK("http://141.218.60.56/~jnz1568/getInfo.php?workbook=14_13.xlsx&amp;sheet=U0&amp;row=3468&amp;col=7&amp;number=0.113&amp;sourceID=14","0.113")</f>
        <v>0.113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HYPERLINK("http://141.218.60.56/~jnz1568/getInfo.php?workbook=14_13.xlsx&amp;sheet=U0&amp;row=3469&amp;col=6&amp;number=3.5&amp;sourceID=14","3.5")</f>
        <v>3.5</v>
      </c>
      <c r="G3469" s="4" t="str">
        <f>HYPERLINK("http://141.218.60.56/~jnz1568/getInfo.php?workbook=14_13.xlsx&amp;sheet=U0&amp;row=3469&amp;col=7&amp;number=0.112&amp;sourceID=14","0.112")</f>
        <v>0.112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HYPERLINK("http://141.218.60.56/~jnz1568/getInfo.php?workbook=14_13.xlsx&amp;sheet=U0&amp;row=3470&amp;col=6&amp;number=3.6&amp;sourceID=14","3.6")</f>
        <v>3.6</v>
      </c>
      <c r="G3470" s="4" t="str">
        <f>HYPERLINK("http://141.218.60.56/~jnz1568/getInfo.php?workbook=14_13.xlsx&amp;sheet=U0&amp;row=3470&amp;col=7&amp;number=0.111&amp;sourceID=14","0.111")</f>
        <v>0.111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HYPERLINK("http://141.218.60.56/~jnz1568/getInfo.php?workbook=14_13.xlsx&amp;sheet=U0&amp;row=3471&amp;col=6&amp;number=3.7&amp;sourceID=14","3.7")</f>
        <v>3.7</v>
      </c>
      <c r="G3471" s="4" t="str">
        <f>HYPERLINK("http://141.218.60.56/~jnz1568/getInfo.php?workbook=14_13.xlsx&amp;sheet=U0&amp;row=3471&amp;col=7&amp;number=0.11&amp;sourceID=14","0.11")</f>
        <v>0.11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HYPERLINK("http://141.218.60.56/~jnz1568/getInfo.php?workbook=14_13.xlsx&amp;sheet=U0&amp;row=3472&amp;col=6&amp;number=3.8&amp;sourceID=14","3.8")</f>
        <v>3.8</v>
      </c>
      <c r="G3472" s="4" t="str">
        <f>HYPERLINK("http://141.218.60.56/~jnz1568/getInfo.php?workbook=14_13.xlsx&amp;sheet=U0&amp;row=3472&amp;col=7&amp;number=0.11&amp;sourceID=14","0.11")</f>
        <v>0.11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HYPERLINK("http://141.218.60.56/~jnz1568/getInfo.php?workbook=14_13.xlsx&amp;sheet=U0&amp;row=3473&amp;col=6&amp;number=3.9&amp;sourceID=14","3.9")</f>
        <v>3.9</v>
      </c>
      <c r="G3473" s="4" t="str">
        <f>HYPERLINK("http://141.218.60.56/~jnz1568/getInfo.php?workbook=14_13.xlsx&amp;sheet=U0&amp;row=3473&amp;col=7&amp;number=0.11&amp;sourceID=14","0.11")</f>
        <v>0.11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HYPERLINK("http://141.218.60.56/~jnz1568/getInfo.php?workbook=14_13.xlsx&amp;sheet=U0&amp;row=3474&amp;col=6&amp;number=4&amp;sourceID=14","4")</f>
        <v>4</v>
      </c>
      <c r="G3474" s="4" t="str">
        <f>HYPERLINK("http://141.218.60.56/~jnz1568/getInfo.php?workbook=14_13.xlsx&amp;sheet=U0&amp;row=3474&amp;col=7&amp;number=0.109&amp;sourceID=14","0.109")</f>
        <v>0.109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HYPERLINK("http://141.218.60.56/~jnz1568/getInfo.php?workbook=14_13.xlsx&amp;sheet=U0&amp;row=3475&amp;col=6&amp;number=4.1&amp;sourceID=14","4.1")</f>
        <v>4.1</v>
      </c>
      <c r="G3475" s="4" t="str">
        <f>HYPERLINK("http://141.218.60.56/~jnz1568/getInfo.php?workbook=14_13.xlsx&amp;sheet=U0&amp;row=3475&amp;col=7&amp;number=0.108&amp;sourceID=14","0.108")</f>
        <v>0.108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HYPERLINK("http://141.218.60.56/~jnz1568/getInfo.php?workbook=14_13.xlsx&amp;sheet=U0&amp;row=3476&amp;col=6&amp;number=4.2&amp;sourceID=14","4.2")</f>
        <v>4.2</v>
      </c>
      <c r="G3476" s="4" t="str">
        <f>HYPERLINK("http://141.218.60.56/~jnz1568/getInfo.php?workbook=14_13.xlsx&amp;sheet=U0&amp;row=3476&amp;col=7&amp;number=0.107&amp;sourceID=14","0.107")</f>
        <v>0.107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HYPERLINK("http://141.218.60.56/~jnz1568/getInfo.php?workbook=14_13.xlsx&amp;sheet=U0&amp;row=3477&amp;col=6&amp;number=4.3&amp;sourceID=14","4.3")</f>
        <v>4.3</v>
      </c>
      <c r="G3477" s="4" t="str">
        <f>HYPERLINK("http://141.218.60.56/~jnz1568/getInfo.php?workbook=14_13.xlsx&amp;sheet=U0&amp;row=3477&amp;col=7&amp;number=0.106&amp;sourceID=14","0.106")</f>
        <v>0.106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HYPERLINK("http://141.218.60.56/~jnz1568/getInfo.php?workbook=14_13.xlsx&amp;sheet=U0&amp;row=3478&amp;col=6&amp;number=4.4&amp;sourceID=14","4.4")</f>
        <v>4.4</v>
      </c>
      <c r="G3478" s="4" t="str">
        <f>HYPERLINK("http://141.218.60.56/~jnz1568/getInfo.php?workbook=14_13.xlsx&amp;sheet=U0&amp;row=3478&amp;col=7&amp;number=0.105&amp;sourceID=14","0.105")</f>
        <v>0.105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HYPERLINK("http://141.218.60.56/~jnz1568/getInfo.php?workbook=14_13.xlsx&amp;sheet=U0&amp;row=3479&amp;col=6&amp;number=4.5&amp;sourceID=14","4.5")</f>
        <v>4.5</v>
      </c>
      <c r="G3479" s="4" t="str">
        <f>HYPERLINK("http://141.218.60.56/~jnz1568/getInfo.php?workbook=14_13.xlsx&amp;sheet=U0&amp;row=3479&amp;col=7&amp;number=0.104&amp;sourceID=14","0.104")</f>
        <v>0.104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HYPERLINK("http://141.218.60.56/~jnz1568/getInfo.php?workbook=14_13.xlsx&amp;sheet=U0&amp;row=3480&amp;col=6&amp;number=4.6&amp;sourceID=14","4.6")</f>
        <v>4.6</v>
      </c>
      <c r="G3480" s="4" t="str">
        <f>HYPERLINK("http://141.218.60.56/~jnz1568/getInfo.php?workbook=14_13.xlsx&amp;sheet=U0&amp;row=3480&amp;col=7&amp;number=0.103&amp;sourceID=14","0.103")</f>
        <v>0.103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HYPERLINK("http://141.218.60.56/~jnz1568/getInfo.php?workbook=14_13.xlsx&amp;sheet=U0&amp;row=3481&amp;col=6&amp;number=4.7&amp;sourceID=14","4.7")</f>
        <v>4.7</v>
      </c>
      <c r="G3481" s="4" t="str">
        <f>HYPERLINK("http://141.218.60.56/~jnz1568/getInfo.php?workbook=14_13.xlsx&amp;sheet=U0&amp;row=3481&amp;col=7&amp;number=0.102&amp;sourceID=14","0.102")</f>
        <v>0.102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HYPERLINK("http://141.218.60.56/~jnz1568/getInfo.php?workbook=14_13.xlsx&amp;sheet=U0&amp;row=3482&amp;col=6&amp;number=4.8&amp;sourceID=14","4.8")</f>
        <v>4.8</v>
      </c>
      <c r="G3482" s="4" t="str">
        <f>HYPERLINK("http://141.218.60.56/~jnz1568/getInfo.php?workbook=14_13.xlsx&amp;sheet=U0&amp;row=3482&amp;col=7&amp;number=0.0994&amp;sourceID=14","0.0994")</f>
        <v>0.0994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HYPERLINK("http://141.218.60.56/~jnz1568/getInfo.php?workbook=14_13.xlsx&amp;sheet=U0&amp;row=3483&amp;col=6&amp;number=4.9&amp;sourceID=14","4.9")</f>
        <v>4.9</v>
      </c>
      <c r="G3483" s="4" t="str">
        <f>HYPERLINK("http://141.218.60.56/~jnz1568/getInfo.php?workbook=14_13.xlsx&amp;sheet=U0&amp;row=3483&amp;col=7&amp;number=0.0964&amp;sourceID=14","0.0964")</f>
        <v>0.0964</v>
      </c>
    </row>
    <row r="3484" spans="1:7">
      <c r="A3484" s="3">
        <v>14</v>
      </c>
      <c r="B3484" s="3">
        <v>13</v>
      </c>
      <c r="C3484" s="3">
        <v>7</v>
      </c>
      <c r="D3484" s="3">
        <v>29</v>
      </c>
      <c r="E3484" s="3">
        <v>1</v>
      </c>
      <c r="F3484" s="4" t="str">
        <f>HYPERLINK("http://141.218.60.56/~jnz1568/getInfo.php?workbook=14_13.xlsx&amp;sheet=U0&amp;row=3484&amp;col=6&amp;number=3&amp;sourceID=14","3")</f>
        <v>3</v>
      </c>
      <c r="G3484" s="4" t="str">
        <f>HYPERLINK("http://141.218.60.56/~jnz1568/getInfo.php?workbook=14_13.xlsx&amp;sheet=U0&amp;row=3484&amp;col=7&amp;number=0.277&amp;sourceID=14","0.277")</f>
        <v>0.277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HYPERLINK("http://141.218.60.56/~jnz1568/getInfo.php?workbook=14_13.xlsx&amp;sheet=U0&amp;row=3485&amp;col=6&amp;number=3.1&amp;sourceID=14","3.1")</f>
        <v>3.1</v>
      </c>
      <c r="G3485" s="4" t="str">
        <f>HYPERLINK("http://141.218.60.56/~jnz1568/getInfo.php?workbook=14_13.xlsx&amp;sheet=U0&amp;row=3485&amp;col=7&amp;number=0.281&amp;sourceID=14","0.281")</f>
        <v>0.281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HYPERLINK("http://141.218.60.56/~jnz1568/getInfo.php?workbook=14_13.xlsx&amp;sheet=U0&amp;row=3486&amp;col=6&amp;number=3.2&amp;sourceID=14","3.2")</f>
        <v>3.2</v>
      </c>
      <c r="G3486" s="4" t="str">
        <f>HYPERLINK("http://141.218.60.56/~jnz1568/getInfo.php?workbook=14_13.xlsx&amp;sheet=U0&amp;row=3486&amp;col=7&amp;number=0.285&amp;sourceID=14","0.285")</f>
        <v>0.285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HYPERLINK("http://141.218.60.56/~jnz1568/getInfo.php?workbook=14_13.xlsx&amp;sheet=U0&amp;row=3487&amp;col=6&amp;number=3.3&amp;sourceID=14","3.3")</f>
        <v>3.3</v>
      </c>
      <c r="G3487" s="4" t="str">
        <f>HYPERLINK("http://141.218.60.56/~jnz1568/getInfo.php?workbook=14_13.xlsx&amp;sheet=U0&amp;row=3487&amp;col=7&amp;number=0.291&amp;sourceID=14","0.291")</f>
        <v>0.291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HYPERLINK("http://141.218.60.56/~jnz1568/getInfo.php?workbook=14_13.xlsx&amp;sheet=U0&amp;row=3488&amp;col=6&amp;number=3.4&amp;sourceID=14","3.4")</f>
        <v>3.4</v>
      </c>
      <c r="G3488" s="4" t="str">
        <f>HYPERLINK("http://141.218.60.56/~jnz1568/getInfo.php?workbook=14_13.xlsx&amp;sheet=U0&amp;row=3488&amp;col=7&amp;number=0.298&amp;sourceID=14","0.298")</f>
        <v>0.298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HYPERLINK("http://141.218.60.56/~jnz1568/getInfo.php?workbook=14_13.xlsx&amp;sheet=U0&amp;row=3489&amp;col=6&amp;number=3.5&amp;sourceID=14","3.5")</f>
        <v>3.5</v>
      </c>
      <c r="G3489" s="4" t="str">
        <f>HYPERLINK("http://141.218.60.56/~jnz1568/getInfo.php?workbook=14_13.xlsx&amp;sheet=U0&amp;row=3489&amp;col=7&amp;number=0.307&amp;sourceID=14","0.307")</f>
        <v>0.307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HYPERLINK("http://141.218.60.56/~jnz1568/getInfo.php?workbook=14_13.xlsx&amp;sheet=U0&amp;row=3490&amp;col=6&amp;number=3.6&amp;sourceID=14","3.6")</f>
        <v>3.6</v>
      </c>
      <c r="G3490" s="4" t="str">
        <f>HYPERLINK("http://141.218.60.56/~jnz1568/getInfo.php?workbook=14_13.xlsx&amp;sheet=U0&amp;row=3490&amp;col=7&amp;number=0.318&amp;sourceID=14","0.318")</f>
        <v>0.318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HYPERLINK("http://141.218.60.56/~jnz1568/getInfo.php?workbook=14_13.xlsx&amp;sheet=U0&amp;row=3491&amp;col=6&amp;number=3.7&amp;sourceID=14","3.7")</f>
        <v>3.7</v>
      </c>
      <c r="G3491" s="4" t="str">
        <f>HYPERLINK("http://141.218.60.56/~jnz1568/getInfo.php?workbook=14_13.xlsx&amp;sheet=U0&amp;row=3491&amp;col=7&amp;number=0.331&amp;sourceID=14","0.331")</f>
        <v>0.331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HYPERLINK("http://141.218.60.56/~jnz1568/getInfo.php?workbook=14_13.xlsx&amp;sheet=U0&amp;row=3492&amp;col=6&amp;number=3.8&amp;sourceID=14","3.8")</f>
        <v>3.8</v>
      </c>
      <c r="G3492" s="4" t="str">
        <f>HYPERLINK("http://141.218.60.56/~jnz1568/getInfo.php?workbook=14_13.xlsx&amp;sheet=U0&amp;row=3492&amp;col=7&amp;number=0.346&amp;sourceID=14","0.346")</f>
        <v>0.346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HYPERLINK("http://141.218.60.56/~jnz1568/getInfo.php?workbook=14_13.xlsx&amp;sheet=U0&amp;row=3493&amp;col=6&amp;number=3.9&amp;sourceID=14","3.9")</f>
        <v>3.9</v>
      </c>
      <c r="G3493" s="4" t="str">
        <f>HYPERLINK("http://141.218.60.56/~jnz1568/getInfo.php?workbook=14_13.xlsx&amp;sheet=U0&amp;row=3493&amp;col=7&amp;number=0.365&amp;sourceID=14","0.365")</f>
        <v>0.365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HYPERLINK("http://141.218.60.56/~jnz1568/getInfo.php?workbook=14_13.xlsx&amp;sheet=U0&amp;row=3494&amp;col=6&amp;number=4&amp;sourceID=14","4")</f>
        <v>4</v>
      </c>
      <c r="G3494" s="4" t="str">
        <f>HYPERLINK("http://141.218.60.56/~jnz1568/getInfo.php?workbook=14_13.xlsx&amp;sheet=U0&amp;row=3494&amp;col=7&amp;number=0.387&amp;sourceID=14","0.387")</f>
        <v>0.387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HYPERLINK("http://141.218.60.56/~jnz1568/getInfo.php?workbook=14_13.xlsx&amp;sheet=U0&amp;row=3495&amp;col=6&amp;number=4.1&amp;sourceID=14","4.1")</f>
        <v>4.1</v>
      </c>
      <c r="G3495" s="4" t="str">
        <f>HYPERLINK("http://141.218.60.56/~jnz1568/getInfo.php?workbook=14_13.xlsx&amp;sheet=U0&amp;row=3495&amp;col=7&amp;number=0.412&amp;sourceID=14","0.412")</f>
        <v>0.412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HYPERLINK("http://141.218.60.56/~jnz1568/getInfo.php?workbook=14_13.xlsx&amp;sheet=U0&amp;row=3496&amp;col=6&amp;number=4.2&amp;sourceID=14","4.2")</f>
        <v>4.2</v>
      </c>
      <c r="G3496" s="4" t="str">
        <f>HYPERLINK("http://141.218.60.56/~jnz1568/getInfo.php?workbook=14_13.xlsx&amp;sheet=U0&amp;row=3496&amp;col=7&amp;number=0.44&amp;sourceID=14","0.44")</f>
        <v>0.44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HYPERLINK("http://141.218.60.56/~jnz1568/getInfo.php?workbook=14_13.xlsx&amp;sheet=U0&amp;row=3497&amp;col=6&amp;number=4.3&amp;sourceID=14","4.3")</f>
        <v>4.3</v>
      </c>
      <c r="G3497" s="4" t="str">
        <f>HYPERLINK("http://141.218.60.56/~jnz1568/getInfo.php?workbook=14_13.xlsx&amp;sheet=U0&amp;row=3497&amp;col=7&amp;number=0.47&amp;sourceID=14","0.47")</f>
        <v>0.47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HYPERLINK("http://141.218.60.56/~jnz1568/getInfo.php?workbook=14_13.xlsx&amp;sheet=U0&amp;row=3498&amp;col=6&amp;number=4.4&amp;sourceID=14","4.4")</f>
        <v>4.4</v>
      </c>
      <c r="G3498" s="4" t="str">
        <f>HYPERLINK("http://141.218.60.56/~jnz1568/getInfo.php?workbook=14_13.xlsx&amp;sheet=U0&amp;row=3498&amp;col=7&amp;number=0.501&amp;sourceID=14","0.501")</f>
        <v>0.501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HYPERLINK("http://141.218.60.56/~jnz1568/getInfo.php?workbook=14_13.xlsx&amp;sheet=U0&amp;row=3499&amp;col=6&amp;number=4.5&amp;sourceID=14","4.5")</f>
        <v>4.5</v>
      </c>
      <c r="G3499" s="4" t="str">
        <f>HYPERLINK("http://141.218.60.56/~jnz1568/getInfo.php?workbook=14_13.xlsx&amp;sheet=U0&amp;row=3499&amp;col=7&amp;number=0.533&amp;sourceID=14","0.533")</f>
        <v>0.533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HYPERLINK("http://141.218.60.56/~jnz1568/getInfo.php?workbook=14_13.xlsx&amp;sheet=U0&amp;row=3500&amp;col=6&amp;number=4.6&amp;sourceID=14","4.6")</f>
        <v>4.6</v>
      </c>
      <c r="G3500" s="4" t="str">
        <f>HYPERLINK("http://141.218.60.56/~jnz1568/getInfo.php?workbook=14_13.xlsx&amp;sheet=U0&amp;row=3500&amp;col=7&amp;number=0.565&amp;sourceID=14","0.565")</f>
        <v>0.565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HYPERLINK("http://141.218.60.56/~jnz1568/getInfo.php?workbook=14_13.xlsx&amp;sheet=U0&amp;row=3501&amp;col=6&amp;number=4.7&amp;sourceID=14","4.7")</f>
        <v>4.7</v>
      </c>
      <c r="G3501" s="4" t="str">
        <f>HYPERLINK("http://141.218.60.56/~jnz1568/getInfo.php?workbook=14_13.xlsx&amp;sheet=U0&amp;row=3501&amp;col=7&amp;number=0.597&amp;sourceID=14","0.597")</f>
        <v>0.597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HYPERLINK("http://141.218.60.56/~jnz1568/getInfo.php?workbook=14_13.xlsx&amp;sheet=U0&amp;row=3502&amp;col=6&amp;number=4.8&amp;sourceID=14","4.8")</f>
        <v>4.8</v>
      </c>
      <c r="G3502" s="4" t="str">
        <f>HYPERLINK("http://141.218.60.56/~jnz1568/getInfo.php?workbook=14_13.xlsx&amp;sheet=U0&amp;row=3502&amp;col=7&amp;number=0.628&amp;sourceID=14","0.628")</f>
        <v>0.628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HYPERLINK("http://141.218.60.56/~jnz1568/getInfo.php?workbook=14_13.xlsx&amp;sheet=U0&amp;row=3503&amp;col=6&amp;number=4.9&amp;sourceID=14","4.9")</f>
        <v>4.9</v>
      </c>
      <c r="G3503" s="4" t="str">
        <f>HYPERLINK("http://141.218.60.56/~jnz1568/getInfo.php?workbook=14_13.xlsx&amp;sheet=U0&amp;row=3503&amp;col=7&amp;number=0.657&amp;sourceID=14","0.657")</f>
        <v>0.657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2015-05-05T13:18:27Z</dcterms:created>
  <dcterms:modified xsi:type="dcterms:W3CDTF">2015-05-05T13:18:27Z</dcterms:modified>
</cp:coreProperties>
</file>