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<sst xmlns="http://schemas.openxmlformats.org/spreadsheetml/2006/main" count="204" uniqueCount="46">
  <si>
    <t>Fine Structure Energy Levels for S 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</si>
  <si>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</si>
  <si>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</si>
  <si>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</si>
  <si>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</si>
  <si>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</si>
  <si>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</si>
  <si>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</si>
  <si>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</si>
  <si>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</si>
  <si>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</si>
  <si>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</si>
  <si>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</si>
  <si>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</si>
  <si>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</si>
  <si>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</si>
  <si>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</si>
  <si>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</si>
  <si>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2p6</t>
  </si>
  <si>
    <t>2s2.2p3(4S).3s</t>
  </si>
  <si>
    <t>5S</t>
  </si>
  <si>
    <t>3S</t>
  </si>
  <si>
    <t>2s2.2p3(2D).3s</t>
  </si>
  <si>
    <t>3D</t>
  </si>
  <si>
    <t>2s2.2p3(4S).3p</t>
  </si>
  <si>
    <t>5P</t>
  </si>
  <si>
    <t>2s2.2p3(2P).3s</t>
  </si>
  <si>
    <t>2s2.2p3(2D).3p</t>
  </si>
  <si>
    <t>3F</t>
  </si>
  <si>
    <t>1F</t>
  </si>
  <si>
    <t>2s2.2p3(4S).3d</t>
  </si>
  <si>
    <t>5D</t>
  </si>
  <si>
    <t>2s2.2p3(2P).3p</t>
  </si>
  <si>
    <t>2s2.2p3(2D).3d</t>
  </si>
  <si>
    <t>3G</t>
  </si>
  <si>
    <t>1G</t>
  </si>
  <si>
    <t>2s2.2p3(2P).3d</t>
  </si>
  <si>
    <t>A-values for fine-structure transitions in S IX</t>
  </si>
  <si>
    <t>k</t>
  </si>
  <si>
    <t>WL Vac (A)</t>
  </si>
  <si>
    <t>A (s-1)</t>
  </si>
  <si>
    <t>A2E1(s-1)</t>
  </si>
  <si>
    <t>Effective Collision Strengths for S 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</si>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</sst>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HYPERLINK("http://141.218.60.56/~jnz1568/getInfo.php?workbook=16_08.xlsx&amp;sheet=E0&amp;row=4&amp;col=10&amp;number=0&amp;sourceID=14","0")</f>
        <v>0</v>
      </c>
    </row>
    <row r="5" spans="1:10">
      <c r="A5" s="3">
        <v>16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HYPERLINK("http://141.218.60.56/~jnz1568/getInfo.php?workbook=16_08.xlsx&amp;sheet=E0&amp;row=5&amp;col=10&amp;number=7985&amp;sourceID=14","7985")</f>
        <v>7985</v>
      </c>
    </row>
    <row r="6" spans="1:10">
      <c r="A6" s="3">
        <v>16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HYPERLINK("http://141.218.60.56/~jnz1568/getInfo.php?workbook=16_08.xlsx&amp;sheet=E0&amp;row=6&amp;col=10&amp;number=10648&amp;sourceID=14","10648")</f>
        <v>10648</v>
      </c>
    </row>
    <row r="7" spans="1:10">
      <c r="A7" s="3">
        <v>16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HYPERLINK("http://141.218.60.56/~jnz1568/getInfo.php?workbook=16_08.xlsx&amp;sheet=E0&amp;row=7&amp;col=10&amp;number=58295&amp;sourceID=14","58295")</f>
        <v>58295</v>
      </c>
    </row>
    <row r="8" spans="1:10">
      <c r="A8" s="3">
        <v>16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HYPERLINK("http://141.218.60.56/~jnz1568/getInfo.php?workbook=16_08.xlsx&amp;sheet=E0&amp;row=8&amp;col=10&amp;number=122700&amp;sourceID=14","122700")</f>
        <v>122700</v>
      </c>
    </row>
    <row r="9" spans="1:10">
      <c r="A9" s="3">
        <v>16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HYPERLINK("http://141.218.60.56/~jnz1568/getInfo.php?workbook=16_08.xlsx&amp;sheet=E0&amp;row=9&amp;col=10&amp;number=444987&amp;sourceID=14","444987")</f>
        <v>444987</v>
      </c>
    </row>
    <row r="10" spans="1:10">
      <c r="A10" s="3">
        <v>16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HYPERLINK("http://141.218.60.56/~jnz1568/getInfo.php?workbook=16_08.xlsx&amp;sheet=E0&amp;row=10&amp;col=10&amp;number=451995&amp;sourceID=14","451995")</f>
        <v>451995</v>
      </c>
    </row>
    <row r="11" spans="1:10">
      <c r="A11" s="3">
        <v>16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HYPERLINK("http://141.218.60.56/~jnz1568/getInfo.php?workbook=16_08.xlsx&amp;sheet=E0&amp;row=11&amp;col=10&amp;number=455890&amp;sourceID=14","455890")</f>
        <v>455890</v>
      </c>
    </row>
    <row r="12" spans="1:10">
      <c r="A12" s="3">
        <v>16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HYPERLINK("http://141.218.60.56/~jnz1568/getInfo.php?workbook=16_08.xlsx&amp;sheet=E0&amp;row=12&amp;col=10&amp;number=616073&amp;sourceID=14","616073")</f>
        <v>616073</v>
      </c>
    </row>
    <row r="13" spans="1:10">
      <c r="A13" s="3">
        <v>16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HYPERLINK("http://141.218.60.56/~jnz1568/getInfo.php?workbook=16_08.xlsx&amp;sheet=E0&amp;row=13&amp;col=10&amp;number=1039219&amp;sourceID=14","1039219")</f>
        <v>1039219</v>
      </c>
    </row>
    <row r="14" spans="1:10">
      <c r="A14" s="3">
        <v>16</v>
      </c>
      <c r="B14" s="3">
        <v>8</v>
      </c>
      <c r="C14" s="3">
        <v>11</v>
      </c>
      <c r="D14" s="3" t="s">
        <v>19</v>
      </c>
      <c r="E14" s="3" t="s">
        <v>20</v>
      </c>
      <c r="F14" s="3">
        <v>5</v>
      </c>
      <c r="G14" s="3">
        <v>0</v>
      </c>
      <c r="H14" s="3">
        <v>0</v>
      </c>
      <c r="I14" s="3">
        <v>2</v>
      </c>
      <c r="J14" s="4" t="str">
        <f>HYPERLINK("http://141.218.60.56/~jnz1568/getInfo.php?workbook=16_08.xlsx&amp;sheet=E0&amp;row=14&amp;col=10&amp;number=1756392&amp;sourceID=14","1756392")</f>
        <v>1756392</v>
      </c>
    </row>
    <row r="15" spans="1:10">
      <c r="A15" s="3">
        <v>16</v>
      </c>
      <c r="B15" s="3">
        <v>8</v>
      </c>
      <c r="C15" s="3">
        <v>12</v>
      </c>
      <c r="D15" s="3" t="s">
        <v>19</v>
      </c>
      <c r="E15" s="3" t="s">
        <v>21</v>
      </c>
      <c r="F15" s="3">
        <v>3</v>
      </c>
      <c r="G15" s="3">
        <v>0</v>
      </c>
      <c r="H15" s="3">
        <v>0</v>
      </c>
      <c r="I15" s="3">
        <v>1</v>
      </c>
      <c r="J15" s="4" t="str">
        <f>HYPERLINK("http://141.218.60.56/~jnz1568/getInfo.php?workbook=16_08.xlsx&amp;sheet=E0&amp;row=15&amp;col=10&amp;number=1783147&amp;sourceID=14","1783147")</f>
        <v>1783147</v>
      </c>
    </row>
    <row r="16" spans="1:10">
      <c r="A16" s="3">
        <v>16</v>
      </c>
      <c r="B16" s="3">
        <v>8</v>
      </c>
      <c r="C16" s="3">
        <v>13</v>
      </c>
      <c r="D16" s="3" t="s">
        <v>22</v>
      </c>
      <c r="E16" s="3" t="s">
        <v>23</v>
      </c>
      <c r="F16" s="3">
        <v>3</v>
      </c>
      <c r="G16" s="3">
        <v>2</v>
      </c>
      <c r="H16" s="3">
        <v>0</v>
      </c>
      <c r="I16" s="3">
        <v>1</v>
      </c>
      <c r="J16" s="4" t="str">
        <f>HYPERLINK("http://141.218.60.56/~jnz1568/getInfo.php?workbook=16_08.xlsx&amp;sheet=E0&amp;row=16&amp;col=10&amp;number=1844972&amp;sourceID=14","1844972")</f>
        <v>1844972</v>
      </c>
    </row>
    <row r="17" spans="1:10">
      <c r="A17" s="3">
        <v>16</v>
      </c>
      <c r="B17" s="3">
        <v>8</v>
      </c>
      <c r="C17" s="3">
        <v>14</v>
      </c>
      <c r="D17" s="3" t="s">
        <v>22</v>
      </c>
      <c r="E17" s="3" t="s">
        <v>23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HYPERLINK("http://141.218.60.56/~jnz1568/getInfo.php?workbook=16_08.xlsx&amp;sheet=E0&amp;row=17&amp;col=10&amp;number=1845200&amp;sourceID=14","1845200")</f>
        <v>1845200</v>
      </c>
    </row>
    <row r="18" spans="1:10">
      <c r="A18" s="3">
        <v>16</v>
      </c>
      <c r="B18" s="3">
        <v>8</v>
      </c>
      <c r="C18" s="3">
        <v>15</v>
      </c>
      <c r="D18" s="3" t="s">
        <v>22</v>
      </c>
      <c r="E18" s="3" t="s">
        <v>23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HYPERLINK("http://141.218.60.56/~jnz1568/getInfo.php?workbook=16_08.xlsx&amp;sheet=E0&amp;row=18&amp;col=10&amp;number=1845853&amp;sourceID=14","1845853")</f>
        <v>1845853</v>
      </c>
    </row>
    <row r="19" spans="1:10">
      <c r="A19" s="3">
        <v>16</v>
      </c>
      <c r="B19" s="3">
        <v>8</v>
      </c>
      <c r="C19" s="3">
        <v>16</v>
      </c>
      <c r="D19" s="3" t="s">
        <v>22</v>
      </c>
      <c r="E19" s="3" t="s">
        <v>14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HYPERLINK("http://141.218.60.56/~jnz1568/getInfo.php?workbook=16_08.xlsx&amp;sheet=E0&amp;row=19&amp;col=10&amp;number=1858673&amp;sourceID=14","1858673")</f>
        <v>1858673</v>
      </c>
    </row>
    <row r="20" spans="1:10">
      <c r="A20" s="3">
        <v>16</v>
      </c>
      <c r="B20" s="3">
        <v>8</v>
      </c>
      <c r="C20" s="3">
        <v>17</v>
      </c>
      <c r="D20" s="3" t="s">
        <v>24</v>
      </c>
      <c r="E20" s="3" t="s">
        <v>25</v>
      </c>
      <c r="F20" s="3">
        <v>5</v>
      </c>
      <c r="G20" s="3">
        <v>1</v>
      </c>
      <c r="H20" s="3">
        <v>1</v>
      </c>
      <c r="I20" s="3">
        <v>1</v>
      </c>
      <c r="J20" s="4" t="str">
        <f>HYPERLINK("http://141.218.60.56/~jnz1568/getInfo.php?workbook=16_08.xlsx&amp;sheet=E0&amp;row=20&amp;col=10&amp;number=1867830&amp;sourceID=14","1867830")</f>
        <v>1867830</v>
      </c>
    </row>
    <row r="21" spans="1:10">
      <c r="A21" s="3">
        <v>16</v>
      </c>
      <c r="B21" s="3">
        <v>8</v>
      </c>
      <c r="C21" s="3">
        <v>18</v>
      </c>
      <c r="D21" s="3" t="s">
        <v>24</v>
      </c>
      <c r="E21" s="3" t="s">
        <v>25</v>
      </c>
      <c r="F21" s="3">
        <v>5</v>
      </c>
      <c r="G21" s="3">
        <v>1</v>
      </c>
      <c r="H21" s="3">
        <v>1</v>
      </c>
      <c r="I21" s="3">
        <v>2</v>
      </c>
      <c r="J21" s="4" t="str">
        <f>HYPERLINK("http://141.218.60.56/~jnz1568/getInfo.php?workbook=16_08.xlsx&amp;sheet=E0&amp;row=21&amp;col=10&amp;number=1868459&amp;sourceID=14","1868459")</f>
        <v>1868459</v>
      </c>
    </row>
    <row r="22" spans="1:10">
      <c r="A22" s="3">
        <v>16</v>
      </c>
      <c r="B22" s="3">
        <v>8</v>
      </c>
      <c r="C22" s="3">
        <v>19</v>
      </c>
      <c r="D22" s="3" t="s">
        <v>24</v>
      </c>
      <c r="E22" s="3" t="s">
        <v>25</v>
      </c>
      <c r="F22" s="3">
        <v>5</v>
      </c>
      <c r="G22" s="3">
        <v>1</v>
      </c>
      <c r="H22" s="3">
        <v>1</v>
      </c>
      <c r="I22" s="3">
        <v>3</v>
      </c>
      <c r="J22" s="4" t="str">
        <f>HYPERLINK("http://141.218.60.56/~jnz1568/getInfo.php?workbook=16_08.xlsx&amp;sheet=E0&amp;row=22&amp;col=10&amp;number=1869684&amp;sourceID=14","1869684")</f>
        <v>1869684</v>
      </c>
    </row>
    <row r="23" spans="1:10">
      <c r="A23" s="3">
        <v>16</v>
      </c>
      <c r="B23" s="3">
        <v>8</v>
      </c>
      <c r="C23" s="3">
        <v>20</v>
      </c>
      <c r="D23" s="3" t="s">
        <v>24</v>
      </c>
      <c r="E23" s="3" t="s">
        <v>13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HYPERLINK("http://141.218.60.56/~jnz1568/getInfo.php?workbook=16_08.xlsx&amp;sheet=E0&amp;row=23&amp;col=10&amp;number=1892796&amp;sourceID=14","1892796")</f>
        <v>1892796</v>
      </c>
    </row>
    <row r="24" spans="1:10">
      <c r="A24" s="3">
        <v>16</v>
      </c>
      <c r="B24" s="3">
        <v>8</v>
      </c>
      <c r="C24" s="3">
        <v>21</v>
      </c>
      <c r="D24" s="3" t="s">
        <v>24</v>
      </c>
      <c r="E24" s="3" t="s">
        <v>13</v>
      </c>
      <c r="F24" s="3">
        <v>3</v>
      </c>
      <c r="G24" s="3">
        <v>1</v>
      </c>
      <c r="H24" s="3">
        <v>1</v>
      </c>
      <c r="I24" s="3">
        <v>2</v>
      </c>
      <c r="J24" s="4" t="str">
        <f>HYPERLINK("http://141.218.60.56/~jnz1568/getInfo.php?workbook=16_08.xlsx&amp;sheet=E0&amp;row=24&amp;col=10&amp;number=1893171&amp;sourceID=14","1893171")</f>
        <v>1893171</v>
      </c>
    </row>
    <row r="25" spans="1:10">
      <c r="A25" s="3">
        <v>16</v>
      </c>
      <c r="B25" s="3">
        <v>8</v>
      </c>
      <c r="C25" s="3">
        <v>22</v>
      </c>
      <c r="D25" s="3" t="s">
        <v>24</v>
      </c>
      <c r="E25" s="3" t="s">
        <v>13</v>
      </c>
      <c r="F25" s="3">
        <v>3</v>
      </c>
      <c r="G25" s="3">
        <v>1</v>
      </c>
      <c r="H25" s="3">
        <v>1</v>
      </c>
      <c r="I25" s="3">
        <v>0</v>
      </c>
      <c r="J25" s="4" t="str">
        <f>HYPERLINK("http://141.218.60.56/~jnz1568/getInfo.php?workbook=16_08.xlsx&amp;sheet=E0&amp;row=25&amp;col=10&amp;number=0&amp;sourceID=14","0")</f>
        <v>0</v>
      </c>
    </row>
    <row r="26" spans="1:10">
      <c r="A26" s="3">
        <v>16</v>
      </c>
      <c r="B26" s="3">
        <v>8</v>
      </c>
      <c r="C26" s="3">
        <v>23</v>
      </c>
      <c r="D26" s="3" t="s">
        <v>26</v>
      </c>
      <c r="E26" s="3" t="s">
        <v>13</v>
      </c>
      <c r="F26" s="3">
        <v>3</v>
      </c>
      <c r="G26" s="3">
        <v>1</v>
      </c>
      <c r="H26" s="3">
        <v>1</v>
      </c>
      <c r="I26" s="3">
        <v>0</v>
      </c>
      <c r="J26" s="4" t="str">
        <f>HYPERLINK("http://141.218.60.56/~jnz1568/getInfo.php?workbook=16_08.xlsx&amp;sheet=E0&amp;row=26&amp;col=10&amp;number=1889736&amp;sourceID=14","1889736")</f>
        <v>1889736</v>
      </c>
    </row>
    <row r="27" spans="1:10">
      <c r="A27" s="3">
        <v>16</v>
      </c>
      <c r="B27" s="3">
        <v>8</v>
      </c>
      <c r="C27" s="3">
        <v>24</v>
      </c>
      <c r="D27" s="3" t="s">
        <v>26</v>
      </c>
      <c r="E27" s="3" t="s">
        <v>13</v>
      </c>
      <c r="F27" s="3">
        <v>3</v>
      </c>
      <c r="G27" s="3">
        <v>1</v>
      </c>
      <c r="H27" s="3">
        <v>1</v>
      </c>
      <c r="I27" s="3">
        <v>1</v>
      </c>
      <c r="J27" s="4" t="str">
        <f>HYPERLINK("http://141.218.60.56/~jnz1568/getInfo.php?workbook=16_08.xlsx&amp;sheet=E0&amp;row=27&amp;col=10&amp;number=1890289&amp;sourceID=14","1890289")</f>
        <v>1890289</v>
      </c>
    </row>
    <row r="28" spans="1:10">
      <c r="A28" s="3">
        <v>16</v>
      </c>
      <c r="B28" s="3">
        <v>8</v>
      </c>
      <c r="C28" s="3">
        <v>25</v>
      </c>
      <c r="D28" s="3" t="s">
        <v>26</v>
      </c>
      <c r="E28" s="3" t="s">
        <v>13</v>
      </c>
      <c r="F28" s="3">
        <v>3</v>
      </c>
      <c r="G28" s="3">
        <v>1</v>
      </c>
      <c r="H28" s="3">
        <v>1</v>
      </c>
      <c r="I28" s="3">
        <v>2</v>
      </c>
      <c r="J28" s="4" t="str">
        <f>HYPERLINK("http://141.218.60.56/~jnz1568/getInfo.php?workbook=16_08.xlsx&amp;sheet=E0&amp;row=28&amp;col=10&amp;number=1891774&amp;sourceID=14","1891774")</f>
        <v>1891774</v>
      </c>
    </row>
    <row r="29" spans="1:10">
      <c r="A29" s="3">
        <v>16</v>
      </c>
      <c r="B29" s="3">
        <v>8</v>
      </c>
      <c r="C29" s="3">
        <v>26</v>
      </c>
      <c r="D29" s="3" t="s">
        <v>26</v>
      </c>
      <c r="E29" s="3" t="s">
        <v>17</v>
      </c>
      <c r="F29" s="3">
        <v>1</v>
      </c>
      <c r="G29" s="3">
        <v>1</v>
      </c>
      <c r="H29" s="3">
        <v>1</v>
      </c>
      <c r="I29" s="3">
        <v>1</v>
      </c>
      <c r="J29" s="4" t="str">
        <f>HYPERLINK("http://141.218.60.56/~jnz1568/getInfo.php?workbook=16_08.xlsx&amp;sheet=E0&amp;row=29&amp;col=10&amp;number=1904413&amp;sourceID=14","1904413")</f>
        <v>1904413</v>
      </c>
    </row>
    <row r="30" spans="1:10">
      <c r="A30" s="3">
        <v>16</v>
      </c>
      <c r="B30" s="3">
        <v>8</v>
      </c>
      <c r="C30" s="3">
        <v>27</v>
      </c>
      <c r="D30" s="3" t="s">
        <v>27</v>
      </c>
      <c r="E30" s="3" t="s">
        <v>23</v>
      </c>
      <c r="F30" s="3">
        <v>3</v>
      </c>
      <c r="G30" s="3">
        <v>2</v>
      </c>
      <c r="H30" s="3">
        <v>0</v>
      </c>
      <c r="I30" s="3">
        <v>1</v>
      </c>
      <c r="J30" s="4" t="str">
        <f>HYPERLINK("http://141.218.60.56/~jnz1568/getInfo.php?workbook=16_08.xlsx&amp;sheet=E0&amp;row=30&amp;col=10&amp;number=0&amp;sourceID=14","0")</f>
        <v>0</v>
      </c>
    </row>
    <row r="31" spans="1:10">
      <c r="A31" s="3">
        <v>16</v>
      </c>
      <c r="B31" s="3">
        <v>8</v>
      </c>
      <c r="C31" s="3">
        <v>28</v>
      </c>
      <c r="D31" s="3" t="s">
        <v>27</v>
      </c>
      <c r="E31" s="3" t="s">
        <v>23</v>
      </c>
      <c r="F31" s="3">
        <v>3</v>
      </c>
      <c r="G31" s="3">
        <v>2</v>
      </c>
      <c r="H31" s="3">
        <v>0</v>
      </c>
      <c r="I31" s="3">
        <v>2</v>
      </c>
      <c r="J31" s="4" t="str">
        <f>HYPERLINK("http://141.218.60.56/~jnz1568/getInfo.php?workbook=16_08.xlsx&amp;sheet=E0&amp;row=31&amp;col=10&amp;number=1949180&amp;sourceID=14","1949180")</f>
        <v>1949180</v>
      </c>
    </row>
    <row r="32" spans="1:10">
      <c r="A32" s="3">
        <v>16</v>
      </c>
      <c r="B32" s="3">
        <v>8</v>
      </c>
      <c r="C32" s="3">
        <v>29</v>
      </c>
      <c r="D32" s="3" t="s">
        <v>27</v>
      </c>
      <c r="E32" s="3" t="s">
        <v>23</v>
      </c>
      <c r="F32" s="3">
        <v>3</v>
      </c>
      <c r="G32" s="3">
        <v>2</v>
      </c>
      <c r="H32" s="3">
        <v>0</v>
      </c>
      <c r="I32" s="3">
        <v>3</v>
      </c>
      <c r="J32" s="4" t="str">
        <f>HYPERLINK("http://141.218.60.56/~jnz1568/getInfo.php?workbook=16_08.xlsx&amp;sheet=E0&amp;row=32&amp;col=10&amp;number=1950914&amp;sourceID=14","1950914")</f>
        <v>1950914</v>
      </c>
    </row>
    <row r="33" spans="1:10">
      <c r="A33" s="3">
        <v>16</v>
      </c>
      <c r="B33" s="3">
        <v>8</v>
      </c>
      <c r="C33" s="3">
        <v>30</v>
      </c>
      <c r="D33" s="3" t="s">
        <v>27</v>
      </c>
      <c r="E33" s="3" t="s">
        <v>17</v>
      </c>
      <c r="F33" s="3">
        <v>1</v>
      </c>
      <c r="G33" s="3">
        <v>1</v>
      </c>
      <c r="H33" s="3">
        <v>1</v>
      </c>
      <c r="I33" s="3">
        <v>1</v>
      </c>
      <c r="J33" s="4" t="str">
        <f>HYPERLINK("http://141.218.60.56/~jnz1568/getInfo.php?workbook=16_08.xlsx&amp;sheet=E0&amp;row=33&amp;col=10&amp;number=0&amp;sourceID=14","0")</f>
        <v>0</v>
      </c>
    </row>
    <row r="34" spans="1:10">
      <c r="A34" s="3">
        <v>16</v>
      </c>
      <c r="B34" s="3">
        <v>8</v>
      </c>
      <c r="C34" s="3">
        <v>31</v>
      </c>
      <c r="D34" s="3" t="s">
        <v>27</v>
      </c>
      <c r="E34" s="3" t="s">
        <v>28</v>
      </c>
      <c r="F34" s="3">
        <v>3</v>
      </c>
      <c r="G34" s="3">
        <v>3</v>
      </c>
      <c r="H34" s="3">
        <v>1</v>
      </c>
      <c r="I34" s="3">
        <v>2</v>
      </c>
      <c r="J34" s="4" t="str">
        <f>HYPERLINK("http://141.218.60.56/~jnz1568/getInfo.php?workbook=16_08.xlsx&amp;sheet=E0&amp;row=34&amp;col=10&amp;number=1957443&amp;sourceID=14","1957443")</f>
        <v>1957443</v>
      </c>
    </row>
    <row r="35" spans="1:10">
      <c r="A35" s="3">
        <v>16</v>
      </c>
      <c r="B35" s="3">
        <v>8</v>
      </c>
      <c r="C35" s="3">
        <v>32</v>
      </c>
      <c r="D35" s="3" t="s">
        <v>27</v>
      </c>
      <c r="E35" s="3" t="s">
        <v>28</v>
      </c>
      <c r="F35" s="3">
        <v>3</v>
      </c>
      <c r="G35" s="3">
        <v>3</v>
      </c>
      <c r="H35" s="3">
        <v>1</v>
      </c>
      <c r="I35" s="3">
        <v>3</v>
      </c>
      <c r="J35" s="4" t="str">
        <f>HYPERLINK("http://141.218.60.56/~jnz1568/getInfo.php?workbook=16_08.xlsx&amp;sheet=E0&amp;row=35&amp;col=10&amp;number=1958513&amp;sourceID=14","1958513")</f>
        <v>1958513</v>
      </c>
    </row>
    <row r="36" spans="1:10">
      <c r="A36" s="3">
        <v>16</v>
      </c>
      <c r="B36" s="3">
        <v>8</v>
      </c>
      <c r="C36" s="3">
        <v>33</v>
      </c>
      <c r="D36" s="3" t="s">
        <v>27</v>
      </c>
      <c r="E36" s="3" t="s">
        <v>28</v>
      </c>
      <c r="F36" s="3">
        <v>3</v>
      </c>
      <c r="G36" s="3">
        <v>3</v>
      </c>
      <c r="H36" s="3">
        <v>1</v>
      </c>
      <c r="I36" s="3">
        <v>4</v>
      </c>
      <c r="J36" s="4" t="str">
        <f>HYPERLINK("http://141.218.60.56/~jnz1568/getInfo.php?workbook=16_08.xlsx&amp;sheet=E0&amp;row=36&amp;col=10&amp;number=1959638&amp;sourceID=14","1959638")</f>
        <v>1959638</v>
      </c>
    </row>
    <row r="37" spans="1:10">
      <c r="A37" s="3">
        <v>16</v>
      </c>
      <c r="B37" s="3">
        <v>8</v>
      </c>
      <c r="C37" s="3">
        <v>34</v>
      </c>
      <c r="D37" s="3" t="s">
        <v>27</v>
      </c>
      <c r="E37" s="3" t="s">
        <v>29</v>
      </c>
      <c r="F37" s="3">
        <v>1</v>
      </c>
      <c r="G37" s="3">
        <v>3</v>
      </c>
      <c r="H37" s="3">
        <v>1</v>
      </c>
      <c r="I37" s="3">
        <v>3</v>
      </c>
      <c r="J37" s="4" t="str">
        <f>HYPERLINK("http://141.218.60.56/~jnz1568/getInfo.php?workbook=16_08.xlsx&amp;sheet=E0&amp;row=37&amp;col=10&amp;number=1963020&amp;sourceID=14","1963020")</f>
        <v>1963020</v>
      </c>
    </row>
    <row r="38" spans="1:10">
      <c r="A38" s="3">
        <v>16</v>
      </c>
      <c r="B38" s="3">
        <v>8</v>
      </c>
      <c r="C38" s="3">
        <v>35</v>
      </c>
      <c r="D38" s="3" t="s">
        <v>27</v>
      </c>
      <c r="E38" s="3" t="s">
        <v>13</v>
      </c>
      <c r="F38" s="3">
        <v>3</v>
      </c>
      <c r="G38" s="3">
        <v>1</v>
      </c>
      <c r="H38" s="3">
        <v>1</v>
      </c>
      <c r="I38" s="3">
        <v>0</v>
      </c>
      <c r="J38" s="4" t="str">
        <f>HYPERLINK("http://141.218.60.56/~jnz1568/getInfo.php?workbook=16_08.xlsx&amp;sheet=E0&amp;row=38&amp;col=10&amp;number=0&amp;sourceID=14","0")</f>
        <v>0</v>
      </c>
    </row>
    <row r="39" spans="1:10">
      <c r="A39" s="3">
        <v>16</v>
      </c>
      <c r="B39" s="3">
        <v>8</v>
      </c>
      <c r="C39" s="3">
        <v>36</v>
      </c>
      <c r="D39" s="3" t="s">
        <v>27</v>
      </c>
      <c r="E39" s="3" t="s">
        <v>13</v>
      </c>
      <c r="F39" s="3">
        <v>3</v>
      </c>
      <c r="G39" s="3">
        <v>1</v>
      </c>
      <c r="H39" s="3">
        <v>1</v>
      </c>
      <c r="I39" s="3">
        <v>1</v>
      </c>
      <c r="J39" s="4" t="str">
        <f>HYPERLINK("http://141.218.60.56/~jnz1568/getInfo.php?workbook=16_08.xlsx&amp;sheet=E0&amp;row=39&amp;col=10&amp;number=1992210&amp;sourceID=14","1992210")</f>
        <v>1992210</v>
      </c>
    </row>
    <row r="40" spans="1:10">
      <c r="A40" s="3">
        <v>16</v>
      </c>
      <c r="B40" s="3">
        <v>8</v>
      </c>
      <c r="C40" s="3">
        <v>37</v>
      </c>
      <c r="D40" s="3" t="s">
        <v>27</v>
      </c>
      <c r="E40" s="3" t="s">
        <v>13</v>
      </c>
      <c r="F40" s="3">
        <v>3</v>
      </c>
      <c r="G40" s="3">
        <v>1</v>
      </c>
      <c r="H40" s="3">
        <v>1</v>
      </c>
      <c r="I40" s="3">
        <v>2</v>
      </c>
      <c r="J40" s="4" t="str">
        <f>HYPERLINK("http://141.218.60.56/~jnz1568/getInfo.php?workbook=16_08.xlsx&amp;sheet=E0&amp;row=40&amp;col=10&amp;number=1990654&amp;sourceID=14","1990654")</f>
        <v>1990654</v>
      </c>
    </row>
    <row r="41" spans="1:10">
      <c r="A41" s="3">
        <v>16</v>
      </c>
      <c r="B41" s="3">
        <v>8</v>
      </c>
      <c r="C41" s="3">
        <v>38</v>
      </c>
      <c r="D41" s="3" t="s">
        <v>30</v>
      </c>
      <c r="E41" s="3" t="s">
        <v>31</v>
      </c>
      <c r="F41" s="3">
        <v>5</v>
      </c>
      <c r="G41" s="3">
        <v>2</v>
      </c>
      <c r="H41" s="3">
        <v>0</v>
      </c>
      <c r="I41" s="3">
        <v>0</v>
      </c>
      <c r="J41" s="4" t="str">
        <f>HYPERLINK("http://141.218.60.56/~jnz1568/getInfo.php?workbook=16_08.xlsx&amp;sheet=E0&amp;row=41&amp;col=10&amp;number=2009543&amp;sourceID=14","2009543")</f>
        <v>2009543</v>
      </c>
    </row>
    <row r="42" spans="1:10">
      <c r="A42" s="3">
        <v>16</v>
      </c>
      <c r="B42" s="3">
        <v>8</v>
      </c>
      <c r="C42" s="3">
        <v>39</v>
      </c>
      <c r="D42" s="3" t="s">
        <v>30</v>
      </c>
      <c r="E42" s="3" t="s">
        <v>31</v>
      </c>
      <c r="F42" s="3">
        <v>5</v>
      </c>
      <c r="G42" s="3">
        <v>2</v>
      </c>
      <c r="H42" s="3">
        <v>0</v>
      </c>
      <c r="I42" s="3">
        <v>1</v>
      </c>
      <c r="J42" s="4" t="str">
        <f>HYPERLINK("http://141.218.60.56/~jnz1568/getInfo.php?workbook=16_08.xlsx&amp;sheet=E0&amp;row=42&amp;col=10&amp;number=2009543&amp;sourceID=14","2009543")</f>
        <v>2009543</v>
      </c>
    </row>
    <row r="43" spans="1:10">
      <c r="A43" s="3">
        <v>16</v>
      </c>
      <c r="B43" s="3">
        <v>8</v>
      </c>
      <c r="C43" s="3">
        <v>40</v>
      </c>
      <c r="D43" s="3" t="s">
        <v>30</v>
      </c>
      <c r="E43" s="3" t="s">
        <v>31</v>
      </c>
      <c r="F43" s="3">
        <v>5</v>
      </c>
      <c r="G43" s="3">
        <v>2</v>
      </c>
      <c r="H43" s="3">
        <v>0</v>
      </c>
      <c r="I43" s="3">
        <v>2</v>
      </c>
      <c r="J43" s="4" t="str">
        <f>HYPERLINK("http://141.218.60.56/~jnz1568/getInfo.php?workbook=16_08.xlsx&amp;sheet=E0&amp;row=43&amp;col=10&amp;number=2009543&amp;sourceID=14","2009543")</f>
        <v>2009543</v>
      </c>
    </row>
    <row r="44" spans="1:10">
      <c r="A44" s="3">
        <v>16</v>
      </c>
      <c r="B44" s="3">
        <v>8</v>
      </c>
      <c r="C44" s="3">
        <v>41</v>
      </c>
      <c r="D44" s="3" t="s">
        <v>30</v>
      </c>
      <c r="E44" s="3" t="s">
        <v>31</v>
      </c>
      <c r="F44" s="3">
        <v>5</v>
      </c>
      <c r="G44" s="3">
        <v>2</v>
      </c>
      <c r="H44" s="3">
        <v>0</v>
      </c>
      <c r="I44" s="3">
        <v>3</v>
      </c>
      <c r="J44" s="4" t="str">
        <f>HYPERLINK("http://141.218.60.56/~jnz1568/getInfo.php?workbook=16_08.xlsx&amp;sheet=E0&amp;row=44&amp;col=10&amp;number=2009527&amp;sourceID=14","2009527")</f>
        <v>2009527</v>
      </c>
    </row>
    <row r="45" spans="1:10">
      <c r="A45" s="3">
        <v>16</v>
      </c>
      <c r="B45" s="3">
        <v>8</v>
      </c>
      <c r="C45" s="3">
        <v>42</v>
      </c>
      <c r="D45" s="3" t="s">
        <v>30</v>
      </c>
      <c r="E45" s="3" t="s">
        <v>31</v>
      </c>
      <c r="F45" s="3">
        <v>5</v>
      </c>
      <c r="G45" s="3">
        <v>2</v>
      </c>
      <c r="H45" s="3">
        <v>0</v>
      </c>
      <c r="I45" s="3">
        <v>4</v>
      </c>
      <c r="J45" s="4" t="str">
        <f>HYPERLINK("http://141.218.60.56/~jnz1568/getInfo.php?workbook=16_08.xlsx&amp;sheet=E0&amp;row=45&amp;col=10&amp;number=2009585&amp;sourceID=14","2009585")</f>
        <v>2009585</v>
      </c>
    </row>
    <row r="46" spans="1:10">
      <c r="A46" s="3">
        <v>16</v>
      </c>
      <c r="B46" s="3">
        <v>8</v>
      </c>
      <c r="C46" s="3">
        <v>43</v>
      </c>
      <c r="D46" s="3" t="s">
        <v>32</v>
      </c>
      <c r="E46" s="3" t="s">
        <v>21</v>
      </c>
      <c r="F46" s="3">
        <v>3</v>
      </c>
      <c r="G46" s="3">
        <v>0</v>
      </c>
      <c r="H46" s="3">
        <v>0</v>
      </c>
      <c r="I46" s="3">
        <v>1</v>
      </c>
      <c r="J46" s="4" t="str">
        <f>HYPERLINK("http://141.218.60.56/~jnz1568/getInfo.php?workbook=16_08.xlsx&amp;sheet=E0&amp;row=46&amp;col=10&amp;number=0&amp;sourceID=14","0")</f>
        <v>0</v>
      </c>
    </row>
    <row r="47" spans="1:10">
      <c r="A47" s="3">
        <v>16</v>
      </c>
      <c r="B47" s="3">
        <v>8</v>
      </c>
      <c r="C47" s="3">
        <v>44</v>
      </c>
      <c r="D47" s="3" t="s">
        <v>32</v>
      </c>
      <c r="E47" s="3" t="s">
        <v>23</v>
      </c>
      <c r="F47" s="3">
        <v>3</v>
      </c>
      <c r="G47" s="3">
        <v>2</v>
      </c>
      <c r="H47" s="3">
        <v>0</v>
      </c>
      <c r="I47" s="3">
        <v>2</v>
      </c>
      <c r="J47" s="4" t="str">
        <f>HYPERLINK("http://141.218.60.56/~jnz1568/getInfo.php?workbook=16_08.xlsx&amp;sheet=E0&amp;row=47&amp;col=10&amp;number=1992210&amp;sourceID=14","1992210")</f>
        <v>1992210</v>
      </c>
    </row>
    <row r="48" spans="1:10">
      <c r="A48" s="3">
        <v>16</v>
      </c>
      <c r="B48" s="3">
        <v>8</v>
      </c>
      <c r="C48" s="3">
        <v>45</v>
      </c>
      <c r="D48" s="3" t="s">
        <v>32</v>
      </c>
      <c r="E48" s="3" t="s">
        <v>23</v>
      </c>
      <c r="F48" s="3">
        <v>3</v>
      </c>
      <c r="G48" s="3">
        <v>2</v>
      </c>
      <c r="H48" s="3">
        <v>0</v>
      </c>
      <c r="I48" s="3">
        <v>1</v>
      </c>
      <c r="J48" s="4" t="str">
        <f>HYPERLINK("http://141.218.60.56/~jnz1568/getInfo.php?workbook=16_08.xlsx&amp;sheet=E0&amp;row=48&amp;col=10&amp;number=0&amp;sourceID=14","0")</f>
        <v>0</v>
      </c>
    </row>
    <row r="49" spans="1:10">
      <c r="A49" s="3">
        <v>16</v>
      </c>
      <c r="B49" s="3">
        <v>8</v>
      </c>
      <c r="C49" s="3">
        <v>46</v>
      </c>
      <c r="D49" s="3" t="s">
        <v>32</v>
      </c>
      <c r="E49" s="3" t="s">
        <v>23</v>
      </c>
      <c r="F49" s="3">
        <v>3</v>
      </c>
      <c r="G49" s="3">
        <v>2</v>
      </c>
      <c r="H49" s="3">
        <v>0</v>
      </c>
      <c r="I49" s="3">
        <v>3</v>
      </c>
      <c r="J49" s="4" t="str">
        <f>HYPERLINK("http://141.218.60.56/~jnz1568/getInfo.php?workbook=16_08.xlsx&amp;sheet=E0&amp;row=49&amp;col=10&amp;number=2004564&amp;sourceID=14","2004564")</f>
        <v>2004564</v>
      </c>
    </row>
    <row r="50" spans="1:10">
      <c r="A50" s="3">
        <v>16</v>
      </c>
      <c r="B50" s="3">
        <v>8</v>
      </c>
      <c r="C50" s="3">
        <v>47</v>
      </c>
      <c r="D50" s="3" t="s">
        <v>27</v>
      </c>
      <c r="E50" s="3" t="s">
        <v>14</v>
      </c>
      <c r="F50" s="3">
        <v>1</v>
      </c>
      <c r="G50" s="3">
        <v>2</v>
      </c>
      <c r="H50" s="3">
        <v>0</v>
      </c>
      <c r="I50" s="3">
        <v>2</v>
      </c>
      <c r="J50" s="4" t="str">
        <f>HYPERLINK("http://141.218.60.56/~jnz1568/getInfo.php?workbook=16_08.xlsx&amp;sheet=E0&amp;row=50&amp;col=10&amp;number=0&amp;sourceID=14","0")</f>
        <v>0</v>
      </c>
    </row>
    <row r="51" spans="1:10">
      <c r="A51" s="3">
        <v>16</v>
      </c>
      <c r="B51" s="3">
        <v>8</v>
      </c>
      <c r="C51" s="3">
        <v>48</v>
      </c>
      <c r="D51" s="3" t="s">
        <v>32</v>
      </c>
      <c r="E51" s="3" t="s">
        <v>17</v>
      </c>
      <c r="F51" s="3">
        <v>1</v>
      </c>
      <c r="G51" s="3">
        <v>1</v>
      </c>
      <c r="H51" s="3">
        <v>1</v>
      </c>
      <c r="I51" s="3">
        <v>1</v>
      </c>
      <c r="J51" s="4" t="str">
        <f>HYPERLINK("http://141.218.60.56/~jnz1568/getInfo.php?workbook=16_08.xlsx&amp;sheet=E0&amp;row=51&amp;col=10&amp;number=0&amp;sourceID=14","0")</f>
        <v>0</v>
      </c>
    </row>
    <row r="52" spans="1:10">
      <c r="A52" s="3">
        <v>16</v>
      </c>
      <c r="B52" s="3">
        <v>8</v>
      </c>
      <c r="C52" s="3">
        <v>49</v>
      </c>
      <c r="D52" s="3" t="s">
        <v>30</v>
      </c>
      <c r="E52" s="3" t="s">
        <v>23</v>
      </c>
      <c r="F52" s="3">
        <v>3</v>
      </c>
      <c r="G52" s="3">
        <v>2</v>
      </c>
      <c r="H52" s="3">
        <v>0</v>
      </c>
      <c r="I52" s="3">
        <v>2</v>
      </c>
      <c r="J52" s="4" t="str">
        <f>HYPERLINK("http://141.218.60.56/~jnz1568/getInfo.php?workbook=16_08.xlsx&amp;sheet=E0&amp;row=52&amp;col=10&amp;number=2035261&amp;sourceID=14","2035261")</f>
        <v>2035261</v>
      </c>
    </row>
    <row r="53" spans="1:10">
      <c r="A53" s="3">
        <v>16</v>
      </c>
      <c r="B53" s="3">
        <v>8</v>
      </c>
      <c r="C53" s="3">
        <v>50</v>
      </c>
      <c r="D53" s="3" t="s">
        <v>30</v>
      </c>
      <c r="E53" s="3" t="s">
        <v>23</v>
      </c>
      <c r="F53" s="3">
        <v>3</v>
      </c>
      <c r="G53" s="3">
        <v>2</v>
      </c>
      <c r="H53" s="3">
        <v>0</v>
      </c>
      <c r="I53" s="3">
        <v>1</v>
      </c>
      <c r="J53" s="4" t="str">
        <f>HYPERLINK("http://141.218.60.56/~jnz1568/getInfo.php?workbook=16_08.xlsx&amp;sheet=E0&amp;row=53&amp;col=10&amp;number=2035350&amp;sourceID=14","2035350")</f>
        <v>2035350</v>
      </c>
    </row>
    <row r="54" spans="1:10">
      <c r="A54" s="3">
        <v>16</v>
      </c>
      <c r="B54" s="3">
        <v>8</v>
      </c>
      <c r="C54" s="3">
        <v>51</v>
      </c>
      <c r="D54" s="3" t="s">
        <v>30</v>
      </c>
      <c r="E54" s="3" t="s">
        <v>23</v>
      </c>
      <c r="F54" s="3">
        <v>3</v>
      </c>
      <c r="G54" s="3">
        <v>2</v>
      </c>
      <c r="H54" s="3">
        <v>0</v>
      </c>
      <c r="I54" s="3">
        <v>3</v>
      </c>
      <c r="J54" s="4" t="str">
        <f>HYPERLINK("http://141.218.60.56/~jnz1568/getInfo.php?workbook=16_08.xlsx&amp;sheet=E0&amp;row=54&amp;col=10&amp;number=2035872&amp;sourceID=14","2035872")</f>
        <v>2035872</v>
      </c>
    </row>
    <row r="55" spans="1:10">
      <c r="A55" s="3">
        <v>16</v>
      </c>
      <c r="B55" s="3">
        <v>8</v>
      </c>
      <c r="C55" s="3">
        <v>52</v>
      </c>
      <c r="D55" s="3" t="s">
        <v>32</v>
      </c>
      <c r="E55" s="3" t="s">
        <v>13</v>
      </c>
      <c r="F55" s="3">
        <v>3</v>
      </c>
      <c r="G55" s="3">
        <v>1</v>
      </c>
      <c r="H55" s="3">
        <v>1</v>
      </c>
      <c r="I55" s="3">
        <v>2</v>
      </c>
      <c r="J55" s="4" t="str">
        <f>HYPERLINK("http://141.218.60.56/~jnz1568/getInfo.php?workbook=16_08.xlsx&amp;sheet=E0&amp;row=55&amp;col=10&amp;number=0&amp;sourceID=14","0")</f>
        <v>0</v>
      </c>
    </row>
    <row r="56" spans="1:10">
      <c r="A56" s="3">
        <v>16</v>
      </c>
      <c r="B56" s="3">
        <v>8</v>
      </c>
      <c r="C56" s="3">
        <v>53</v>
      </c>
      <c r="D56" s="3" t="s">
        <v>32</v>
      </c>
      <c r="E56" s="3" t="s">
        <v>13</v>
      </c>
      <c r="F56" s="3">
        <v>3</v>
      </c>
      <c r="G56" s="3">
        <v>1</v>
      </c>
      <c r="H56" s="3">
        <v>1</v>
      </c>
      <c r="I56" s="3">
        <v>1</v>
      </c>
      <c r="J56" s="4" t="str">
        <f>HYPERLINK("http://141.218.60.56/~jnz1568/getInfo.php?workbook=16_08.xlsx&amp;sheet=E0&amp;row=56&amp;col=10&amp;number=0&amp;sourceID=14","0")</f>
        <v>0</v>
      </c>
    </row>
    <row r="57" spans="1:10">
      <c r="A57" s="3">
        <v>16</v>
      </c>
      <c r="B57" s="3">
        <v>8</v>
      </c>
      <c r="C57" s="3">
        <v>54</v>
      </c>
      <c r="D57" s="3" t="s">
        <v>32</v>
      </c>
      <c r="E57" s="3" t="s">
        <v>13</v>
      </c>
      <c r="F57" s="3">
        <v>3</v>
      </c>
      <c r="G57" s="3">
        <v>1</v>
      </c>
      <c r="H57" s="3">
        <v>1</v>
      </c>
      <c r="I57" s="3">
        <v>0</v>
      </c>
      <c r="J57" s="4" t="str">
        <f>HYPERLINK("http://141.218.60.56/~jnz1568/getInfo.php?workbook=16_08.xlsx&amp;sheet=E0&amp;row=57&amp;col=10&amp;number=0&amp;sourceID=14","0")</f>
        <v>0</v>
      </c>
    </row>
    <row r="58" spans="1:10">
      <c r="A58" s="3">
        <v>16</v>
      </c>
      <c r="B58" s="3">
        <v>8</v>
      </c>
      <c r="C58" s="3">
        <v>55</v>
      </c>
      <c r="D58" s="3" t="s">
        <v>32</v>
      </c>
      <c r="E58" s="3" t="s">
        <v>14</v>
      </c>
      <c r="F58" s="3">
        <v>1</v>
      </c>
      <c r="G58" s="3">
        <v>2</v>
      </c>
      <c r="H58" s="3">
        <v>0</v>
      </c>
      <c r="I58" s="3">
        <v>2</v>
      </c>
      <c r="J58" s="4" t="str">
        <f>HYPERLINK("http://141.218.60.56/~jnz1568/getInfo.php?workbook=16_08.xlsx&amp;sheet=E0&amp;row=58&amp;col=10&amp;number=0&amp;sourceID=14","0")</f>
        <v>0</v>
      </c>
    </row>
    <row r="59" spans="1:10">
      <c r="A59" s="3">
        <v>16</v>
      </c>
      <c r="B59" s="3">
        <v>8</v>
      </c>
      <c r="C59" s="3">
        <v>56</v>
      </c>
      <c r="D59" s="3" t="s">
        <v>33</v>
      </c>
      <c r="E59" s="3" t="s">
        <v>28</v>
      </c>
      <c r="F59" s="3">
        <v>3</v>
      </c>
      <c r="G59" s="3">
        <v>3</v>
      </c>
      <c r="H59" s="3">
        <v>1</v>
      </c>
      <c r="I59" s="3">
        <v>2</v>
      </c>
      <c r="J59" s="4" t="str">
        <f>HYPERLINK("http://141.218.60.56/~jnz1568/getInfo.php?workbook=16_08.xlsx&amp;sheet=E0&amp;row=59&amp;col=10&amp;number=0&amp;sourceID=14","0")</f>
        <v>0</v>
      </c>
    </row>
    <row r="60" spans="1:10">
      <c r="A60" s="3">
        <v>16</v>
      </c>
      <c r="B60" s="3">
        <v>8</v>
      </c>
      <c r="C60" s="3">
        <v>57</v>
      </c>
      <c r="D60" s="3" t="s">
        <v>33</v>
      </c>
      <c r="E60" s="3" t="s">
        <v>28</v>
      </c>
      <c r="F60" s="3">
        <v>3</v>
      </c>
      <c r="G60" s="3">
        <v>3</v>
      </c>
      <c r="H60" s="3">
        <v>1</v>
      </c>
      <c r="I60" s="3">
        <v>3</v>
      </c>
      <c r="J60" s="4" t="str">
        <f>HYPERLINK("http://141.218.60.56/~jnz1568/getInfo.php?workbook=16_08.xlsx&amp;sheet=E0&amp;row=60&amp;col=10&amp;number=2089593&amp;sourceID=14","2089593")</f>
        <v>2089593</v>
      </c>
    </row>
    <row r="61" spans="1:10">
      <c r="A61" s="3">
        <v>16</v>
      </c>
      <c r="B61" s="3">
        <v>8</v>
      </c>
      <c r="C61" s="3">
        <v>58</v>
      </c>
      <c r="D61" s="3" t="s">
        <v>33</v>
      </c>
      <c r="E61" s="3" t="s">
        <v>15</v>
      </c>
      <c r="F61" s="3">
        <v>1</v>
      </c>
      <c r="G61" s="3">
        <v>0</v>
      </c>
      <c r="H61" s="3">
        <v>0</v>
      </c>
      <c r="I61" s="3">
        <v>0</v>
      </c>
      <c r="J61" s="4" t="str">
        <f>HYPERLINK("http://141.218.60.56/~jnz1568/getInfo.php?workbook=16_08.xlsx&amp;sheet=E0&amp;row=61&amp;col=10&amp;number=0&amp;sourceID=14","0")</f>
        <v>0</v>
      </c>
    </row>
    <row r="62" spans="1:10">
      <c r="A62" s="3">
        <v>16</v>
      </c>
      <c r="B62" s="3">
        <v>8</v>
      </c>
      <c r="C62" s="3">
        <v>59</v>
      </c>
      <c r="D62" s="3" t="s">
        <v>33</v>
      </c>
      <c r="E62" s="3" t="s">
        <v>28</v>
      </c>
      <c r="F62" s="3">
        <v>3</v>
      </c>
      <c r="G62" s="3">
        <v>3</v>
      </c>
      <c r="H62" s="3">
        <v>1</v>
      </c>
      <c r="I62" s="3">
        <v>4</v>
      </c>
      <c r="J62" s="4" t="str">
        <f>HYPERLINK("http://141.218.60.56/~jnz1568/getInfo.php?workbook=16_08.xlsx&amp;sheet=E0&amp;row=62&amp;col=10&amp;number=2091379&amp;sourceID=14","2091379")</f>
        <v>2091379</v>
      </c>
    </row>
    <row r="63" spans="1:10">
      <c r="A63" s="3">
        <v>16</v>
      </c>
      <c r="B63" s="3">
        <v>8</v>
      </c>
      <c r="C63" s="3">
        <v>60</v>
      </c>
      <c r="D63" s="3" t="s">
        <v>33</v>
      </c>
      <c r="E63" s="3" t="s">
        <v>34</v>
      </c>
      <c r="F63" s="3">
        <v>3</v>
      </c>
      <c r="G63" s="3">
        <v>4</v>
      </c>
      <c r="H63" s="3">
        <v>0</v>
      </c>
      <c r="I63" s="3">
        <v>3</v>
      </c>
      <c r="J63" s="4" t="str">
        <f>HYPERLINK("http://141.218.60.56/~jnz1568/getInfo.php?workbook=16_08.xlsx&amp;sheet=E0&amp;row=63&amp;col=10&amp;number=2098027&amp;sourceID=14","2098027")</f>
        <v>2098027</v>
      </c>
    </row>
    <row r="64" spans="1:10">
      <c r="A64" s="3">
        <v>16</v>
      </c>
      <c r="B64" s="3">
        <v>8</v>
      </c>
      <c r="C64" s="3">
        <v>61</v>
      </c>
      <c r="D64" s="3" t="s">
        <v>33</v>
      </c>
      <c r="E64" s="3" t="s">
        <v>34</v>
      </c>
      <c r="F64" s="3">
        <v>3</v>
      </c>
      <c r="G64" s="3">
        <v>4</v>
      </c>
      <c r="H64" s="3">
        <v>0</v>
      </c>
      <c r="I64" s="3">
        <v>4</v>
      </c>
      <c r="J64" s="4" t="str">
        <f>HYPERLINK("http://141.218.60.56/~jnz1568/getInfo.php?workbook=16_08.xlsx&amp;sheet=E0&amp;row=64&amp;col=10&amp;number=2098341&amp;sourceID=14","2098341")</f>
        <v>2098341</v>
      </c>
    </row>
    <row r="65" spans="1:10">
      <c r="A65" s="3">
        <v>16</v>
      </c>
      <c r="B65" s="3">
        <v>8</v>
      </c>
      <c r="C65" s="3">
        <v>62</v>
      </c>
      <c r="D65" s="3" t="s">
        <v>33</v>
      </c>
      <c r="E65" s="3" t="s">
        <v>34</v>
      </c>
      <c r="F65" s="3">
        <v>3</v>
      </c>
      <c r="G65" s="3">
        <v>4</v>
      </c>
      <c r="H65" s="3">
        <v>0</v>
      </c>
      <c r="I65" s="3">
        <v>5</v>
      </c>
      <c r="J65" s="4" t="str">
        <f>HYPERLINK("http://141.218.60.56/~jnz1568/getInfo.php?workbook=16_08.xlsx&amp;sheet=E0&amp;row=65&amp;col=10&amp;number=2098648&amp;sourceID=14","2098648")</f>
        <v>2098648</v>
      </c>
    </row>
    <row r="66" spans="1:10">
      <c r="A66" s="3">
        <v>16</v>
      </c>
      <c r="B66" s="3">
        <v>8</v>
      </c>
      <c r="C66" s="3">
        <v>63</v>
      </c>
      <c r="D66" s="3" t="s">
        <v>33</v>
      </c>
      <c r="E66" s="3" t="s">
        <v>35</v>
      </c>
      <c r="F66" s="3">
        <v>1</v>
      </c>
      <c r="G66" s="3">
        <v>4</v>
      </c>
      <c r="H66" s="3">
        <v>0</v>
      </c>
      <c r="I66" s="3">
        <v>4</v>
      </c>
      <c r="J66" s="4" t="str">
        <f>HYPERLINK("http://141.218.60.56/~jnz1568/getInfo.php?workbook=16_08.xlsx&amp;sheet=E0&amp;row=66&amp;col=10&amp;number=2100854&amp;sourceID=14","2100854")</f>
        <v>2100854</v>
      </c>
    </row>
    <row r="67" spans="1:10">
      <c r="A67" s="3">
        <v>16</v>
      </c>
      <c r="B67" s="3">
        <v>8</v>
      </c>
      <c r="C67" s="3">
        <v>64</v>
      </c>
      <c r="D67" s="3" t="s">
        <v>33</v>
      </c>
      <c r="E67" s="3" t="s">
        <v>23</v>
      </c>
      <c r="F67" s="3">
        <v>3</v>
      </c>
      <c r="G67" s="3">
        <v>2</v>
      </c>
      <c r="H67" s="3">
        <v>0</v>
      </c>
      <c r="I67" s="3">
        <v>1</v>
      </c>
      <c r="J67" s="4" t="str">
        <f>HYPERLINK("http://141.218.60.56/~jnz1568/getInfo.php?workbook=16_08.xlsx&amp;sheet=E0&amp;row=67&amp;col=10&amp;number=2105328&amp;sourceID=14","2105328")</f>
        <v>2105328</v>
      </c>
    </row>
    <row r="68" spans="1:10">
      <c r="A68" s="3">
        <v>16</v>
      </c>
      <c r="B68" s="3">
        <v>8</v>
      </c>
      <c r="C68" s="3">
        <v>65</v>
      </c>
      <c r="D68" s="3" t="s">
        <v>33</v>
      </c>
      <c r="E68" s="3" t="s">
        <v>23</v>
      </c>
      <c r="F68" s="3">
        <v>3</v>
      </c>
      <c r="G68" s="3">
        <v>2</v>
      </c>
      <c r="H68" s="3">
        <v>0</v>
      </c>
      <c r="I68" s="3">
        <v>2</v>
      </c>
      <c r="J68" s="4" t="str">
        <f>HYPERLINK("http://141.218.60.56/~jnz1568/getInfo.php?workbook=16_08.xlsx&amp;sheet=E0&amp;row=68&amp;col=10&amp;number=2108119&amp;sourceID=14","2108119")</f>
        <v>2108119</v>
      </c>
    </row>
    <row r="69" spans="1:10">
      <c r="A69" s="3">
        <v>16</v>
      </c>
      <c r="B69" s="3">
        <v>8</v>
      </c>
      <c r="C69" s="3">
        <v>66</v>
      </c>
      <c r="D69" s="3" t="s">
        <v>32</v>
      </c>
      <c r="E69" s="3" t="s">
        <v>15</v>
      </c>
      <c r="F69" s="3">
        <v>1</v>
      </c>
      <c r="G69" s="3">
        <v>0</v>
      </c>
      <c r="H69" s="3">
        <v>0</v>
      </c>
      <c r="I69" s="3">
        <v>0</v>
      </c>
      <c r="J69" s="4" t="str">
        <f>HYPERLINK("http://141.218.60.56/~jnz1568/getInfo.php?workbook=16_08.xlsx&amp;sheet=E0&amp;row=69&amp;col=10&amp;number=0&amp;sourceID=14","0")</f>
        <v>0</v>
      </c>
    </row>
    <row r="70" spans="1:10">
      <c r="A70" s="3">
        <v>16</v>
      </c>
      <c r="B70" s="3">
        <v>8</v>
      </c>
      <c r="C70" s="3">
        <v>67</v>
      </c>
      <c r="D70" s="3" t="s">
        <v>33</v>
      </c>
      <c r="E70" s="3" t="s">
        <v>23</v>
      </c>
      <c r="F70" s="3">
        <v>3</v>
      </c>
      <c r="G70" s="3">
        <v>2</v>
      </c>
      <c r="H70" s="3">
        <v>0</v>
      </c>
      <c r="I70" s="3">
        <v>3</v>
      </c>
      <c r="J70" s="4" t="str">
        <f>HYPERLINK("http://141.218.60.56/~jnz1568/getInfo.php?workbook=16_08.xlsx&amp;sheet=E0&amp;row=70&amp;col=10&amp;number=2108237&amp;sourceID=14","2108237")</f>
        <v>2108237</v>
      </c>
    </row>
    <row r="71" spans="1:10">
      <c r="A71" s="3">
        <v>16</v>
      </c>
      <c r="B71" s="3">
        <v>8</v>
      </c>
      <c r="C71" s="3">
        <v>68</v>
      </c>
      <c r="D71" s="3" t="s">
        <v>33</v>
      </c>
      <c r="E71" s="3" t="s">
        <v>17</v>
      </c>
      <c r="F71" s="3">
        <v>1</v>
      </c>
      <c r="G71" s="3">
        <v>1</v>
      </c>
      <c r="H71" s="3">
        <v>1</v>
      </c>
      <c r="I71" s="3">
        <v>1</v>
      </c>
      <c r="J71" s="4" t="str">
        <f>HYPERLINK("http://141.218.60.56/~jnz1568/getInfo.php?workbook=16_08.xlsx&amp;sheet=E0&amp;row=71&amp;col=10&amp;number=2108889&amp;sourceID=14","2108889")</f>
        <v>2108889</v>
      </c>
    </row>
    <row r="72" spans="1:10">
      <c r="A72" s="3">
        <v>16</v>
      </c>
      <c r="B72" s="3">
        <v>8</v>
      </c>
      <c r="C72" s="3">
        <v>69</v>
      </c>
      <c r="D72" s="3" t="s">
        <v>33</v>
      </c>
      <c r="E72" s="3" t="s">
        <v>13</v>
      </c>
      <c r="F72" s="3">
        <v>3</v>
      </c>
      <c r="G72" s="3">
        <v>1</v>
      </c>
      <c r="H72" s="3">
        <v>1</v>
      </c>
      <c r="I72" s="3">
        <v>2</v>
      </c>
      <c r="J72" s="4" t="str">
        <f>HYPERLINK("http://141.218.60.56/~jnz1568/getInfo.php?workbook=16_08.xlsx&amp;sheet=E0&amp;row=72&amp;col=10&amp;number=2116447&amp;sourceID=14","2116447")</f>
        <v>2116447</v>
      </c>
    </row>
    <row r="73" spans="1:10">
      <c r="A73" s="3">
        <v>16</v>
      </c>
      <c r="B73" s="3">
        <v>8</v>
      </c>
      <c r="C73" s="3">
        <v>70</v>
      </c>
      <c r="D73" s="3" t="s">
        <v>33</v>
      </c>
      <c r="E73" s="3" t="s">
        <v>13</v>
      </c>
      <c r="F73" s="3">
        <v>3</v>
      </c>
      <c r="G73" s="3">
        <v>1</v>
      </c>
      <c r="H73" s="3">
        <v>1</v>
      </c>
      <c r="I73" s="3">
        <v>1</v>
      </c>
      <c r="J73" s="4" t="str">
        <f>HYPERLINK("http://141.218.60.56/~jnz1568/getInfo.php?workbook=16_08.xlsx&amp;sheet=E0&amp;row=73&amp;col=10&amp;number=2119241&amp;sourceID=14","2119241")</f>
        <v>2119241</v>
      </c>
    </row>
    <row r="74" spans="1:10">
      <c r="A74" s="3">
        <v>16</v>
      </c>
      <c r="B74" s="3">
        <v>8</v>
      </c>
      <c r="C74" s="3">
        <v>71</v>
      </c>
      <c r="D74" s="3" t="s">
        <v>33</v>
      </c>
      <c r="E74" s="3" t="s">
        <v>13</v>
      </c>
      <c r="F74" s="3">
        <v>3</v>
      </c>
      <c r="G74" s="3">
        <v>1</v>
      </c>
      <c r="H74" s="3">
        <v>1</v>
      </c>
      <c r="I74" s="3">
        <v>0</v>
      </c>
      <c r="J74" s="4" t="str">
        <f>HYPERLINK("http://141.218.60.56/~jnz1568/getInfo.php?workbook=16_08.xlsx&amp;sheet=E0&amp;row=74&amp;col=10&amp;number=2119471&amp;sourceID=14","2119471")</f>
        <v>2119471</v>
      </c>
    </row>
    <row r="75" spans="1:10">
      <c r="A75" s="3">
        <v>16</v>
      </c>
      <c r="B75" s="3">
        <v>8</v>
      </c>
      <c r="C75" s="3">
        <v>72</v>
      </c>
      <c r="D75" s="3" t="s">
        <v>33</v>
      </c>
      <c r="E75" s="3" t="s">
        <v>14</v>
      </c>
      <c r="F75" s="3">
        <v>1</v>
      </c>
      <c r="G75" s="3">
        <v>2</v>
      </c>
      <c r="H75" s="3">
        <v>0</v>
      </c>
      <c r="I75" s="3">
        <v>2</v>
      </c>
      <c r="J75" s="4" t="str">
        <f>HYPERLINK("http://141.218.60.56/~jnz1568/getInfo.php?workbook=16_08.xlsx&amp;sheet=E0&amp;row=75&amp;col=10&amp;number=2117433&amp;sourceID=14","2117433")</f>
        <v>2117433</v>
      </c>
    </row>
    <row r="76" spans="1:10">
      <c r="A76" s="3">
        <v>16</v>
      </c>
      <c r="B76" s="3">
        <v>8</v>
      </c>
      <c r="C76" s="3">
        <v>73</v>
      </c>
      <c r="D76" s="3" t="s">
        <v>33</v>
      </c>
      <c r="E76" s="3" t="s">
        <v>21</v>
      </c>
      <c r="F76" s="3">
        <v>3</v>
      </c>
      <c r="G76" s="3">
        <v>0</v>
      </c>
      <c r="H76" s="3">
        <v>0</v>
      </c>
      <c r="I76" s="3">
        <v>1</v>
      </c>
      <c r="J76" s="4" t="str">
        <f>HYPERLINK("http://141.218.60.56/~jnz1568/getInfo.php?workbook=16_08.xlsx&amp;sheet=E0&amp;row=76&amp;col=10&amp;number=2125430&amp;sourceID=14","2125430")</f>
        <v>2125430</v>
      </c>
    </row>
    <row r="77" spans="1:10">
      <c r="A77" s="3">
        <v>16</v>
      </c>
      <c r="B77" s="3">
        <v>8</v>
      </c>
      <c r="C77" s="3">
        <v>74</v>
      </c>
      <c r="D77" s="3" t="s">
        <v>36</v>
      </c>
      <c r="E77" s="3" t="s">
        <v>28</v>
      </c>
      <c r="F77" s="3">
        <v>3</v>
      </c>
      <c r="G77" s="3">
        <v>3</v>
      </c>
      <c r="H77" s="3">
        <v>1</v>
      </c>
      <c r="I77" s="3">
        <v>3</v>
      </c>
      <c r="J77" s="4" t="str">
        <f>HYPERLINK("http://141.218.60.56/~jnz1568/getInfo.php?workbook=16_08.xlsx&amp;sheet=E0&amp;row=77&amp;col=10&amp;number=2134793&amp;sourceID=14","2134793")</f>
        <v>2134793</v>
      </c>
    </row>
    <row r="78" spans="1:10">
      <c r="A78" s="3">
        <v>16</v>
      </c>
      <c r="B78" s="3">
        <v>8</v>
      </c>
      <c r="C78" s="3">
        <v>75</v>
      </c>
      <c r="D78" s="3" t="s">
        <v>36</v>
      </c>
      <c r="E78" s="3" t="s">
        <v>28</v>
      </c>
      <c r="F78" s="3">
        <v>3</v>
      </c>
      <c r="G78" s="3">
        <v>3</v>
      </c>
      <c r="H78" s="3">
        <v>1</v>
      </c>
      <c r="I78" s="3">
        <v>4</v>
      </c>
      <c r="J78" s="4" t="str">
        <f>HYPERLINK("http://141.218.60.56/~jnz1568/getInfo.php?workbook=16_08.xlsx&amp;sheet=E0&amp;row=78&amp;col=10&amp;number=2144054&amp;sourceID=14","2144054")</f>
        <v>2144054</v>
      </c>
    </row>
    <row r="79" spans="1:10">
      <c r="A79" s="3">
        <v>16</v>
      </c>
      <c r="B79" s="3">
        <v>8</v>
      </c>
      <c r="C79" s="3">
        <v>76</v>
      </c>
      <c r="D79" s="3" t="s">
        <v>33</v>
      </c>
      <c r="E79" s="3" t="s">
        <v>29</v>
      </c>
      <c r="F79" s="3">
        <v>1</v>
      </c>
      <c r="G79" s="3">
        <v>3</v>
      </c>
      <c r="H79" s="3">
        <v>1</v>
      </c>
      <c r="I79" s="3">
        <v>3</v>
      </c>
      <c r="J79" s="4" t="str">
        <f>HYPERLINK("http://141.218.60.56/~jnz1568/getInfo.php?workbook=16_08.xlsx&amp;sheet=E0&amp;row=79&amp;col=10&amp;number=2134707&amp;sourceID=14","2134707")</f>
        <v>2134707</v>
      </c>
    </row>
    <row r="80" spans="1:10">
      <c r="A80" s="3">
        <v>16</v>
      </c>
      <c r="B80" s="3">
        <v>8</v>
      </c>
      <c r="C80" s="3">
        <v>77</v>
      </c>
      <c r="D80" s="3" t="s">
        <v>36</v>
      </c>
      <c r="E80" s="3" t="s">
        <v>28</v>
      </c>
      <c r="F80" s="3">
        <v>3</v>
      </c>
      <c r="G80" s="3">
        <v>3</v>
      </c>
      <c r="H80" s="3">
        <v>1</v>
      </c>
      <c r="I80" s="3">
        <v>2</v>
      </c>
      <c r="J80" s="4" t="str">
        <f>HYPERLINK("http://141.218.60.56/~jnz1568/getInfo.php?workbook=16_08.xlsx&amp;sheet=E0&amp;row=80&amp;col=10&amp;number=2142300&amp;sourceID=14","2142300")</f>
        <v>2142300</v>
      </c>
    </row>
    <row r="81" spans="1:10">
      <c r="A81" s="3">
        <v>16</v>
      </c>
      <c r="B81" s="3">
        <v>8</v>
      </c>
      <c r="C81" s="3">
        <v>78</v>
      </c>
      <c r="D81" s="3" t="s">
        <v>36</v>
      </c>
      <c r="E81" s="3" t="s">
        <v>13</v>
      </c>
      <c r="F81" s="3">
        <v>3</v>
      </c>
      <c r="G81" s="3">
        <v>1</v>
      </c>
      <c r="H81" s="3">
        <v>1</v>
      </c>
      <c r="I81" s="3">
        <v>0</v>
      </c>
      <c r="J81" s="4" t="str">
        <f>HYPERLINK("http://141.218.60.56/~jnz1568/getInfo.php?workbook=16_08.xlsx&amp;sheet=E0&amp;row=81&amp;col=10&amp;number=2142776&amp;sourceID=14","2142776")</f>
        <v>2142776</v>
      </c>
    </row>
    <row r="82" spans="1:10">
      <c r="A82" s="3">
        <v>16</v>
      </c>
      <c r="B82" s="3">
        <v>8</v>
      </c>
      <c r="C82" s="3">
        <v>79</v>
      </c>
      <c r="D82" s="3" t="s">
        <v>36</v>
      </c>
      <c r="E82" s="3" t="s">
        <v>13</v>
      </c>
      <c r="F82" s="3">
        <v>3</v>
      </c>
      <c r="G82" s="3">
        <v>1</v>
      </c>
      <c r="H82" s="3">
        <v>1</v>
      </c>
      <c r="I82" s="3">
        <v>1</v>
      </c>
      <c r="J82" s="4" t="str">
        <f>HYPERLINK("http://141.218.60.56/~jnz1568/getInfo.php?workbook=16_08.xlsx&amp;sheet=E0&amp;row=82&amp;col=10&amp;number=2144800&amp;sourceID=14","2144800")</f>
        <v>2144800</v>
      </c>
    </row>
    <row r="83" spans="1:10">
      <c r="A83" s="3">
        <v>16</v>
      </c>
      <c r="B83" s="3">
        <v>8</v>
      </c>
      <c r="C83" s="3">
        <v>80</v>
      </c>
      <c r="D83" s="3" t="s">
        <v>36</v>
      </c>
      <c r="E83" s="3" t="s">
        <v>13</v>
      </c>
      <c r="F83" s="3">
        <v>3</v>
      </c>
      <c r="G83" s="3">
        <v>1</v>
      </c>
      <c r="H83" s="3">
        <v>1</v>
      </c>
      <c r="I83" s="3">
        <v>2</v>
      </c>
      <c r="J83" s="4" t="str">
        <f>HYPERLINK("http://141.218.60.56/~jnz1568/getInfo.php?workbook=16_08.xlsx&amp;sheet=E0&amp;row=83&amp;col=10&amp;number=2146570&amp;sourceID=14","2146570")</f>
        <v>2146570</v>
      </c>
    </row>
    <row r="84" spans="1:10">
      <c r="A84" s="3">
        <v>16</v>
      </c>
      <c r="B84" s="3">
        <v>8</v>
      </c>
      <c r="C84" s="3">
        <v>81</v>
      </c>
      <c r="D84" s="3" t="s">
        <v>36</v>
      </c>
      <c r="E84" s="3" t="s">
        <v>14</v>
      </c>
      <c r="F84" s="3">
        <v>1</v>
      </c>
      <c r="G84" s="3">
        <v>2</v>
      </c>
      <c r="H84" s="3">
        <v>0</v>
      </c>
      <c r="I84" s="3">
        <v>2</v>
      </c>
      <c r="J84" s="4" t="str">
        <f>HYPERLINK("http://141.218.60.56/~jnz1568/getInfo.php?workbook=16_08.xlsx&amp;sheet=E0&amp;row=84&amp;col=10&amp;number=2154572&amp;sourceID=14","2154572")</f>
        <v>2154572</v>
      </c>
    </row>
    <row r="85" spans="1:10">
      <c r="A85" s="3">
        <v>16</v>
      </c>
      <c r="B85" s="3">
        <v>8</v>
      </c>
      <c r="C85" s="3">
        <v>82</v>
      </c>
      <c r="D85" s="3" t="s">
        <v>36</v>
      </c>
      <c r="E85" s="3" t="s">
        <v>23</v>
      </c>
      <c r="F85" s="3">
        <v>3</v>
      </c>
      <c r="G85" s="3">
        <v>2</v>
      </c>
      <c r="H85" s="3">
        <v>0</v>
      </c>
      <c r="I85" s="3">
        <v>3</v>
      </c>
      <c r="J85" s="4" t="str">
        <f>HYPERLINK("http://141.218.60.56/~jnz1568/getInfo.php?workbook=16_08.xlsx&amp;sheet=E0&amp;row=85&amp;col=10&amp;number=2156427&amp;sourceID=14","2156427")</f>
        <v>2156427</v>
      </c>
    </row>
    <row r="86" spans="1:10">
      <c r="A86" s="3">
        <v>16</v>
      </c>
      <c r="B86" s="3">
        <v>8</v>
      </c>
      <c r="C86" s="3">
        <v>83</v>
      </c>
      <c r="D86" s="3" t="s">
        <v>36</v>
      </c>
      <c r="E86" s="3" t="s">
        <v>23</v>
      </c>
      <c r="F86" s="3">
        <v>3</v>
      </c>
      <c r="G86" s="3">
        <v>2</v>
      </c>
      <c r="H86" s="3">
        <v>0</v>
      </c>
      <c r="I86" s="3">
        <v>1</v>
      </c>
      <c r="J86" s="4" t="str">
        <f>HYPERLINK("http://141.218.60.56/~jnz1568/getInfo.php?workbook=16_08.xlsx&amp;sheet=E0&amp;row=86&amp;col=10&amp;number=2156259&amp;sourceID=14","2156259")</f>
        <v>2156259</v>
      </c>
    </row>
    <row r="87" spans="1:10">
      <c r="A87" s="3">
        <v>16</v>
      </c>
      <c r="B87" s="3">
        <v>8</v>
      </c>
      <c r="C87" s="3">
        <v>84</v>
      </c>
      <c r="D87" s="3" t="s">
        <v>36</v>
      </c>
      <c r="E87" s="3" t="s">
        <v>23</v>
      </c>
      <c r="F87" s="3">
        <v>3</v>
      </c>
      <c r="G87" s="3">
        <v>2</v>
      </c>
      <c r="H87" s="3">
        <v>0</v>
      </c>
      <c r="I87" s="3">
        <v>2</v>
      </c>
      <c r="J87" s="4" t="str">
        <f>HYPERLINK("http://141.218.60.56/~jnz1568/getInfo.php?workbook=16_08.xlsx&amp;sheet=E0&amp;row=87&amp;col=10&amp;number=2162761&amp;sourceID=14","2162761")</f>
        <v>2162761</v>
      </c>
    </row>
    <row r="88" spans="1:10">
      <c r="A88" s="3">
        <v>16</v>
      </c>
      <c r="B88" s="3">
        <v>8</v>
      </c>
      <c r="C88" s="3">
        <v>85</v>
      </c>
      <c r="D88" s="3" t="s">
        <v>36</v>
      </c>
      <c r="E88" s="3" t="s">
        <v>29</v>
      </c>
      <c r="F88" s="3">
        <v>1</v>
      </c>
      <c r="G88" s="3">
        <v>3</v>
      </c>
      <c r="H88" s="3">
        <v>1</v>
      </c>
      <c r="I88" s="3">
        <v>3</v>
      </c>
      <c r="J88" s="4" t="str">
        <f>HYPERLINK("http://141.218.60.56/~jnz1568/getInfo.php?workbook=16_08.xlsx&amp;sheet=E0&amp;row=88&amp;col=10&amp;number=2166710&amp;sourceID=14","2166710")</f>
        <v>2166710</v>
      </c>
    </row>
    <row r="89" spans="1:10">
      <c r="A89" s="3">
        <v>16</v>
      </c>
      <c r="B89" s="3">
        <v>8</v>
      </c>
      <c r="C89" s="3">
        <v>86</v>
      </c>
      <c r="D89" s="3" t="s">
        <v>36</v>
      </c>
      <c r="E89" s="3" t="s">
        <v>17</v>
      </c>
      <c r="F89" s="3">
        <v>1</v>
      </c>
      <c r="G89" s="3">
        <v>1</v>
      </c>
      <c r="H89" s="3">
        <v>1</v>
      </c>
      <c r="I89" s="3">
        <v>1</v>
      </c>
      <c r="J89" s="4" t="str">
        <f>HYPERLINK("http://141.218.60.56/~jnz1568/getInfo.php?workbook=16_08.xlsx&amp;sheet=E0&amp;row=89&amp;col=10&amp;number=2190222&amp;sourceID=14","2190222")</f>
        <v>2190222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2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16</v>
      </c>
      <c r="B4" s="3">
        <v>8</v>
      </c>
      <c r="C4" s="3">
        <v>2</v>
      </c>
      <c r="D4" s="3">
        <v>1</v>
      </c>
      <c r="E4" s="3">
        <v>12523.481</v>
      </c>
      <c r="F4" s="4" t="str">
        <f>HYPERLINK("http://141.218.60.56/~jnz1568/getInfo.php?workbook=16_08.xlsx&amp;sheet=A0&amp;row=4&amp;col=6&amp;number=11.53&amp;sourceID=14","11.53")</f>
        <v>11.53</v>
      </c>
      <c r="G4" s="4" t="str">
        <f>HYPERLINK("http://141.218.60.56/~jnz1568/getInfo.php?workbook=16_08.xlsx&amp;sheet=A0&amp;row=4&amp;col=7&amp;number=0&amp;sourceID=14","0")</f>
        <v>0</v>
      </c>
    </row>
    <row r="5" spans="1:7">
      <c r="A5" s="3">
        <v>16</v>
      </c>
      <c r="B5" s="3">
        <v>8</v>
      </c>
      <c r="C5" s="3">
        <v>3</v>
      </c>
      <c r="D5" s="3">
        <v>1</v>
      </c>
      <c r="E5" s="3">
        <v>9391.435</v>
      </c>
      <c r="F5" s="4" t="str">
        <f>HYPERLINK("http://141.218.60.56/~jnz1568/getInfo.php?workbook=16_08.xlsx&amp;sheet=A0&amp;row=5&amp;col=6&amp;number=0.0002494&amp;sourceID=14","0.0002494")</f>
        <v>0.0002494</v>
      </c>
      <c r="G5" s="4" t="str">
        <f>HYPERLINK("http://141.218.60.56/~jnz1568/getInfo.php?workbook=16_08.xlsx&amp;sheet=A0&amp;row=5&amp;col=7&amp;number=0&amp;sourceID=14","0")</f>
        <v>0</v>
      </c>
    </row>
    <row r="6" spans="1:7">
      <c r="A6" s="3">
        <v>16</v>
      </c>
      <c r="B6" s="3">
        <v>8</v>
      </c>
      <c r="C6" s="3">
        <v>3</v>
      </c>
      <c r="D6" s="3">
        <v>2</v>
      </c>
      <c r="E6" s="3">
        <v>37551.633</v>
      </c>
      <c r="F6" s="4" t="str">
        <f>HYPERLINK("http://141.218.60.56/~jnz1568/getInfo.php?workbook=16_08.xlsx&amp;sheet=A0&amp;row=6&amp;col=6&amp;number=0.9334&amp;sourceID=14","0.9334")</f>
        <v>0.9334</v>
      </c>
      <c r="G6" s="4" t="str">
        <f>HYPERLINK("http://141.218.60.56/~jnz1568/getInfo.php?workbook=16_08.xlsx&amp;sheet=A0&amp;row=6&amp;col=7&amp;number=0&amp;sourceID=14","0")</f>
        <v>0</v>
      </c>
    </row>
    <row r="7" spans="1:7">
      <c r="A7" s="3">
        <v>16</v>
      </c>
      <c r="B7" s="3">
        <v>8</v>
      </c>
      <c r="C7" s="3">
        <v>4</v>
      </c>
      <c r="D7" s="3">
        <v>1</v>
      </c>
      <c r="E7" s="3">
        <v>1715.413</v>
      </c>
      <c r="F7" s="4" t="str">
        <f>HYPERLINK("http://141.218.60.56/~jnz1568/getInfo.php?workbook=16_08.xlsx&amp;sheet=A0&amp;row=7&amp;col=6&amp;number=60.84&amp;sourceID=14","60.84")</f>
        <v>60.84</v>
      </c>
      <c r="G7" s="4" t="str">
        <f>HYPERLINK("http://141.218.60.56/~jnz1568/getInfo.php?workbook=16_08.xlsx&amp;sheet=A0&amp;row=7&amp;col=7&amp;number=0&amp;sourceID=14","0")</f>
        <v>0</v>
      </c>
    </row>
    <row r="8" spans="1:7">
      <c r="A8" s="3">
        <v>16</v>
      </c>
      <c r="B8" s="3">
        <v>8</v>
      </c>
      <c r="C8" s="3">
        <v>4</v>
      </c>
      <c r="D8" s="3">
        <v>2</v>
      </c>
      <c r="E8" s="3">
        <v>1987.676</v>
      </c>
      <c r="F8" s="4" t="str">
        <f>HYPERLINK("http://141.218.60.56/~jnz1568/getInfo.php?workbook=16_08.xlsx&amp;sheet=A0&amp;row=8&amp;col=6&amp;number=13.15&amp;sourceID=14","13.15")</f>
        <v>13.15</v>
      </c>
      <c r="G8" s="4" t="str">
        <f>HYPERLINK("http://141.218.60.56/~jnz1568/getInfo.php?workbook=16_08.xlsx&amp;sheet=A0&amp;row=8&amp;col=7&amp;number=0&amp;sourceID=14","0")</f>
        <v>0</v>
      </c>
    </row>
    <row r="9" spans="1:7">
      <c r="A9" s="3">
        <v>16</v>
      </c>
      <c r="B9" s="3">
        <v>8</v>
      </c>
      <c r="C9" s="3">
        <v>4</v>
      </c>
      <c r="D9" s="3">
        <v>3</v>
      </c>
      <c r="E9" s="3">
        <v>2098.768</v>
      </c>
      <c r="F9" s="4" t="str">
        <f>HYPERLINK("http://141.218.60.56/~jnz1568/getInfo.php?workbook=16_08.xlsx&amp;sheet=A0&amp;row=9&amp;col=6&amp;number=0.0007044&amp;sourceID=14","0.0007044")</f>
        <v>0.0007044</v>
      </c>
      <c r="G9" s="4" t="str">
        <f>HYPERLINK("http://141.218.60.56/~jnz1568/getInfo.php?workbook=16_08.xlsx&amp;sheet=A0&amp;row=9&amp;col=7&amp;number=0&amp;sourceID=14","0")</f>
        <v>0</v>
      </c>
    </row>
    <row r="10" spans="1:7">
      <c r="A10" s="3">
        <v>16</v>
      </c>
      <c r="B10" s="3">
        <v>8</v>
      </c>
      <c r="C10" s="3">
        <v>5</v>
      </c>
      <c r="D10" s="3">
        <v>1</v>
      </c>
      <c r="E10" s="3">
        <v>814.996</v>
      </c>
      <c r="F10" s="4" t="str">
        <f>HYPERLINK("http://141.218.60.56/~jnz1568/getInfo.php?workbook=16_08.xlsx&amp;sheet=A0&amp;row=10&amp;col=6&amp;number=0.3168&amp;sourceID=14","0.3168")</f>
        <v>0.3168</v>
      </c>
      <c r="G10" s="4" t="str">
        <f>HYPERLINK("http://141.218.60.56/~jnz1568/getInfo.php?workbook=16_08.xlsx&amp;sheet=A0&amp;row=10&amp;col=7&amp;number=0&amp;sourceID=14","0")</f>
        <v>0</v>
      </c>
    </row>
    <row r="11" spans="1:7">
      <c r="A11" s="3">
        <v>16</v>
      </c>
      <c r="B11" s="3">
        <v>8</v>
      </c>
      <c r="C11" s="3">
        <v>5</v>
      </c>
      <c r="D11" s="3">
        <v>2</v>
      </c>
      <c r="E11" s="3">
        <v>871.726</v>
      </c>
      <c r="F11" s="4" t="str">
        <f>HYPERLINK("http://141.218.60.56/~jnz1568/getInfo.php?workbook=16_08.xlsx&amp;sheet=A0&amp;row=11&amp;col=6&amp;number=671.3&amp;sourceID=14","671.3")</f>
        <v>671.3</v>
      </c>
      <c r="G11" s="4" t="str">
        <f>HYPERLINK("http://141.218.60.56/~jnz1568/getInfo.php?workbook=16_08.xlsx&amp;sheet=A0&amp;row=11&amp;col=7&amp;number=0&amp;sourceID=14","0")</f>
        <v>0</v>
      </c>
    </row>
    <row r="12" spans="1:7">
      <c r="A12" s="3">
        <v>16</v>
      </c>
      <c r="B12" s="3">
        <v>8</v>
      </c>
      <c r="C12" s="3">
        <v>5</v>
      </c>
      <c r="D12" s="3">
        <v>4</v>
      </c>
      <c r="E12" s="3">
        <v>1552.674</v>
      </c>
      <c r="F12" s="4" t="str">
        <f>HYPERLINK("http://141.218.60.56/~jnz1568/getInfo.php?workbook=16_08.xlsx&amp;sheet=A0&amp;row=12&amp;col=6&amp;number=7.681&amp;sourceID=14","7.681")</f>
        <v>7.681</v>
      </c>
      <c r="G12" s="4" t="str">
        <f>HYPERLINK("http://141.218.60.56/~jnz1568/getInfo.php?workbook=16_08.xlsx&amp;sheet=A0&amp;row=12&amp;col=7&amp;number=0&amp;sourceID=14","0")</f>
        <v>0</v>
      </c>
    </row>
    <row r="13" spans="1:7">
      <c r="A13" s="3">
        <v>16</v>
      </c>
      <c r="B13" s="3">
        <v>8</v>
      </c>
      <c r="C13" s="3">
        <v>6</v>
      </c>
      <c r="D13" s="3">
        <v>1</v>
      </c>
      <c r="E13" s="3">
        <v>224.726</v>
      </c>
      <c r="F13" s="4" t="str">
        <f>HYPERLINK("http://141.218.60.56/~jnz1568/getInfo.php?workbook=16_08.xlsx&amp;sheet=A0&amp;row=13&amp;col=6&amp;number=13320000000&amp;sourceID=14","13320000000")</f>
        <v>13320000000</v>
      </c>
      <c r="G13" s="4" t="str">
        <f>HYPERLINK("http://141.218.60.56/~jnz1568/getInfo.php?workbook=16_08.xlsx&amp;sheet=A0&amp;row=13&amp;col=7&amp;number=0&amp;sourceID=14","0")</f>
        <v>0</v>
      </c>
    </row>
    <row r="14" spans="1:7">
      <c r="A14" s="3">
        <v>16</v>
      </c>
      <c r="B14" s="3">
        <v>8</v>
      </c>
      <c r="C14" s="3">
        <v>6</v>
      </c>
      <c r="D14" s="3">
        <v>2</v>
      </c>
      <c r="E14" s="3">
        <v>228.832</v>
      </c>
      <c r="F14" s="4" t="str">
        <f>HYPERLINK("http://141.218.60.56/~jnz1568/getInfo.php?workbook=16_08.xlsx&amp;sheet=A0&amp;row=14&amp;col=6&amp;number=4225000000&amp;sourceID=14","4225000000")</f>
        <v>4225000000</v>
      </c>
      <c r="G14" s="4" t="str">
        <f>HYPERLINK("http://141.218.60.56/~jnz1568/getInfo.php?workbook=16_08.xlsx&amp;sheet=A0&amp;row=14&amp;col=7&amp;number=0&amp;sourceID=14","0")</f>
        <v>0</v>
      </c>
    </row>
    <row r="15" spans="1:7">
      <c r="A15" s="3">
        <v>16</v>
      </c>
      <c r="B15" s="3">
        <v>8</v>
      </c>
      <c r="C15" s="3">
        <v>6</v>
      </c>
      <c r="D15" s="3">
        <v>4</v>
      </c>
      <c r="E15" s="3">
        <v>258.604</v>
      </c>
      <c r="F15" s="4" t="str">
        <f>HYPERLINK("http://141.218.60.56/~jnz1568/getInfo.php?workbook=16_08.xlsx&amp;sheet=A0&amp;row=15&amp;col=6&amp;number=61980000&amp;sourceID=14","61980000")</f>
        <v>61980000</v>
      </c>
      <c r="G15" s="4" t="str">
        <f>HYPERLINK("http://141.218.60.56/~jnz1568/getInfo.php?workbook=16_08.xlsx&amp;sheet=A0&amp;row=15&amp;col=7&amp;number=0&amp;sourceID=14","0")</f>
        <v>0</v>
      </c>
    </row>
    <row r="16" spans="1:7">
      <c r="A16" s="3">
        <v>16</v>
      </c>
      <c r="B16" s="3">
        <v>8</v>
      </c>
      <c r="C16" s="3">
        <v>7</v>
      </c>
      <c r="D16" s="3">
        <v>1</v>
      </c>
      <c r="E16" s="3">
        <v>221.241</v>
      </c>
      <c r="F16" s="4" t="str">
        <f>HYPERLINK("http://141.218.60.56/~jnz1568/getInfo.php?workbook=16_08.xlsx&amp;sheet=A0&amp;row=16&amp;col=6&amp;number=7845000000&amp;sourceID=14","7845000000")</f>
        <v>7845000000</v>
      </c>
      <c r="G16" s="4" t="str">
        <f>HYPERLINK("http://141.218.60.56/~jnz1568/getInfo.php?workbook=16_08.xlsx&amp;sheet=A0&amp;row=16&amp;col=7&amp;number=0&amp;sourceID=14","0")</f>
        <v>0</v>
      </c>
    </row>
    <row r="17" spans="1:7">
      <c r="A17" s="3">
        <v>16</v>
      </c>
      <c r="B17" s="3">
        <v>8</v>
      </c>
      <c r="C17" s="3">
        <v>7</v>
      </c>
      <c r="D17" s="3">
        <v>2</v>
      </c>
      <c r="E17" s="3">
        <v>225.22</v>
      </c>
      <c r="F17" s="4" t="str">
        <f>HYPERLINK("http://141.218.60.56/~jnz1568/getInfo.php?workbook=16_08.xlsx&amp;sheet=A0&amp;row=17&amp;col=6&amp;number=4436000000&amp;sourceID=14","4436000000")</f>
        <v>4436000000</v>
      </c>
      <c r="G17" s="4" t="str">
        <f>HYPERLINK("http://141.218.60.56/~jnz1568/getInfo.php?workbook=16_08.xlsx&amp;sheet=A0&amp;row=17&amp;col=7&amp;number=0&amp;sourceID=14","0")</f>
        <v>0</v>
      </c>
    </row>
    <row r="18" spans="1:7">
      <c r="A18" s="3">
        <v>16</v>
      </c>
      <c r="B18" s="3">
        <v>8</v>
      </c>
      <c r="C18" s="3">
        <v>7</v>
      </c>
      <c r="D18" s="3">
        <v>3</v>
      </c>
      <c r="E18" s="3">
        <v>226.579</v>
      </c>
      <c r="F18" s="4" t="str">
        <f>HYPERLINK("http://141.218.60.56/~jnz1568/getInfo.php?workbook=16_08.xlsx&amp;sheet=A0&amp;row=18&amp;col=6&amp;number=5778000000&amp;sourceID=14","5778000000")</f>
        <v>5778000000</v>
      </c>
      <c r="G18" s="4" t="str">
        <f>HYPERLINK("http://141.218.60.56/~jnz1568/getInfo.php?workbook=16_08.xlsx&amp;sheet=A0&amp;row=18&amp;col=7&amp;number=0&amp;sourceID=14","0")</f>
        <v>0</v>
      </c>
    </row>
    <row r="19" spans="1:7">
      <c r="A19" s="3">
        <v>16</v>
      </c>
      <c r="B19" s="3">
        <v>8</v>
      </c>
      <c r="C19" s="3">
        <v>7</v>
      </c>
      <c r="D19" s="3">
        <v>4</v>
      </c>
      <c r="E19" s="3">
        <v>254.001</v>
      </c>
      <c r="F19" s="4" t="str">
        <f>HYPERLINK("http://141.218.60.56/~jnz1568/getInfo.php?workbook=16_08.xlsx&amp;sheet=A0&amp;row=19&amp;col=6&amp;number=3148000&amp;sourceID=14","3148000")</f>
        <v>3148000</v>
      </c>
      <c r="G19" s="4" t="str">
        <f>HYPERLINK("http://141.218.60.56/~jnz1568/getInfo.php?workbook=16_08.xlsx&amp;sheet=A0&amp;row=19&amp;col=7&amp;number=0&amp;sourceID=14","0")</f>
        <v>0</v>
      </c>
    </row>
    <row r="20" spans="1:7">
      <c r="A20" s="3">
        <v>16</v>
      </c>
      <c r="B20" s="3">
        <v>8</v>
      </c>
      <c r="C20" s="3">
        <v>7</v>
      </c>
      <c r="D20" s="3">
        <v>5</v>
      </c>
      <c r="E20" s="3">
        <v>303.679</v>
      </c>
      <c r="F20" s="4" t="str">
        <f>HYPERLINK("http://141.218.60.56/~jnz1568/getInfo.php?workbook=16_08.xlsx&amp;sheet=A0&amp;row=20&amp;col=6&amp;number=11990000&amp;sourceID=14","11990000")</f>
        <v>11990000</v>
      </c>
      <c r="G20" s="4" t="str">
        <f>HYPERLINK("http://141.218.60.56/~jnz1568/getInfo.php?workbook=16_08.xlsx&amp;sheet=A0&amp;row=20&amp;col=7&amp;number=0&amp;sourceID=14","0")</f>
        <v>0</v>
      </c>
    </row>
    <row r="21" spans="1:7">
      <c r="A21" s="3">
        <v>16</v>
      </c>
      <c r="B21" s="3">
        <v>8</v>
      </c>
      <c r="C21" s="3">
        <v>8</v>
      </c>
      <c r="D21" s="3">
        <v>2</v>
      </c>
      <c r="E21" s="3">
        <v>223.262</v>
      </c>
      <c r="F21" s="4" t="str">
        <f>HYPERLINK("http://141.218.60.56/~jnz1568/getInfo.php?workbook=16_08.xlsx&amp;sheet=A0&amp;row=21&amp;col=6&amp;number=18250000000&amp;sourceID=14","18250000000")</f>
        <v>18250000000</v>
      </c>
      <c r="G21" s="4" t="str">
        <f>HYPERLINK("http://141.218.60.56/~jnz1568/getInfo.php?workbook=16_08.xlsx&amp;sheet=A0&amp;row=21&amp;col=7&amp;number=0&amp;sourceID=14","0")</f>
        <v>0</v>
      </c>
    </row>
    <row r="22" spans="1:7">
      <c r="A22" s="3">
        <v>16</v>
      </c>
      <c r="B22" s="3">
        <v>8</v>
      </c>
      <c r="C22" s="3">
        <v>9</v>
      </c>
      <c r="D22" s="3">
        <v>1</v>
      </c>
      <c r="E22" s="3">
        <v>162.318</v>
      </c>
      <c r="F22" s="4" t="str">
        <f>HYPERLINK("http://141.218.60.56/~jnz1568/getInfo.php?workbook=16_08.xlsx&amp;sheet=A0&amp;row=22&amp;col=6&amp;number=404300000&amp;sourceID=14","404300000")</f>
        <v>404300000</v>
      </c>
      <c r="G22" s="4" t="str">
        <f>HYPERLINK("http://141.218.60.56/~jnz1568/getInfo.php?workbook=16_08.xlsx&amp;sheet=A0&amp;row=22&amp;col=7&amp;number=0&amp;sourceID=14","0")</f>
        <v>0</v>
      </c>
    </row>
    <row r="23" spans="1:7">
      <c r="A23" s="3">
        <v>16</v>
      </c>
      <c r="B23" s="3">
        <v>8</v>
      </c>
      <c r="C23" s="3">
        <v>9</v>
      </c>
      <c r="D23" s="3">
        <v>2</v>
      </c>
      <c r="E23" s="3">
        <v>164.45</v>
      </c>
      <c r="F23" s="4" t="str">
        <f>HYPERLINK("http://141.218.60.56/~jnz1568/getInfo.php?workbook=16_08.xlsx&amp;sheet=A0&amp;row=23&amp;col=6&amp;number=10770000&amp;sourceID=14","10770000")</f>
        <v>10770000</v>
      </c>
      <c r="G23" s="4" t="str">
        <f>HYPERLINK("http://141.218.60.56/~jnz1568/getInfo.php?workbook=16_08.xlsx&amp;sheet=A0&amp;row=23&amp;col=7&amp;number=0&amp;sourceID=14","0")</f>
        <v>0</v>
      </c>
    </row>
    <row r="24" spans="1:7">
      <c r="A24" s="3">
        <v>16</v>
      </c>
      <c r="B24" s="3">
        <v>8</v>
      </c>
      <c r="C24" s="3">
        <v>9</v>
      </c>
      <c r="D24" s="3">
        <v>3</v>
      </c>
      <c r="E24" s="3">
        <v>165.173</v>
      </c>
      <c r="F24" s="4" t="str">
        <f>HYPERLINK("http://141.218.60.56/~jnz1568/getInfo.php?workbook=16_08.xlsx&amp;sheet=A0&amp;row=24&amp;col=6&amp;number=23180000&amp;sourceID=14","23180000")</f>
        <v>23180000</v>
      </c>
      <c r="G24" s="4" t="str">
        <f>HYPERLINK("http://141.218.60.56/~jnz1568/getInfo.php?workbook=16_08.xlsx&amp;sheet=A0&amp;row=24&amp;col=7&amp;number=0&amp;sourceID=14","0")</f>
        <v>0</v>
      </c>
    </row>
    <row r="25" spans="1:7">
      <c r="A25" s="3">
        <v>16</v>
      </c>
      <c r="B25" s="3">
        <v>8</v>
      </c>
      <c r="C25" s="3">
        <v>9</v>
      </c>
      <c r="D25" s="3">
        <v>4</v>
      </c>
      <c r="E25" s="3">
        <v>179.283</v>
      </c>
      <c r="F25" s="4" t="str">
        <f>HYPERLINK("http://141.218.60.56/~jnz1568/getInfo.php?workbook=16_08.xlsx&amp;sheet=A0&amp;row=25&amp;col=6&amp;number=60050000000&amp;sourceID=14","60050000000")</f>
        <v>60050000000</v>
      </c>
      <c r="G25" s="4" t="str">
        <f>HYPERLINK("http://141.218.60.56/~jnz1568/getInfo.php?workbook=16_08.xlsx&amp;sheet=A0&amp;row=25&amp;col=7&amp;number=0&amp;sourceID=14","0")</f>
        <v>0</v>
      </c>
    </row>
    <row r="26" spans="1:7">
      <c r="A26" s="3">
        <v>16</v>
      </c>
      <c r="B26" s="3">
        <v>8</v>
      </c>
      <c r="C26" s="3">
        <v>9</v>
      </c>
      <c r="D26" s="3">
        <v>5</v>
      </c>
      <c r="E26" s="3">
        <v>202.686</v>
      </c>
      <c r="F26" s="4" t="str">
        <f>HYPERLINK("http://141.218.60.56/~jnz1568/getInfo.php?workbook=16_08.xlsx&amp;sheet=A0&amp;row=26&amp;col=6&amp;number=4062000000&amp;sourceID=14","4062000000")</f>
        <v>4062000000</v>
      </c>
      <c r="G26" s="4" t="str">
        <f>HYPERLINK("http://141.218.60.56/~jnz1568/getInfo.php?workbook=16_08.xlsx&amp;sheet=A0&amp;row=26&amp;col=7&amp;number=0&amp;sourceID=14","0")</f>
        <v>0</v>
      </c>
    </row>
    <row r="27" spans="1:7">
      <c r="A27" s="3">
        <v>16</v>
      </c>
      <c r="B27" s="3">
        <v>8</v>
      </c>
      <c r="C27" s="3">
        <v>10</v>
      </c>
      <c r="D27" s="3">
        <v>1</v>
      </c>
      <c r="E27" s="3">
        <v>96.226</v>
      </c>
      <c r="F27" s="4" t="str">
        <f>HYPERLINK("http://141.218.60.56/~jnz1568/getInfo.php?workbook=16_08.xlsx&amp;sheet=A0&amp;row=27&amp;col=6&amp;number=3195&amp;sourceID=14","3195")</f>
        <v>3195</v>
      </c>
      <c r="G27" s="4" t="str">
        <f>HYPERLINK("http://141.218.60.56/~jnz1568/getInfo.php?workbook=16_08.xlsx&amp;sheet=A0&amp;row=27&amp;col=7&amp;number=0&amp;sourceID=14","0")</f>
        <v>0</v>
      </c>
    </row>
    <row r="28" spans="1:7">
      <c r="A28" s="3">
        <v>16</v>
      </c>
      <c r="B28" s="3">
        <v>8</v>
      </c>
      <c r="C28" s="3">
        <v>10</v>
      </c>
      <c r="D28" s="3">
        <v>2</v>
      </c>
      <c r="E28" s="3">
        <v>96.971</v>
      </c>
      <c r="F28" s="4" t="str">
        <f>HYPERLINK("http://141.218.60.56/~jnz1568/getInfo.php?workbook=16_08.xlsx&amp;sheet=A0&amp;row=28&amp;col=6&amp;number=159&amp;sourceID=14","159")</f>
        <v>159</v>
      </c>
      <c r="G28" s="4" t="str">
        <f>HYPERLINK("http://141.218.60.56/~jnz1568/getInfo.php?workbook=16_08.xlsx&amp;sheet=A0&amp;row=28&amp;col=7&amp;number=0&amp;sourceID=14","0")</f>
        <v>0</v>
      </c>
    </row>
    <row r="29" spans="1:7">
      <c r="A29" s="3">
        <v>16</v>
      </c>
      <c r="B29" s="3">
        <v>8</v>
      </c>
      <c r="C29" s="3">
        <v>10</v>
      </c>
      <c r="D29" s="3">
        <v>4</v>
      </c>
      <c r="E29" s="3">
        <v>101.945</v>
      </c>
      <c r="F29" s="4" t="str">
        <f>HYPERLINK("http://141.218.60.56/~jnz1568/getInfo.php?workbook=16_08.xlsx&amp;sheet=A0&amp;row=29&amp;col=6&amp;number=343800&amp;sourceID=14","343800")</f>
        <v>343800</v>
      </c>
      <c r="G29" s="4" t="str">
        <f>HYPERLINK("http://141.218.60.56/~jnz1568/getInfo.php?workbook=16_08.xlsx&amp;sheet=A0&amp;row=29&amp;col=7&amp;number=0&amp;sourceID=14","0")</f>
        <v>0</v>
      </c>
    </row>
    <row r="30" spans="1:7">
      <c r="A30" s="3">
        <v>16</v>
      </c>
      <c r="B30" s="3">
        <v>8</v>
      </c>
      <c r="C30" s="3">
        <v>10</v>
      </c>
      <c r="D30" s="3">
        <v>6</v>
      </c>
      <c r="E30" s="3">
        <v>168.284</v>
      </c>
      <c r="F30" s="4" t="str">
        <f>HYPERLINK("http://141.218.60.56/~jnz1568/getInfo.php?workbook=16_08.xlsx&amp;sheet=A0&amp;row=30&amp;col=6&amp;number=342.9&amp;sourceID=14","342.9")</f>
        <v>342.9</v>
      </c>
      <c r="G30" s="4" t="str">
        <f>HYPERLINK("http://141.218.60.56/~jnz1568/getInfo.php?workbook=16_08.xlsx&amp;sheet=A0&amp;row=30&amp;col=7&amp;number=0&amp;sourceID=14","0")</f>
        <v>0</v>
      </c>
    </row>
    <row r="31" spans="1:7">
      <c r="A31" s="3">
        <v>16</v>
      </c>
      <c r="B31" s="3">
        <v>8</v>
      </c>
      <c r="C31" s="3">
        <v>10</v>
      </c>
      <c r="D31" s="3">
        <v>7</v>
      </c>
      <c r="E31" s="3">
        <v>170.293</v>
      </c>
      <c r="F31" s="4" t="str">
        <f>HYPERLINK("http://141.218.60.56/~jnz1568/getInfo.php?workbook=16_08.xlsx&amp;sheet=A0&amp;row=31&amp;col=6&amp;number=124300000&amp;sourceID=14","124300000")</f>
        <v>124300000</v>
      </c>
      <c r="G31" s="4" t="str">
        <f>HYPERLINK("http://141.218.60.56/~jnz1568/getInfo.php?workbook=16_08.xlsx&amp;sheet=A0&amp;row=31&amp;col=7&amp;number=0&amp;sourceID=14","0")</f>
        <v>0</v>
      </c>
    </row>
    <row r="32" spans="1:7">
      <c r="A32" s="3">
        <v>16</v>
      </c>
      <c r="B32" s="3">
        <v>8</v>
      </c>
      <c r="C32" s="3">
        <v>10</v>
      </c>
      <c r="D32" s="3">
        <v>9</v>
      </c>
      <c r="E32" s="3">
        <v>236.325</v>
      </c>
      <c r="F32" s="4" t="str">
        <f>HYPERLINK("http://141.218.60.56/~jnz1568/getInfo.php?workbook=16_08.xlsx&amp;sheet=A0&amp;row=32&amp;col=6&amp;number=51810000000&amp;sourceID=14","51810000000")</f>
        <v>51810000000</v>
      </c>
      <c r="G32" s="4" t="str">
        <f>HYPERLINK("http://141.218.60.56/~jnz1568/getInfo.php?workbook=16_08.xlsx&amp;sheet=A0&amp;row=32&amp;col=7&amp;number=0&amp;sourceID=14","0")</f>
        <v>0</v>
      </c>
    </row>
    <row r="33" spans="1:7">
      <c r="A33" s="3">
        <v>16</v>
      </c>
      <c r="B33" s="3">
        <v>8</v>
      </c>
      <c r="C33" s="3">
        <v>11</v>
      </c>
      <c r="D33" s="3">
        <v>1</v>
      </c>
      <c r="E33" s="3">
        <v>56.935</v>
      </c>
      <c r="F33" s="4" t="str">
        <f>HYPERLINK("http://141.218.60.56/~jnz1568/getInfo.php?workbook=16_08.xlsx&amp;sheet=A0&amp;row=33&amp;col=6&amp;number=282500000&amp;sourceID=14","282500000")</f>
        <v>282500000</v>
      </c>
      <c r="G33" s="4" t="str">
        <f>HYPERLINK("http://141.218.60.56/~jnz1568/getInfo.php?workbook=16_08.xlsx&amp;sheet=A0&amp;row=33&amp;col=7&amp;number=0&amp;sourceID=14","0")</f>
        <v>0</v>
      </c>
    </row>
    <row r="34" spans="1:7">
      <c r="A34" s="3">
        <v>16</v>
      </c>
      <c r="B34" s="3">
        <v>8</v>
      </c>
      <c r="C34" s="3">
        <v>11</v>
      </c>
      <c r="D34" s="3">
        <v>2</v>
      </c>
      <c r="E34" s="3">
        <v>57.195</v>
      </c>
      <c r="F34" s="4" t="str">
        <f>HYPERLINK("http://141.218.60.56/~jnz1568/getInfo.php?workbook=16_08.xlsx&amp;sheet=A0&amp;row=34&amp;col=6&amp;number=66370000&amp;sourceID=14","66370000")</f>
        <v>66370000</v>
      </c>
      <c r="G34" s="4" t="str">
        <f>HYPERLINK("http://141.218.60.56/~jnz1568/getInfo.php?workbook=16_08.xlsx&amp;sheet=A0&amp;row=34&amp;col=7&amp;number=0&amp;sourceID=14","0")</f>
        <v>0</v>
      </c>
    </row>
    <row r="35" spans="1:7">
      <c r="A35" s="3">
        <v>16</v>
      </c>
      <c r="B35" s="3">
        <v>8</v>
      </c>
      <c r="C35" s="3">
        <v>11</v>
      </c>
      <c r="D35" s="3">
        <v>3</v>
      </c>
      <c r="E35" s="3">
        <v>57.282</v>
      </c>
      <c r="F35" s="4" t="str">
        <f>HYPERLINK("http://141.218.60.56/~jnz1568/getInfo.php?workbook=16_08.xlsx&amp;sheet=A0&amp;row=35&amp;col=6&amp;number=656&amp;sourceID=14","656")</f>
        <v>656</v>
      </c>
      <c r="G35" s="4" t="str">
        <f>HYPERLINK("http://141.218.60.56/~jnz1568/getInfo.php?workbook=16_08.xlsx&amp;sheet=A0&amp;row=35&amp;col=7&amp;number=0&amp;sourceID=14","0")</f>
        <v>0</v>
      </c>
    </row>
    <row r="36" spans="1:7">
      <c r="A36" s="3">
        <v>16</v>
      </c>
      <c r="B36" s="3">
        <v>8</v>
      </c>
      <c r="C36" s="3">
        <v>11</v>
      </c>
      <c r="D36" s="3">
        <v>4</v>
      </c>
      <c r="E36" s="3">
        <v>58.889</v>
      </c>
      <c r="F36" s="4" t="str">
        <f>HYPERLINK("http://141.218.60.56/~jnz1568/getInfo.php?workbook=16_08.xlsx&amp;sheet=A0&amp;row=36&amp;col=6&amp;number=6583&amp;sourceID=14","6583")</f>
        <v>6583</v>
      </c>
      <c r="G36" s="4" t="str">
        <f>HYPERLINK("http://141.218.60.56/~jnz1568/getInfo.php?workbook=16_08.xlsx&amp;sheet=A0&amp;row=36&amp;col=7&amp;number=0&amp;sourceID=14","0")</f>
        <v>0</v>
      </c>
    </row>
    <row r="37" spans="1:7">
      <c r="A37" s="3">
        <v>16</v>
      </c>
      <c r="B37" s="3">
        <v>8</v>
      </c>
      <c r="C37" s="3">
        <v>11</v>
      </c>
      <c r="D37" s="3">
        <v>6</v>
      </c>
      <c r="E37" s="3">
        <v>76.254</v>
      </c>
      <c r="F37" s="4" t="str">
        <f>HYPERLINK("http://141.218.60.56/~jnz1568/getInfo.php?workbook=16_08.xlsx&amp;sheet=A0&amp;row=37&amp;col=6&amp;number=246&amp;sourceID=14","246")</f>
        <v>246</v>
      </c>
      <c r="G37" s="4" t="str">
        <f>HYPERLINK("http://141.218.60.56/~jnz1568/getInfo.php?workbook=16_08.xlsx&amp;sheet=A0&amp;row=37&amp;col=7&amp;number=0&amp;sourceID=14","0")</f>
        <v>0</v>
      </c>
    </row>
    <row r="38" spans="1:7">
      <c r="A38" s="3">
        <v>16</v>
      </c>
      <c r="B38" s="3">
        <v>8</v>
      </c>
      <c r="C38" s="3">
        <v>11</v>
      </c>
      <c r="D38" s="3">
        <v>7</v>
      </c>
      <c r="E38" s="3">
        <v>76.664</v>
      </c>
      <c r="F38" s="4" t="str">
        <f>HYPERLINK("http://141.218.60.56/~jnz1568/getInfo.php?workbook=16_08.xlsx&amp;sheet=A0&amp;row=38&amp;col=6&amp;number=231.8&amp;sourceID=14","231.8")</f>
        <v>231.8</v>
      </c>
      <c r="G38" s="4" t="str">
        <f>HYPERLINK("http://141.218.60.56/~jnz1568/getInfo.php?workbook=16_08.xlsx&amp;sheet=A0&amp;row=38&amp;col=7&amp;number=0&amp;sourceID=14","0")</f>
        <v>0</v>
      </c>
    </row>
    <row r="39" spans="1:7">
      <c r="A39" s="3">
        <v>16</v>
      </c>
      <c r="B39" s="3">
        <v>8</v>
      </c>
      <c r="C39" s="3">
        <v>12</v>
      </c>
      <c r="D39" s="3">
        <v>1</v>
      </c>
      <c r="E39" s="3">
        <v>56.081</v>
      </c>
      <c r="F39" s="4" t="str">
        <f>HYPERLINK("http://141.218.60.56/~jnz1568/getInfo.php?workbook=16_08.xlsx&amp;sheet=A0&amp;row=39&amp;col=6&amp;number=177900000000&amp;sourceID=14","177900000000")</f>
        <v>177900000000</v>
      </c>
      <c r="G39" s="4" t="str">
        <f>HYPERLINK("http://141.218.60.56/~jnz1568/getInfo.php?workbook=16_08.xlsx&amp;sheet=A0&amp;row=39&amp;col=7&amp;number=0&amp;sourceID=14","0")</f>
        <v>0</v>
      </c>
    </row>
    <row r="40" spans="1:7">
      <c r="A40" s="3">
        <v>16</v>
      </c>
      <c r="B40" s="3">
        <v>8</v>
      </c>
      <c r="C40" s="3">
        <v>12</v>
      </c>
      <c r="D40" s="3">
        <v>2</v>
      </c>
      <c r="E40" s="3">
        <v>56.333</v>
      </c>
      <c r="F40" s="4" t="str">
        <f>HYPERLINK("http://141.218.60.56/~jnz1568/getInfo.php?workbook=16_08.xlsx&amp;sheet=A0&amp;row=40&amp;col=6&amp;number=97750000000&amp;sourceID=14","97750000000")</f>
        <v>97750000000</v>
      </c>
      <c r="G40" s="4" t="str">
        <f>HYPERLINK("http://141.218.60.56/~jnz1568/getInfo.php?workbook=16_08.xlsx&amp;sheet=A0&amp;row=40&amp;col=7&amp;number=0&amp;sourceID=14","0")</f>
        <v>0</v>
      </c>
    </row>
    <row r="41" spans="1:7">
      <c r="A41" s="3">
        <v>16</v>
      </c>
      <c r="B41" s="3">
        <v>8</v>
      </c>
      <c r="C41" s="3">
        <v>12</v>
      </c>
      <c r="D41" s="3">
        <v>3</v>
      </c>
      <c r="E41" s="3">
        <v>56.418</v>
      </c>
      <c r="F41" s="4" t="str">
        <f>HYPERLINK("http://141.218.60.56/~jnz1568/getInfo.php?workbook=16_08.xlsx&amp;sheet=A0&amp;row=41&amp;col=6&amp;number=32840000000&amp;sourceID=14","32840000000")</f>
        <v>32840000000</v>
      </c>
      <c r="G41" s="4" t="str">
        <f>HYPERLINK("http://141.218.60.56/~jnz1568/getInfo.php?workbook=16_08.xlsx&amp;sheet=A0&amp;row=41&amp;col=7&amp;number=0&amp;sourceID=14","0")</f>
        <v>0</v>
      </c>
    </row>
    <row r="42" spans="1:7">
      <c r="A42" s="3">
        <v>16</v>
      </c>
      <c r="B42" s="3">
        <v>8</v>
      </c>
      <c r="C42" s="3">
        <v>12</v>
      </c>
      <c r="D42" s="3">
        <v>4</v>
      </c>
      <c r="E42" s="3">
        <v>57.976</v>
      </c>
      <c r="F42" s="4" t="str">
        <f>HYPERLINK("http://141.218.60.56/~jnz1568/getInfo.php?workbook=16_08.xlsx&amp;sheet=A0&amp;row=42&amp;col=6&amp;number=310700000&amp;sourceID=14","310700000")</f>
        <v>310700000</v>
      </c>
      <c r="G42" s="4" t="str">
        <f>HYPERLINK("http://141.218.60.56/~jnz1568/getInfo.php?workbook=16_08.xlsx&amp;sheet=A0&amp;row=42&amp;col=7&amp;number=0&amp;sourceID=14","0")</f>
        <v>0</v>
      </c>
    </row>
    <row r="43" spans="1:7">
      <c r="A43" s="3">
        <v>16</v>
      </c>
      <c r="B43" s="3">
        <v>8</v>
      </c>
      <c r="C43" s="3">
        <v>12</v>
      </c>
      <c r="D43" s="3">
        <v>5</v>
      </c>
      <c r="E43" s="3">
        <v>60.225</v>
      </c>
      <c r="F43" s="4" t="str">
        <f>HYPERLINK("http://141.218.60.56/~jnz1568/getInfo.php?workbook=16_08.xlsx&amp;sheet=A0&amp;row=43&amp;col=6&amp;number=2350000&amp;sourceID=14","2350000")</f>
        <v>2350000</v>
      </c>
      <c r="G43" s="4" t="str">
        <f>HYPERLINK("http://141.218.60.56/~jnz1568/getInfo.php?workbook=16_08.xlsx&amp;sheet=A0&amp;row=43&amp;col=7&amp;number=0&amp;sourceID=14","0")</f>
        <v>0</v>
      </c>
    </row>
    <row r="44" spans="1:7">
      <c r="A44" s="3">
        <v>16</v>
      </c>
      <c r="B44" s="3">
        <v>8</v>
      </c>
      <c r="C44" s="3">
        <v>13</v>
      </c>
      <c r="D44" s="3">
        <v>1</v>
      </c>
      <c r="E44" s="3">
        <v>54.201</v>
      </c>
      <c r="F44" s="4" t="str">
        <f>HYPERLINK("http://141.218.60.56/~jnz1568/getInfo.php?workbook=16_08.xlsx&amp;sheet=A0&amp;row=44&amp;col=6&amp;number=40530000000&amp;sourceID=14","40530000000")</f>
        <v>40530000000</v>
      </c>
      <c r="G44" s="4" t="str">
        <f>HYPERLINK("http://141.218.60.56/~jnz1568/getInfo.php?workbook=16_08.xlsx&amp;sheet=A0&amp;row=44&amp;col=7&amp;number=0&amp;sourceID=14","0")</f>
        <v>0</v>
      </c>
    </row>
    <row r="45" spans="1:7">
      <c r="A45" s="3">
        <v>16</v>
      </c>
      <c r="B45" s="3">
        <v>8</v>
      </c>
      <c r="C45" s="3">
        <v>13</v>
      </c>
      <c r="D45" s="3">
        <v>2</v>
      </c>
      <c r="E45" s="3">
        <v>54.437</v>
      </c>
      <c r="F45" s="4" t="str">
        <f>HYPERLINK("http://141.218.60.56/~jnz1568/getInfo.php?workbook=16_08.xlsx&amp;sheet=A0&amp;row=45&amp;col=6&amp;number=58520000000&amp;sourceID=14","58520000000")</f>
        <v>58520000000</v>
      </c>
      <c r="G45" s="4" t="str">
        <f>HYPERLINK("http://141.218.60.56/~jnz1568/getInfo.php?workbook=16_08.xlsx&amp;sheet=A0&amp;row=45&amp;col=7&amp;number=0&amp;sourceID=14","0")</f>
        <v>0</v>
      </c>
    </row>
    <row r="46" spans="1:7">
      <c r="A46" s="3">
        <v>16</v>
      </c>
      <c r="B46" s="3">
        <v>8</v>
      </c>
      <c r="C46" s="3">
        <v>13</v>
      </c>
      <c r="D46" s="3">
        <v>4</v>
      </c>
      <c r="E46" s="3">
        <v>55.97</v>
      </c>
      <c r="F46" s="4" t="str">
        <f>HYPERLINK("http://141.218.60.56/~jnz1568/getInfo.php?workbook=16_08.xlsx&amp;sheet=A0&amp;row=46&amp;col=6&amp;number=146900000&amp;sourceID=14","146900000")</f>
        <v>146900000</v>
      </c>
      <c r="G46" s="4" t="str">
        <f>HYPERLINK("http://141.218.60.56/~jnz1568/getInfo.php?workbook=16_08.xlsx&amp;sheet=A0&amp;row=46&amp;col=7&amp;number=0&amp;sourceID=14","0")</f>
        <v>0</v>
      </c>
    </row>
    <row r="47" spans="1:7">
      <c r="A47" s="3">
        <v>16</v>
      </c>
      <c r="B47" s="3">
        <v>8</v>
      </c>
      <c r="C47" s="3">
        <v>13</v>
      </c>
      <c r="D47" s="3">
        <v>6</v>
      </c>
      <c r="E47" s="3">
        <v>71.429</v>
      </c>
      <c r="F47" s="4" t="str">
        <f>HYPERLINK("http://141.218.60.56/~jnz1568/getInfo.php?workbook=16_08.xlsx&amp;sheet=A0&amp;row=47&amp;col=6&amp;number=204300&amp;sourceID=14","204300")</f>
        <v>204300</v>
      </c>
      <c r="G47" s="4" t="str">
        <f>HYPERLINK("http://141.218.60.56/~jnz1568/getInfo.php?workbook=16_08.xlsx&amp;sheet=A0&amp;row=47&amp;col=7&amp;number=0&amp;sourceID=14","0")</f>
        <v>0</v>
      </c>
    </row>
    <row r="48" spans="1:7">
      <c r="A48" s="3">
        <v>16</v>
      </c>
      <c r="B48" s="3">
        <v>8</v>
      </c>
      <c r="C48" s="3">
        <v>13</v>
      </c>
      <c r="D48" s="3">
        <v>7</v>
      </c>
      <c r="E48" s="3">
        <v>71.789</v>
      </c>
      <c r="F48" s="4" t="str">
        <f>HYPERLINK("http://141.218.60.56/~jnz1568/getInfo.php?workbook=16_08.xlsx&amp;sheet=A0&amp;row=48&amp;col=6&amp;number=10110&amp;sourceID=14","10110")</f>
        <v>10110</v>
      </c>
      <c r="G48" s="4" t="str">
        <f>HYPERLINK("http://141.218.60.56/~jnz1568/getInfo.php?workbook=16_08.xlsx&amp;sheet=A0&amp;row=48&amp;col=7&amp;number=0&amp;sourceID=14","0")</f>
        <v>0</v>
      </c>
    </row>
    <row r="49" spans="1:7">
      <c r="A49" s="3">
        <v>16</v>
      </c>
      <c r="B49" s="3">
        <v>8</v>
      </c>
      <c r="C49" s="3">
        <v>13</v>
      </c>
      <c r="D49" s="3">
        <v>8</v>
      </c>
      <c r="E49" s="3">
        <v>71.99</v>
      </c>
      <c r="F49" s="4" t="str">
        <f>HYPERLINK("http://141.218.60.56/~jnz1568/getInfo.php?workbook=16_08.xlsx&amp;sheet=A0&amp;row=49&amp;col=6&amp;number=71780&amp;sourceID=14","71780")</f>
        <v>71780</v>
      </c>
      <c r="G49" s="4" t="str">
        <f>HYPERLINK("http://141.218.60.56/~jnz1568/getInfo.php?workbook=16_08.xlsx&amp;sheet=A0&amp;row=49&amp;col=7&amp;number=0&amp;sourceID=14","0")</f>
        <v>0</v>
      </c>
    </row>
    <row r="50" spans="1:7">
      <c r="A50" s="3">
        <v>16</v>
      </c>
      <c r="B50" s="3">
        <v>8</v>
      </c>
      <c r="C50" s="3">
        <v>14</v>
      </c>
      <c r="D50" s="3">
        <v>1</v>
      </c>
      <c r="E50" s="3">
        <v>54.195</v>
      </c>
      <c r="F50" s="4" t="str">
        <f>HYPERLINK("http://141.218.60.56/~jnz1568/getInfo.php?workbook=16_08.xlsx&amp;sheet=A0&amp;row=50&amp;col=6&amp;number=4934000000&amp;sourceID=14","4934000000")</f>
        <v>4934000000</v>
      </c>
      <c r="G50" s="4" t="str">
        <f>HYPERLINK("http://141.218.60.56/~jnz1568/getInfo.php?workbook=16_08.xlsx&amp;sheet=A0&amp;row=50&amp;col=7&amp;number=0&amp;sourceID=14","0")</f>
        <v>0</v>
      </c>
    </row>
    <row r="51" spans="1:7">
      <c r="A51" s="3">
        <v>16</v>
      </c>
      <c r="B51" s="3">
        <v>8</v>
      </c>
      <c r="C51" s="3">
        <v>14</v>
      </c>
      <c r="D51" s="3">
        <v>2</v>
      </c>
      <c r="E51" s="3">
        <v>54.43</v>
      </c>
      <c r="F51" s="4" t="str">
        <f>HYPERLINK("http://141.218.60.56/~jnz1568/getInfo.php?workbook=16_08.xlsx&amp;sheet=A0&amp;row=51&amp;col=6&amp;number=50610000000&amp;sourceID=14","50610000000")</f>
        <v>50610000000</v>
      </c>
      <c r="G51" s="4" t="str">
        <f>HYPERLINK("http://141.218.60.56/~jnz1568/getInfo.php?workbook=16_08.xlsx&amp;sheet=A0&amp;row=51&amp;col=7&amp;number=0&amp;sourceID=14","0")</f>
        <v>0</v>
      </c>
    </row>
    <row r="52" spans="1:7">
      <c r="A52" s="3">
        <v>16</v>
      </c>
      <c r="B52" s="3">
        <v>8</v>
      </c>
      <c r="C52" s="3">
        <v>14</v>
      </c>
      <c r="D52" s="3">
        <v>3</v>
      </c>
      <c r="E52" s="3">
        <v>54.509</v>
      </c>
      <c r="F52" s="4" t="str">
        <f>HYPERLINK("http://141.218.60.56/~jnz1568/getInfo.php?workbook=16_08.xlsx&amp;sheet=A0&amp;row=52&amp;col=6&amp;number=43620000000&amp;sourceID=14","43620000000")</f>
        <v>43620000000</v>
      </c>
      <c r="G52" s="4" t="str">
        <f>HYPERLINK("http://141.218.60.56/~jnz1568/getInfo.php?workbook=16_08.xlsx&amp;sheet=A0&amp;row=52&amp;col=7&amp;number=0&amp;sourceID=14","0")</f>
        <v>0</v>
      </c>
    </row>
    <row r="53" spans="1:7">
      <c r="A53" s="3">
        <v>16</v>
      </c>
      <c r="B53" s="3">
        <v>8</v>
      </c>
      <c r="C53" s="3">
        <v>14</v>
      </c>
      <c r="D53" s="3">
        <v>4</v>
      </c>
      <c r="E53" s="3">
        <v>55.963</v>
      </c>
      <c r="F53" s="4" t="str">
        <f>HYPERLINK("http://141.218.60.56/~jnz1568/getInfo.php?workbook=16_08.xlsx&amp;sheet=A0&amp;row=53&amp;col=6&amp;number=1545000000&amp;sourceID=14","1545000000")</f>
        <v>1545000000</v>
      </c>
      <c r="G53" s="4" t="str">
        <f>HYPERLINK("http://141.218.60.56/~jnz1568/getInfo.php?workbook=16_08.xlsx&amp;sheet=A0&amp;row=53&amp;col=7&amp;number=0&amp;sourceID=14","0")</f>
        <v>0</v>
      </c>
    </row>
    <row r="54" spans="1:7">
      <c r="A54" s="3">
        <v>16</v>
      </c>
      <c r="B54" s="3">
        <v>8</v>
      </c>
      <c r="C54" s="3">
        <v>14</v>
      </c>
      <c r="D54" s="3">
        <v>5</v>
      </c>
      <c r="E54" s="3">
        <v>58.055</v>
      </c>
      <c r="F54" s="4" t="str">
        <f>HYPERLINK("http://141.218.60.56/~jnz1568/getInfo.php?workbook=16_08.xlsx&amp;sheet=A0&amp;row=54&amp;col=6&amp;number=524300000&amp;sourceID=14","524300000")</f>
        <v>524300000</v>
      </c>
      <c r="G54" s="4" t="str">
        <f>HYPERLINK("http://141.218.60.56/~jnz1568/getInfo.php?workbook=16_08.xlsx&amp;sheet=A0&amp;row=54&amp;col=7&amp;number=0&amp;sourceID=14","0")</f>
        <v>0</v>
      </c>
    </row>
    <row r="55" spans="1:7">
      <c r="A55" s="3">
        <v>16</v>
      </c>
      <c r="B55" s="3">
        <v>8</v>
      </c>
      <c r="C55" s="3">
        <v>14</v>
      </c>
      <c r="D55" s="3">
        <v>6</v>
      </c>
      <c r="E55" s="3">
        <v>71.418</v>
      </c>
      <c r="F55" s="4" t="str">
        <f>HYPERLINK("http://141.218.60.56/~jnz1568/getInfo.php?workbook=16_08.xlsx&amp;sheet=A0&amp;row=55&amp;col=6&amp;number=98860&amp;sourceID=14","98860")</f>
        <v>98860</v>
      </c>
      <c r="G55" s="4" t="str">
        <f>HYPERLINK("http://141.218.60.56/~jnz1568/getInfo.php?workbook=16_08.xlsx&amp;sheet=A0&amp;row=55&amp;col=7&amp;number=0&amp;sourceID=14","0")</f>
        <v>0</v>
      </c>
    </row>
    <row r="56" spans="1:7">
      <c r="A56" s="3">
        <v>16</v>
      </c>
      <c r="B56" s="3">
        <v>8</v>
      </c>
      <c r="C56" s="3">
        <v>14</v>
      </c>
      <c r="D56" s="3">
        <v>7</v>
      </c>
      <c r="E56" s="3">
        <v>71.777</v>
      </c>
      <c r="F56" s="4" t="str">
        <f>HYPERLINK("http://141.218.60.56/~jnz1568/getInfo.php?workbook=16_08.xlsx&amp;sheet=A0&amp;row=56&amp;col=6&amp;number=186700&amp;sourceID=14","186700")</f>
        <v>186700</v>
      </c>
      <c r="G56" s="4" t="str">
        <f>HYPERLINK("http://141.218.60.56/~jnz1568/getInfo.php?workbook=16_08.xlsx&amp;sheet=A0&amp;row=56&amp;col=7&amp;number=0&amp;sourceID=14","0")</f>
        <v>0</v>
      </c>
    </row>
    <row r="57" spans="1:7">
      <c r="A57" s="3">
        <v>16</v>
      </c>
      <c r="B57" s="3">
        <v>8</v>
      </c>
      <c r="C57" s="3">
        <v>14</v>
      </c>
      <c r="D57" s="3">
        <v>10</v>
      </c>
      <c r="E57" s="3">
        <v>124.072</v>
      </c>
      <c r="F57" s="4" t="str">
        <f>HYPERLINK("http://141.218.60.56/~jnz1568/getInfo.php?workbook=16_08.xlsx&amp;sheet=A0&amp;row=57&amp;col=6&amp;number=1200&amp;sourceID=14","1200")</f>
        <v>1200</v>
      </c>
      <c r="G57" s="4" t="str">
        <f>HYPERLINK("http://141.218.60.56/~jnz1568/getInfo.php?workbook=16_08.xlsx&amp;sheet=A0&amp;row=57&amp;col=7&amp;number=0&amp;sourceID=14","0")</f>
        <v>0</v>
      </c>
    </row>
    <row r="58" spans="1:7">
      <c r="A58" s="3">
        <v>16</v>
      </c>
      <c r="B58" s="3">
        <v>8</v>
      </c>
      <c r="C58" s="3">
        <v>15</v>
      </c>
      <c r="D58" s="3">
        <v>1</v>
      </c>
      <c r="E58" s="3">
        <v>54.175</v>
      </c>
      <c r="F58" s="4" t="str">
        <f>HYPERLINK("http://141.218.60.56/~jnz1568/getInfo.php?workbook=16_08.xlsx&amp;sheet=A0&amp;row=58&amp;col=6&amp;number=98100000000&amp;sourceID=14","98100000000")</f>
        <v>98100000000</v>
      </c>
      <c r="G58" s="4" t="str">
        <f>HYPERLINK("http://141.218.60.56/~jnz1568/getInfo.php?workbook=16_08.xlsx&amp;sheet=A0&amp;row=58&amp;col=7&amp;number=0&amp;sourceID=14","0")</f>
        <v>0</v>
      </c>
    </row>
    <row r="59" spans="1:7">
      <c r="A59" s="3">
        <v>16</v>
      </c>
      <c r="B59" s="3">
        <v>8</v>
      </c>
      <c r="C59" s="3">
        <v>15</v>
      </c>
      <c r="D59" s="3">
        <v>4</v>
      </c>
      <c r="E59" s="3">
        <v>55.942</v>
      </c>
      <c r="F59" s="4" t="str">
        <f>HYPERLINK("http://141.218.60.56/~jnz1568/getInfo.php?workbook=16_08.xlsx&amp;sheet=A0&amp;row=59&amp;col=6&amp;number=731400000&amp;sourceID=14","731400000")</f>
        <v>731400000</v>
      </c>
      <c r="G59" s="4" t="str">
        <f>HYPERLINK("http://141.218.60.56/~jnz1568/getInfo.php?workbook=16_08.xlsx&amp;sheet=A0&amp;row=59&amp;col=7&amp;number=0&amp;sourceID=14","0")</f>
        <v>0</v>
      </c>
    </row>
    <row r="60" spans="1:7">
      <c r="A60" s="3">
        <v>16</v>
      </c>
      <c r="B60" s="3">
        <v>8</v>
      </c>
      <c r="C60" s="3">
        <v>15</v>
      </c>
      <c r="D60" s="3">
        <v>6</v>
      </c>
      <c r="E60" s="3">
        <v>71.384</v>
      </c>
      <c r="F60" s="4" t="str">
        <f>HYPERLINK("http://141.218.60.56/~jnz1568/getInfo.php?workbook=16_08.xlsx&amp;sheet=A0&amp;row=60&amp;col=6&amp;number=194200&amp;sourceID=14","194200")</f>
        <v>194200</v>
      </c>
      <c r="G60" s="4" t="str">
        <f>HYPERLINK("http://141.218.60.56/~jnz1568/getInfo.php?workbook=16_08.xlsx&amp;sheet=A0&amp;row=60&amp;col=7&amp;number=0&amp;sourceID=14","0")</f>
        <v>0</v>
      </c>
    </row>
    <row r="61" spans="1:7">
      <c r="A61" s="3">
        <v>16</v>
      </c>
      <c r="B61" s="3">
        <v>8</v>
      </c>
      <c r="C61" s="3">
        <v>15</v>
      </c>
      <c r="D61" s="3">
        <v>7</v>
      </c>
      <c r="E61" s="3">
        <v>71.743</v>
      </c>
      <c r="F61" s="4" t="str">
        <f>HYPERLINK("http://141.218.60.56/~jnz1568/getInfo.php?workbook=16_08.xlsx&amp;sheet=A0&amp;row=61&amp;col=6&amp;number=94280&amp;sourceID=14","94280")</f>
        <v>94280</v>
      </c>
      <c r="G61" s="4" t="str">
        <f>HYPERLINK("http://141.218.60.56/~jnz1568/getInfo.php?workbook=16_08.xlsx&amp;sheet=A0&amp;row=61&amp;col=7&amp;number=0&amp;sourceID=14","0")</f>
        <v>0</v>
      </c>
    </row>
    <row r="62" spans="1:7">
      <c r="A62" s="3">
        <v>16</v>
      </c>
      <c r="B62" s="3">
        <v>8</v>
      </c>
      <c r="C62" s="3">
        <v>16</v>
      </c>
      <c r="D62" s="3">
        <v>1</v>
      </c>
      <c r="E62" s="3">
        <v>53.802</v>
      </c>
      <c r="F62" s="4" t="str">
        <f>HYPERLINK("http://141.218.60.56/~jnz1568/getInfo.php?workbook=16_08.xlsx&amp;sheet=A0&amp;row=62&amp;col=6&amp;number=5769000000&amp;sourceID=14","5769000000")</f>
        <v>5769000000</v>
      </c>
      <c r="G62" s="4" t="str">
        <f>HYPERLINK("http://141.218.60.56/~jnz1568/getInfo.php?workbook=16_08.xlsx&amp;sheet=A0&amp;row=62&amp;col=7&amp;number=0&amp;sourceID=14","0")</f>
        <v>0</v>
      </c>
    </row>
    <row r="63" spans="1:7">
      <c r="A63" s="3">
        <v>16</v>
      </c>
      <c r="B63" s="3">
        <v>8</v>
      </c>
      <c r="C63" s="3">
        <v>16</v>
      </c>
      <c r="D63" s="3">
        <v>2</v>
      </c>
      <c r="E63" s="3">
        <v>54.034</v>
      </c>
      <c r="F63" s="4" t="str">
        <f>HYPERLINK("http://141.218.60.56/~jnz1568/getInfo.php?workbook=16_08.xlsx&amp;sheet=A0&amp;row=63&amp;col=6&amp;number=2730000000&amp;sourceID=14","2730000000")</f>
        <v>2730000000</v>
      </c>
      <c r="G63" s="4" t="str">
        <f>HYPERLINK("http://141.218.60.56/~jnz1568/getInfo.php?workbook=16_08.xlsx&amp;sheet=A0&amp;row=63&amp;col=7&amp;number=0&amp;sourceID=14","0")</f>
        <v>0</v>
      </c>
    </row>
    <row r="64" spans="1:7">
      <c r="A64" s="3">
        <v>16</v>
      </c>
      <c r="B64" s="3">
        <v>8</v>
      </c>
      <c r="C64" s="3">
        <v>16</v>
      </c>
      <c r="D64" s="3">
        <v>4</v>
      </c>
      <c r="E64" s="3">
        <v>55.544</v>
      </c>
      <c r="F64" s="4" t="str">
        <f>HYPERLINK("http://141.218.60.56/~jnz1568/getInfo.php?workbook=16_08.xlsx&amp;sheet=A0&amp;row=64&amp;col=6&amp;number=239000000000&amp;sourceID=14","239000000000")</f>
        <v>239000000000</v>
      </c>
      <c r="G64" s="4" t="str">
        <f>HYPERLINK("http://141.218.60.56/~jnz1568/getInfo.php?workbook=16_08.xlsx&amp;sheet=A0&amp;row=64&amp;col=7&amp;number=0&amp;sourceID=14","0")</f>
        <v>0</v>
      </c>
    </row>
    <row r="65" spans="1:7">
      <c r="A65" s="3">
        <v>16</v>
      </c>
      <c r="B65" s="3">
        <v>8</v>
      </c>
      <c r="C65" s="3">
        <v>16</v>
      </c>
      <c r="D65" s="3">
        <v>7</v>
      </c>
      <c r="E65" s="3">
        <v>71.089</v>
      </c>
      <c r="F65" s="4" t="str">
        <f>HYPERLINK("http://141.218.60.56/~jnz1568/getInfo.php?workbook=16_08.xlsx&amp;sheet=A0&amp;row=65&amp;col=6&amp;number=7381&amp;sourceID=14","7381")</f>
        <v>7381</v>
      </c>
      <c r="G65" s="4" t="str">
        <f>HYPERLINK("http://141.218.60.56/~jnz1568/getInfo.php?workbook=16_08.xlsx&amp;sheet=A0&amp;row=65&amp;col=7&amp;number=0&amp;sourceID=14","0")</f>
        <v>0</v>
      </c>
    </row>
    <row r="66" spans="1:7">
      <c r="A66" s="3">
        <v>16</v>
      </c>
      <c r="B66" s="3">
        <v>8</v>
      </c>
      <c r="C66" s="3">
        <v>16</v>
      </c>
      <c r="D66" s="3">
        <v>8</v>
      </c>
      <c r="E66" s="3">
        <v>71.287</v>
      </c>
      <c r="F66" s="4" t="str">
        <f>HYPERLINK("http://141.218.60.56/~jnz1568/getInfo.php?workbook=16_08.xlsx&amp;sheet=A0&amp;row=66&amp;col=6&amp;number=4358&amp;sourceID=14","4358")</f>
        <v>4358</v>
      </c>
      <c r="G66" s="4" t="str">
        <f>HYPERLINK("http://141.218.60.56/~jnz1568/getInfo.php?workbook=16_08.xlsx&amp;sheet=A0&amp;row=66&amp;col=7&amp;number=0&amp;sourceID=14","0")</f>
        <v>0</v>
      </c>
    </row>
    <row r="67" spans="1:7">
      <c r="A67" s="3">
        <v>16</v>
      </c>
      <c r="B67" s="3">
        <v>8</v>
      </c>
      <c r="C67" s="3">
        <v>16</v>
      </c>
      <c r="D67" s="3">
        <v>9</v>
      </c>
      <c r="E67" s="3">
        <v>80.476</v>
      </c>
      <c r="F67" s="4" t="str">
        <f>HYPERLINK("http://141.218.60.56/~jnz1568/getInfo.php?workbook=16_08.xlsx&amp;sheet=A0&amp;row=67&amp;col=6&amp;number=157700&amp;sourceID=14","157700")</f>
        <v>157700</v>
      </c>
      <c r="G67" s="4" t="str">
        <f>HYPERLINK("http://141.218.60.56/~jnz1568/getInfo.php?workbook=16_08.xlsx&amp;sheet=A0&amp;row=67&amp;col=7&amp;number=0&amp;sourceID=14","0")</f>
        <v>0</v>
      </c>
    </row>
    <row r="68" spans="1:7">
      <c r="A68" s="3">
        <v>16</v>
      </c>
      <c r="B68" s="3">
        <v>8</v>
      </c>
      <c r="C68" s="3">
        <v>17</v>
      </c>
      <c r="D68" s="3">
        <v>1</v>
      </c>
      <c r="E68" s="3">
        <v>53.538</v>
      </c>
      <c r="F68" s="4" t="str">
        <f>HYPERLINK("http://141.218.60.56/~jnz1568/getInfo.php?workbook=16_08.xlsx&amp;sheet=A0&amp;row=68&amp;col=6&amp;number=192500&amp;sourceID=14","192500")</f>
        <v>192500</v>
      </c>
      <c r="G68" s="4" t="str">
        <f>HYPERLINK("http://141.218.60.56/~jnz1568/getInfo.php?workbook=16_08.xlsx&amp;sheet=A0&amp;row=68&amp;col=7&amp;number=0&amp;sourceID=14","0")</f>
        <v>0</v>
      </c>
    </row>
    <row r="69" spans="1:7">
      <c r="A69" s="3">
        <v>16</v>
      </c>
      <c r="B69" s="3">
        <v>8</v>
      </c>
      <c r="C69" s="3">
        <v>17</v>
      </c>
      <c r="D69" s="3">
        <v>2</v>
      </c>
      <c r="E69" s="3">
        <v>53.768</v>
      </c>
      <c r="F69" s="4" t="str">
        <f>HYPERLINK("http://141.218.60.56/~jnz1568/getInfo.php?workbook=16_08.xlsx&amp;sheet=A0&amp;row=69&amp;col=6&amp;number=32850&amp;sourceID=14","32850")</f>
        <v>32850</v>
      </c>
      <c r="G69" s="4" t="str">
        <f>HYPERLINK("http://141.218.60.56/~jnz1568/getInfo.php?workbook=16_08.xlsx&amp;sheet=A0&amp;row=69&amp;col=7&amp;number=0&amp;sourceID=14","0")</f>
        <v>0</v>
      </c>
    </row>
    <row r="70" spans="1:7">
      <c r="A70" s="3">
        <v>16</v>
      </c>
      <c r="B70" s="3">
        <v>8</v>
      </c>
      <c r="C70" s="3">
        <v>17</v>
      </c>
      <c r="D70" s="3">
        <v>3</v>
      </c>
      <c r="E70" s="3">
        <v>53.845</v>
      </c>
      <c r="F70" s="4" t="str">
        <f>HYPERLINK("http://141.218.60.56/~jnz1568/getInfo.php?workbook=16_08.xlsx&amp;sheet=A0&amp;row=70&amp;col=6&amp;number=145.6&amp;sourceID=14","145.6")</f>
        <v>145.6</v>
      </c>
      <c r="G70" s="4" t="str">
        <f>HYPERLINK("http://141.218.60.56/~jnz1568/getInfo.php?workbook=16_08.xlsx&amp;sheet=A0&amp;row=70&amp;col=7&amp;number=0&amp;sourceID=14","0")</f>
        <v>0</v>
      </c>
    </row>
    <row r="71" spans="1:7">
      <c r="A71" s="3">
        <v>16</v>
      </c>
      <c r="B71" s="3">
        <v>8</v>
      </c>
      <c r="C71" s="3">
        <v>17</v>
      </c>
      <c r="D71" s="3">
        <v>6</v>
      </c>
      <c r="E71" s="3">
        <v>70.282</v>
      </c>
      <c r="F71" s="4" t="str">
        <f>HYPERLINK("http://141.218.60.56/~jnz1568/getInfo.php?workbook=16_08.xlsx&amp;sheet=A0&amp;row=71&amp;col=6&amp;number=8443000&amp;sourceID=14","8443000")</f>
        <v>8443000</v>
      </c>
      <c r="G71" s="4" t="str">
        <f>HYPERLINK("http://141.218.60.56/~jnz1568/getInfo.php?workbook=16_08.xlsx&amp;sheet=A0&amp;row=71&amp;col=7&amp;number=0&amp;sourceID=14","0")</f>
        <v>0</v>
      </c>
    </row>
    <row r="72" spans="1:7">
      <c r="A72" s="3">
        <v>16</v>
      </c>
      <c r="B72" s="3">
        <v>8</v>
      </c>
      <c r="C72" s="3">
        <v>17</v>
      </c>
      <c r="D72" s="3">
        <v>7</v>
      </c>
      <c r="E72" s="3">
        <v>70.63</v>
      </c>
      <c r="F72" s="4" t="str">
        <f>HYPERLINK("http://141.218.60.56/~jnz1568/getInfo.php?workbook=16_08.xlsx&amp;sheet=A0&amp;row=72&amp;col=6&amp;number=9641000&amp;sourceID=14","9641000")</f>
        <v>9641000</v>
      </c>
      <c r="G72" s="4" t="str">
        <f>HYPERLINK("http://141.218.60.56/~jnz1568/getInfo.php?workbook=16_08.xlsx&amp;sheet=A0&amp;row=72&amp;col=7&amp;number=0&amp;sourceID=14","0")</f>
        <v>0</v>
      </c>
    </row>
    <row r="73" spans="1:7">
      <c r="A73" s="3">
        <v>16</v>
      </c>
      <c r="B73" s="3">
        <v>8</v>
      </c>
      <c r="C73" s="3">
        <v>17</v>
      </c>
      <c r="D73" s="3">
        <v>8</v>
      </c>
      <c r="E73" s="3">
        <v>70.825</v>
      </c>
      <c r="F73" s="4" t="str">
        <f>HYPERLINK("http://141.218.60.56/~jnz1568/getInfo.php?workbook=16_08.xlsx&amp;sheet=A0&amp;row=73&amp;col=6&amp;number=5909000&amp;sourceID=14","5909000")</f>
        <v>5909000</v>
      </c>
      <c r="G73" s="4" t="str">
        <f>HYPERLINK("http://141.218.60.56/~jnz1568/getInfo.php?workbook=16_08.xlsx&amp;sheet=A0&amp;row=73&amp;col=7&amp;number=0&amp;sourceID=14","0")</f>
        <v>0</v>
      </c>
    </row>
    <row r="74" spans="1:7">
      <c r="A74" s="3">
        <v>16</v>
      </c>
      <c r="B74" s="3">
        <v>8</v>
      </c>
      <c r="C74" s="3">
        <v>17</v>
      </c>
      <c r="D74" s="3">
        <v>9</v>
      </c>
      <c r="E74" s="3">
        <v>79.888</v>
      </c>
      <c r="F74" s="4" t="str">
        <f>HYPERLINK("http://141.218.60.56/~jnz1568/getInfo.php?workbook=16_08.xlsx&amp;sheet=A0&amp;row=74&amp;col=6&amp;number=15520&amp;sourceID=14","15520")</f>
        <v>15520</v>
      </c>
      <c r="G74" s="4" t="str">
        <f>HYPERLINK("http://141.218.60.56/~jnz1568/getInfo.php?workbook=16_08.xlsx&amp;sheet=A0&amp;row=74&amp;col=7&amp;number=0&amp;sourceID=14","0")</f>
        <v>0</v>
      </c>
    </row>
    <row r="75" spans="1:7">
      <c r="A75" s="3">
        <v>16</v>
      </c>
      <c r="B75" s="3">
        <v>8</v>
      </c>
      <c r="C75" s="3">
        <v>17</v>
      </c>
      <c r="D75" s="3">
        <v>11</v>
      </c>
      <c r="E75" s="3">
        <v>897.36</v>
      </c>
      <c r="F75" s="4" t="str">
        <f>HYPERLINK("http://141.218.60.56/~jnz1568/getInfo.php?workbook=16_08.xlsx&amp;sheet=A0&amp;row=75&amp;col=6&amp;number=1105000000&amp;sourceID=14","1105000000")</f>
        <v>1105000000</v>
      </c>
      <c r="G75" s="4" t="str">
        <f>HYPERLINK("http://141.218.60.56/~jnz1568/getInfo.php?workbook=16_08.xlsx&amp;sheet=A0&amp;row=75&amp;col=7&amp;number=0&amp;sourceID=14","0")</f>
        <v>0</v>
      </c>
    </row>
    <row r="76" spans="1:7">
      <c r="A76" s="3">
        <v>16</v>
      </c>
      <c r="B76" s="3">
        <v>8</v>
      </c>
      <c r="C76" s="3">
        <v>17</v>
      </c>
      <c r="D76" s="3">
        <v>12</v>
      </c>
      <c r="E76" s="3">
        <v>1180.875</v>
      </c>
      <c r="F76" s="4" t="str">
        <f>HYPERLINK("http://141.218.60.56/~jnz1568/getInfo.php?workbook=16_08.xlsx&amp;sheet=A0&amp;row=76&amp;col=6&amp;number=1033000&amp;sourceID=14","1033000")</f>
        <v>1033000</v>
      </c>
      <c r="G76" s="4" t="str">
        <f>HYPERLINK("http://141.218.60.56/~jnz1568/getInfo.php?workbook=16_08.xlsx&amp;sheet=A0&amp;row=76&amp;col=7&amp;number=0&amp;sourceID=14","0")</f>
        <v>0</v>
      </c>
    </row>
    <row r="77" spans="1:7">
      <c r="A77" s="3">
        <v>16</v>
      </c>
      <c r="B77" s="3">
        <v>8</v>
      </c>
      <c r="C77" s="3">
        <v>18</v>
      </c>
      <c r="D77" s="3">
        <v>1</v>
      </c>
      <c r="E77" s="3">
        <v>53.52</v>
      </c>
      <c r="F77" s="4" t="str">
        <f>HYPERLINK("http://141.218.60.56/~jnz1568/getInfo.php?workbook=16_08.xlsx&amp;sheet=A0&amp;row=77&amp;col=6&amp;number=281700&amp;sourceID=14","281700")</f>
        <v>281700</v>
      </c>
      <c r="G77" s="4" t="str">
        <f>HYPERLINK("http://141.218.60.56/~jnz1568/getInfo.php?workbook=16_08.xlsx&amp;sheet=A0&amp;row=77&amp;col=7&amp;number=0&amp;sourceID=14","0")</f>
        <v>0</v>
      </c>
    </row>
    <row r="78" spans="1:7">
      <c r="A78" s="3">
        <v>16</v>
      </c>
      <c r="B78" s="3">
        <v>8</v>
      </c>
      <c r="C78" s="3">
        <v>18</v>
      </c>
      <c r="D78" s="3">
        <v>2</v>
      </c>
      <c r="E78" s="3">
        <v>53.75</v>
      </c>
      <c r="F78" s="4" t="str">
        <f>HYPERLINK("http://141.218.60.56/~jnz1568/getInfo.php?workbook=16_08.xlsx&amp;sheet=A0&amp;row=78&amp;col=6&amp;number=157000&amp;sourceID=14","157000")</f>
        <v>157000</v>
      </c>
      <c r="G78" s="4" t="str">
        <f>HYPERLINK("http://141.218.60.56/~jnz1568/getInfo.php?workbook=16_08.xlsx&amp;sheet=A0&amp;row=78&amp;col=7&amp;number=0&amp;sourceID=14","0")</f>
        <v>0</v>
      </c>
    </row>
    <row r="79" spans="1:7">
      <c r="A79" s="3">
        <v>16</v>
      </c>
      <c r="B79" s="3">
        <v>8</v>
      </c>
      <c r="C79" s="3">
        <v>18</v>
      </c>
      <c r="D79" s="3">
        <v>3</v>
      </c>
      <c r="E79" s="3">
        <v>53.827</v>
      </c>
      <c r="F79" s="4" t="str">
        <f>HYPERLINK("http://141.218.60.56/~jnz1568/getInfo.php?workbook=16_08.xlsx&amp;sheet=A0&amp;row=79&amp;col=6&amp;number=45420&amp;sourceID=14","45420")</f>
        <v>45420</v>
      </c>
      <c r="G79" s="4" t="str">
        <f>HYPERLINK("http://141.218.60.56/~jnz1568/getInfo.php?workbook=16_08.xlsx&amp;sheet=A0&amp;row=79&amp;col=7&amp;number=0&amp;sourceID=14","0")</f>
        <v>0</v>
      </c>
    </row>
    <row r="80" spans="1:7">
      <c r="A80" s="3">
        <v>16</v>
      </c>
      <c r="B80" s="3">
        <v>8</v>
      </c>
      <c r="C80" s="3">
        <v>18</v>
      </c>
      <c r="D80" s="3">
        <v>6</v>
      </c>
      <c r="E80" s="3">
        <v>70.251</v>
      </c>
      <c r="F80" s="4" t="str">
        <f>HYPERLINK("http://141.218.60.56/~jnz1568/getInfo.php?workbook=16_08.xlsx&amp;sheet=A0&amp;row=80&amp;col=6&amp;number=1939000&amp;sourceID=14","1939000")</f>
        <v>1939000</v>
      </c>
      <c r="G80" s="4" t="str">
        <f>HYPERLINK("http://141.218.60.56/~jnz1568/getInfo.php?workbook=16_08.xlsx&amp;sheet=A0&amp;row=80&amp;col=7&amp;number=0&amp;sourceID=14","0")</f>
        <v>0</v>
      </c>
    </row>
    <row r="81" spans="1:7">
      <c r="A81" s="3">
        <v>16</v>
      </c>
      <c r="B81" s="3">
        <v>8</v>
      </c>
      <c r="C81" s="3">
        <v>18</v>
      </c>
      <c r="D81" s="3">
        <v>7</v>
      </c>
      <c r="E81" s="3">
        <v>70.598</v>
      </c>
      <c r="F81" s="4" t="str">
        <f>HYPERLINK("http://141.218.60.56/~jnz1568/getInfo.php?workbook=16_08.xlsx&amp;sheet=A0&amp;row=81&amp;col=6&amp;number=3651000&amp;sourceID=14","3651000")</f>
        <v>3651000</v>
      </c>
      <c r="G81" s="4" t="str">
        <f>HYPERLINK("http://141.218.60.56/~jnz1568/getInfo.php?workbook=16_08.xlsx&amp;sheet=A0&amp;row=81&amp;col=7&amp;number=0&amp;sourceID=14","0")</f>
        <v>0</v>
      </c>
    </row>
    <row r="82" spans="1:7">
      <c r="A82" s="3">
        <v>16</v>
      </c>
      <c r="B82" s="3">
        <v>8</v>
      </c>
      <c r="C82" s="3">
        <v>18</v>
      </c>
      <c r="D82" s="3">
        <v>9</v>
      </c>
      <c r="E82" s="3">
        <v>79.848</v>
      </c>
      <c r="F82" s="4" t="str">
        <f>HYPERLINK("http://141.218.60.56/~jnz1568/getInfo.php?workbook=16_08.xlsx&amp;sheet=A0&amp;row=82&amp;col=6&amp;number=31890&amp;sourceID=14","31890")</f>
        <v>31890</v>
      </c>
      <c r="G82" s="4" t="str">
        <f>HYPERLINK("http://141.218.60.56/~jnz1568/getInfo.php?workbook=16_08.xlsx&amp;sheet=A0&amp;row=82&amp;col=7&amp;number=0&amp;sourceID=14","0")</f>
        <v>0</v>
      </c>
    </row>
    <row r="83" spans="1:7">
      <c r="A83" s="3">
        <v>16</v>
      </c>
      <c r="B83" s="3">
        <v>8</v>
      </c>
      <c r="C83" s="3">
        <v>18</v>
      </c>
      <c r="D83" s="3">
        <v>11</v>
      </c>
      <c r="E83" s="3">
        <v>892.323</v>
      </c>
      <c r="F83" s="4" t="str">
        <f>HYPERLINK("http://141.218.60.56/~jnz1568/getInfo.php?workbook=16_08.xlsx&amp;sheet=A0&amp;row=83&amp;col=6&amp;number=1121000000&amp;sourceID=14","1121000000")</f>
        <v>1121000000</v>
      </c>
      <c r="G83" s="4" t="str">
        <f>HYPERLINK("http://141.218.60.56/~jnz1568/getInfo.php?workbook=16_08.xlsx&amp;sheet=A0&amp;row=83&amp;col=7&amp;number=0&amp;sourceID=14","0")</f>
        <v>0</v>
      </c>
    </row>
    <row r="84" spans="1:7">
      <c r="A84" s="3">
        <v>16</v>
      </c>
      <c r="B84" s="3">
        <v>8</v>
      </c>
      <c r="C84" s="3">
        <v>18</v>
      </c>
      <c r="D84" s="3">
        <v>12</v>
      </c>
      <c r="E84" s="3">
        <v>1172.168</v>
      </c>
      <c r="F84" s="4" t="str">
        <f>HYPERLINK("http://141.218.60.56/~jnz1568/getInfo.php?workbook=16_08.xlsx&amp;sheet=A0&amp;row=84&amp;col=6&amp;number=2341000&amp;sourceID=14","2341000")</f>
        <v>2341000</v>
      </c>
      <c r="G84" s="4" t="str">
        <f>HYPERLINK("http://141.218.60.56/~jnz1568/getInfo.php?workbook=16_08.xlsx&amp;sheet=A0&amp;row=84&amp;col=7&amp;number=0&amp;sourceID=14","0")</f>
        <v>0</v>
      </c>
    </row>
    <row r="85" spans="1:7">
      <c r="A85" s="3">
        <v>16</v>
      </c>
      <c r="B85" s="3">
        <v>8</v>
      </c>
      <c r="C85" s="3">
        <v>18</v>
      </c>
      <c r="D85" s="3">
        <v>13</v>
      </c>
      <c r="E85" s="3">
        <v>4257.674</v>
      </c>
      <c r="F85" s="4" t="str">
        <f>HYPERLINK("http://141.218.60.56/~jnz1568/getInfo.php?workbook=16_08.xlsx&amp;sheet=A0&amp;row=85&amp;col=6&amp;number=1448&amp;sourceID=14","1448")</f>
        <v>1448</v>
      </c>
      <c r="G85" s="4" t="str">
        <f>HYPERLINK("http://141.218.60.56/~jnz1568/getInfo.php?workbook=16_08.xlsx&amp;sheet=A0&amp;row=85&amp;col=7&amp;number=0&amp;sourceID=14","0")</f>
        <v>0</v>
      </c>
    </row>
    <row r="86" spans="1:7">
      <c r="A86" s="3">
        <v>16</v>
      </c>
      <c r="B86" s="3">
        <v>8</v>
      </c>
      <c r="C86" s="3">
        <v>18</v>
      </c>
      <c r="D86" s="3">
        <v>14</v>
      </c>
      <c r="E86" s="3">
        <v>4299.411</v>
      </c>
      <c r="F86" s="4" t="str">
        <f>HYPERLINK("http://141.218.60.56/~jnz1568/getInfo.php?workbook=16_08.xlsx&amp;sheet=A0&amp;row=86&amp;col=6&amp;number=147.3&amp;sourceID=14","147.3")</f>
        <v>147.3</v>
      </c>
      <c r="G86" s="4" t="str">
        <f>HYPERLINK("http://141.218.60.56/~jnz1568/getInfo.php?workbook=16_08.xlsx&amp;sheet=A0&amp;row=86&amp;col=7&amp;number=0&amp;sourceID=14","0")</f>
        <v>0</v>
      </c>
    </row>
    <row r="87" spans="1:7">
      <c r="A87" s="3">
        <v>16</v>
      </c>
      <c r="B87" s="3">
        <v>8</v>
      </c>
      <c r="C87" s="3">
        <v>18</v>
      </c>
      <c r="D87" s="3">
        <v>15</v>
      </c>
      <c r="E87" s="3">
        <v>4423.604</v>
      </c>
      <c r="F87" s="4" t="str">
        <f>HYPERLINK("http://141.218.60.56/~jnz1568/getInfo.php?workbook=16_08.xlsx&amp;sheet=A0&amp;row=87&amp;col=6&amp;number=2077&amp;sourceID=14","2077")</f>
        <v>2077</v>
      </c>
      <c r="G87" s="4" t="str">
        <f>HYPERLINK("http://141.218.60.56/~jnz1568/getInfo.php?workbook=16_08.xlsx&amp;sheet=A0&amp;row=87&amp;col=7&amp;number=0&amp;sourceID=14","0")</f>
        <v>0</v>
      </c>
    </row>
    <row r="88" spans="1:7">
      <c r="A88" s="3">
        <v>16</v>
      </c>
      <c r="B88" s="3">
        <v>8</v>
      </c>
      <c r="C88" s="3">
        <v>19</v>
      </c>
      <c r="D88" s="3">
        <v>1</v>
      </c>
      <c r="E88" s="3">
        <v>53.485</v>
      </c>
      <c r="F88" s="4" t="str">
        <f>HYPERLINK("http://141.218.60.56/~jnz1568/getInfo.php?workbook=16_08.xlsx&amp;sheet=A0&amp;row=88&amp;col=6&amp;number=60790&amp;sourceID=14","60790")</f>
        <v>60790</v>
      </c>
      <c r="G88" s="4" t="str">
        <f>HYPERLINK("http://141.218.60.56/~jnz1568/getInfo.php?workbook=16_08.xlsx&amp;sheet=A0&amp;row=88&amp;col=7&amp;number=0&amp;sourceID=14","0")</f>
        <v>0</v>
      </c>
    </row>
    <row r="89" spans="1:7">
      <c r="A89" s="3">
        <v>16</v>
      </c>
      <c r="B89" s="3">
        <v>8</v>
      </c>
      <c r="C89" s="3">
        <v>19</v>
      </c>
      <c r="D89" s="3">
        <v>2</v>
      </c>
      <c r="E89" s="3">
        <v>53.714</v>
      </c>
      <c r="F89" s="4" t="str">
        <f>HYPERLINK("http://141.218.60.56/~jnz1568/getInfo.php?workbook=16_08.xlsx&amp;sheet=A0&amp;row=89&amp;col=6&amp;number=21750&amp;sourceID=14","21750")</f>
        <v>21750</v>
      </c>
      <c r="G89" s="4" t="str">
        <f>HYPERLINK("http://141.218.60.56/~jnz1568/getInfo.php?workbook=16_08.xlsx&amp;sheet=A0&amp;row=89&amp;col=7&amp;number=0&amp;sourceID=14","0")</f>
        <v>0</v>
      </c>
    </row>
    <row r="90" spans="1:7">
      <c r="A90" s="3">
        <v>16</v>
      </c>
      <c r="B90" s="3">
        <v>8</v>
      </c>
      <c r="C90" s="3">
        <v>19</v>
      </c>
      <c r="D90" s="3">
        <v>6</v>
      </c>
      <c r="E90" s="3">
        <v>70.19</v>
      </c>
      <c r="F90" s="4" t="str">
        <f>HYPERLINK("http://141.218.60.56/~jnz1568/getInfo.php?workbook=16_08.xlsx&amp;sheet=A0&amp;row=90&amp;col=6&amp;number=3749000&amp;sourceID=14","3749000")</f>
        <v>3749000</v>
      </c>
      <c r="G90" s="4" t="str">
        <f>HYPERLINK("http://141.218.60.56/~jnz1568/getInfo.php?workbook=16_08.xlsx&amp;sheet=A0&amp;row=90&amp;col=7&amp;number=0&amp;sourceID=14","0")</f>
        <v>0</v>
      </c>
    </row>
    <row r="91" spans="1:7">
      <c r="A91" s="3">
        <v>16</v>
      </c>
      <c r="B91" s="3">
        <v>8</v>
      </c>
      <c r="C91" s="3">
        <v>19</v>
      </c>
      <c r="D91" s="3">
        <v>11</v>
      </c>
      <c r="E91" s="3">
        <v>882.675</v>
      </c>
      <c r="F91" s="4" t="str">
        <f>HYPERLINK("http://141.218.60.56/~jnz1568/getInfo.php?workbook=16_08.xlsx&amp;sheet=A0&amp;row=91&amp;col=6&amp;number=1162000000&amp;sourceID=14","1162000000")</f>
        <v>1162000000</v>
      </c>
      <c r="G91" s="4" t="str">
        <f>HYPERLINK("http://141.218.60.56/~jnz1568/getInfo.php?workbook=16_08.xlsx&amp;sheet=A0&amp;row=91&amp;col=7&amp;number=0&amp;sourceID=14","0")</f>
        <v>0</v>
      </c>
    </row>
    <row r="92" spans="1:7">
      <c r="A92" s="3">
        <v>16</v>
      </c>
      <c r="B92" s="3">
        <v>8</v>
      </c>
      <c r="C92" s="3">
        <v>19</v>
      </c>
      <c r="D92" s="3">
        <v>15</v>
      </c>
      <c r="E92" s="3">
        <v>4196.215</v>
      </c>
      <c r="F92" s="4" t="str">
        <f>HYPERLINK("http://141.218.60.56/~jnz1568/getInfo.php?workbook=16_08.xlsx&amp;sheet=A0&amp;row=92&amp;col=6&amp;number=529.2&amp;sourceID=14","529.2")</f>
        <v>529.2</v>
      </c>
      <c r="G92" s="4" t="str">
        <f>HYPERLINK("http://141.218.60.56/~jnz1568/getInfo.php?workbook=16_08.xlsx&amp;sheet=A0&amp;row=92&amp;col=7&amp;number=0&amp;sourceID=14","0")</f>
        <v>0</v>
      </c>
    </row>
    <row r="93" spans="1:7">
      <c r="A93" s="3">
        <v>16</v>
      </c>
      <c r="B93" s="3">
        <v>8</v>
      </c>
      <c r="C93" s="3">
        <v>20</v>
      </c>
      <c r="D93" s="3">
        <v>1</v>
      </c>
      <c r="E93" s="3">
        <v>52.832</v>
      </c>
      <c r="F93" s="4" t="str">
        <f>HYPERLINK("http://141.218.60.56/~jnz1568/getInfo.php?workbook=16_08.xlsx&amp;sheet=A0&amp;row=93&amp;col=6&amp;number=40270000&amp;sourceID=14","40270000")</f>
        <v>40270000</v>
      </c>
      <c r="G93" s="4" t="str">
        <f>HYPERLINK("http://141.218.60.56/~jnz1568/getInfo.php?workbook=16_08.xlsx&amp;sheet=A0&amp;row=93&amp;col=7&amp;number=0&amp;sourceID=14","0")</f>
        <v>0</v>
      </c>
    </row>
    <row r="94" spans="1:7">
      <c r="A94" s="3">
        <v>16</v>
      </c>
      <c r="B94" s="3">
        <v>8</v>
      </c>
      <c r="C94" s="3">
        <v>20</v>
      </c>
      <c r="D94" s="3">
        <v>2</v>
      </c>
      <c r="E94" s="3">
        <v>53.056</v>
      </c>
      <c r="F94" s="4" t="str">
        <f>HYPERLINK("http://141.218.60.56/~jnz1568/getInfo.php?workbook=16_08.xlsx&amp;sheet=A0&amp;row=94&amp;col=6&amp;number=11660000&amp;sourceID=14","11660000")</f>
        <v>11660000</v>
      </c>
      <c r="G94" s="4" t="str">
        <f>HYPERLINK("http://141.218.60.56/~jnz1568/getInfo.php?workbook=16_08.xlsx&amp;sheet=A0&amp;row=94&amp;col=7&amp;number=0&amp;sourceID=14","0")</f>
        <v>0</v>
      </c>
    </row>
    <row r="95" spans="1:7">
      <c r="A95" s="3">
        <v>16</v>
      </c>
      <c r="B95" s="3">
        <v>8</v>
      </c>
      <c r="C95" s="3">
        <v>20</v>
      </c>
      <c r="D95" s="3">
        <v>4</v>
      </c>
      <c r="E95" s="3">
        <v>54.511</v>
      </c>
      <c r="F95" s="4" t="str">
        <f>HYPERLINK("http://141.218.60.56/~jnz1568/getInfo.php?workbook=16_08.xlsx&amp;sheet=A0&amp;row=95&amp;col=6&amp;number=261.4&amp;sourceID=14","261.4")</f>
        <v>261.4</v>
      </c>
      <c r="G95" s="4" t="str">
        <f>HYPERLINK("http://141.218.60.56/~jnz1568/getInfo.php?workbook=16_08.xlsx&amp;sheet=A0&amp;row=95&amp;col=7&amp;number=0&amp;sourceID=14","0")</f>
        <v>0</v>
      </c>
    </row>
    <row r="96" spans="1:7">
      <c r="A96" s="3">
        <v>16</v>
      </c>
      <c r="B96" s="3">
        <v>8</v>
      </c>
      <c r="C96" s="3">
        <v>20</v>
      </c>
      <c r="D96" s="3">
        <v>6</v>
      </c>
      <c r="E96" s="3">
        <v>69.07</v>
      </c>
      <c r="F96" s="4" t="str">
        <f>HYPERLINK("http://141.218.60.56/~jnz1568/getInfo.php?workbook=16_08.xlsx&amp;sheet=A0&amp;row=96&amp;col=6&amp;number=311800000&amp;sourceID=14","311800000")</f>
        <v>311800000</v>
      </c>
      <c r="G96" s="4" t="str">
        <f>HYPERLINK("http://141.218.60.56/~jnz1568/getInfo.php?workbook=16_08.xlsx&amp;sheet=A0&amp;row=96&amp;col=7&amp;number=0&amp;sourceID=14","0")</f>
        <v>0</v>
      </c>
    </row>
    <row r="97" spans="1:7">
      <c r="A97" s="3">
        <v>16</v>
      </c>
      <c r="B97" s="3">
        <v>8</v>
      </c>
      <c r="C97" s="3">
        <v>20</v>
      </c>
      <c r="D97" s="3">
        <v>7</v>
      </c>
      <c r="E97" s="3">
        <v>69.406</v>
      </c>
      <c r="F97" s="4" t="str">
        <f>HYPERLINK("http://141.218.60.56/~jnz1568/getInfo.php?workbook=16_08.xlsx&amp;sheet=A0&amp;row=97&amp;col=6&amp;number=61730000&amp;sourceID=14","61730000")</f>
        <v>61730000</v>
      </c>
      <c r="G97" s="4" t="str">
        <f>HYPERLINK("http://141.218.60.56/~jnz1568/getInfo.php?workbook=16_08.xlsx&amp;sheet=A0&amp;row=97&amp;col=7&amp;number=0&amp;sourceID=14","0")</f>
        <v>0</v>
      </c>
    </row>
    <row r="98" spans="1:7">
      <c r="A98" s="3">
        <v>16</v>
      </c>
      <c r="B98" s="3">
        <v>8</v>
      </c>
      <c r="C98" s="3">
        <v>20</v>
      </c>
      <c r="D98" s="3">
        <v>8</v>
      </c>
      <c r="E98" s="3">
        <v>69.594</v>
      </c>
      <c r="F98" s="4" t="str">
        <f>HYPERLINK("http://141.218.60.56/~jnz1568/getInfo.php?workbook=16_08.xlsx&amp;sheet=A0&amp;row=98&amp;col=6&amp;number=136300000&amp;sourceID=14","136300000")</f>
        <v>136300000</v>
      </c>
      <c r="G98" s="4" t="str">
        <f>HYPERLINK("http://141.218.60.56/~jnz1568/getInfo.php?workbook=16_08.xlsx&amp;sheet=A0&amp;row=98&amp;col=7&amp;number=0&amp;sourceID=14","0")</f>
        <v>0</v>
      </c>
    </row>
    <row r="99" spans="1:7">
      <c r="A99" s="3">
        <v>16</v>
      </c>
      <c r="B99" s="3">
        <v>8</v>
      </c>
      <c r="C99" s="3">
        <v>20</v>
      </c>
      <c r="D99" s="3">
        <v>9</v>
      </c>
      <c r="E99" s="3">
        <v>78.326</v>
      </c>
      <c r="F99" s="4" t="str">
        <f>HYPERLINK("http://141.218.60.56/~jnz1568/getInfo.php?workbook=16_08.xlsx&amp;sheet=A0&amp;row=99&amp;col=6&amp;number=104.6&amp;sourceID=14","104.6")</f>
        <v>104.6</v>
      </c>
      <c r="G99" s="4" t="str">
        <f>HYPERLINK("http://141.218.60.56/~jnz1568/getInfo.php?workbook=16_08.xlsx&amp;sheet=A0&amp;row=99&amp;col=7&amp;number=0&amp;sourceID=14","0")</f>
        <v>0</v>
      </c>
    </row>
    <row r="100" spans="1:7">
      <c r="A100" s="3">
        <v>16</v>
      </c>
      <c r="B100" s="3">
        <v>8</v>
      </c>
      <c r="C100" s="3">
        <v>20</v>
      </c>
      <c r="D100" s="3">
        <v>11</v>
      </c>
      <c r="E100" s="3">
        <v>733.116</v>
      </c>
      <c r="F100" s="4" t="str">
        <f>HYPERLINK("http://141.218.60.56/~jnz1568/getInfo.php?workbook=16_08.xlsx&amp;sheet=A0&amp;row=100&amp;col=6&amp;number=4528000&amp;sourceID=14","4528000")</f>
        <v>4528000</v>
      </c>
      <c r="G100" s="4" t="str">
        <f>HYPERLINK("http://141.218.60.56/~jnz1568/getInfo.php?workbook=16_08.xlsx&amp;sheet=A0&amp;row=100&amp;col=7&amp;number=0&amp;sourceID=14","0")</f>
        <v>0</v>
      </c>
    </row>
    <row r="101" spans="1:7">
      <c r="A101" s="3">
        <v>16</v>
      </c>
      <c r="B101" s="3">
        <v>8</v>
      </c>
      <c r="C101" s="3">
        <v>20</v>
      </c>
      <c r="D101" s="3">
        <v>12</v>
      </c>
      <c r="E101" s="3">
        <v>912.001</v>
      </c>
      <c r="F101" s="4" t="str">
        <f>HYPERLINK("http://141.218.60.56/~jnz1568/getInfo.php?workbook=16_08.xlsx&amp;sheet=A0&amp;row=101&amp;col=6&amp;number=963900000&amp;sourceID=14","963900000")</f>
        <v>963900000</v>
      </c>
      <c r="G101" s="4" t="str">
        <f>HYPERLINK("http://141.218.60.56/~jnz1568/getInfo.php?workbook=16_08.xlsx&amp;sheet=A0&amp;row=101&amp;col=7&amp;number=0&amp;sourceID=14","0")</f>
        <v>0</v>
      </c>
    </row>
    <row r="102" spans="1:7">
      <c r="A102" s="3">
        <v>16</v>
      </c>
      <c r="B102" s="3">
        <v>8</v>
      </c>
      <c r="C102" s="3">
        <v>20</v>
      </c>
      <c r="D102" s="3">
        <v>13</v>
      </c>
      <c r="E102" s="3">
        <v>2091</v>
      </c>
      <c r="F102" s="4" t="str">
        <f>HYPERLINK("http://141.218.60.56/~jnz1568/getInfo.php?workbook=16_08.xlsx&amp;sheet=A0&amp;row=102&amp;col=6&amp;number=4903000&amp;sourceID=14","4903000")</f>
        <v>4903000</v>
      </c>
      <c r="G102" s="4" t="str">
        <f>HYPERLINK("http://141.218.60.56/~jnz1568/getInfo.php?workbook=16_08.xlsx&amp;sheet=A0&amp;row=102&amp;col=7&amp;number=0&amp;sourceID=14","0")</f>
        <v>0</v>
      </c>
    </row>
    <row r="103" spans="1:7">
      <c r="A103" s="3">
        <v>16</v>
      </c>
      <c r="B103" s="3">
        <v>8</v>
      </c>
      <c r="C103" s="3">
        <v>20</v>
      </c>
      <c r="D103" s="3">
        <v>14</v>
      </c>
      <c r="E103" s="3">
        <v>2101.017</v>
      </c>
      <c r="F103" s="4" t="str">
        <f>HYPERLINK("http://141.218.60.56/~jnz1568/getInfo.php?workbook=16_08.xlsx&amp;sheet=A0&amp;row=103&amp;col=6&amp;number=2739000&amp;sourceID=14","2739000")</f>
        <v>2739000</v>
      </c>
      <c r="G103" s="4" t="str">
        <f>HYPERLINK("http://141.218.60.56/~jnz1568/getInfo.php?workbook=16_08.xlsx&amp;sheet=A0&amp;row=103&amp;col=7&amp;number=0&amp;sourceID=14","0")</f>
        <v>0</v>
      </c>
    </row>
    <row r="104" spans="1:7">
      <c r="A104" s="3">
        <v>16</v>
      </c>
      <c r="B104" s="3">
        <v>8</v>
      </c>
      <c r="C104" s="3">
        <v>20</v>
      </c>
      <c r="D104" s="3">
        <v>16</v>
      </c>
      <c r="E104" s="3">
        <v>2930.575</v>
      </c>
      <c r="F104" s="4" t="str">
        <f>HYPERLINK("http://141.218.60.56/~jnz1568/getInfo.php?workbook=16_08.xlsx&amp;sheet=A0&amp;row=104&amp;col=6&amp;number=152900&amp;sourceID=14","152900")</f>
        <v>152900</v>
      </c>
      <c r="G104" s="4" t="str">
        <f>HYPERLINK("http://141.218.60.56/~jnz1568/getInfo.php?workbook=16_08.xlsx&amp;sheet=A0&amp;row=104&amp;col=7&amp;number=0&amp;sourceID=14","0")</f>
        <v>0</v>
      </c>
    </row>
    <row r="105" spans="1:7">
      <c r="A105" s="3">
        <v>16</v>
      </c>
      <c r="B105" s="3">
        <v>8</v>
      </c>
      <c r="C105" s="3">
        <v>21</v>
      </c>
      <c r="D105" s="3">
        <v>1</v>
      </c>
      <c r="E105" s="3">
        <v>52.821</v>
      </c>
      <c r="F105" s="4" t="str">
        <f>HYPERLINK("http://141.218.60.56/~jnz1568/getInfo.php?workbook=16_08.xlsx&amp;sheet=A0&amp;row=105&amp;col=6&amp;number=19290000&amp;sourceID=14","19290000")</f>
        <v>19290000</v>
      </c>
      <c r="G105" s="4" t="str">
        <f>HYPERLINK("http://141.218.60.56/~jnz1568/getInfo.php?workbook=16_08.xlsx&amp;sheet=A0&amp;row=105&amp;col=7&amp;number=0&amp;sourceID=14","0")</f>
        <v>0</v>
      </c>
    </row>
    <row r="106" spans="1:7">
      <c r="A106" s="3">
        <v>16</v>
      </c>
      <c r="B106" s="3">
        <v>8</v>
      </c>
      <c r="C106" s="3">
        <v>21</v>
      </c>
      <c r="D106" s="3">
        <v>2</v>
      </c>
      <c r="E106" s="3">
        <v>53.045</v>
      </c>
      <c r="F106" s="4" t="str">
        <f>HYPERLINK("http://141.218.60.56/~jnz1568/getInfo.php?workbook=16_08.xlsx&amp;sheet=A0&amp;row=106&amp;col=6&amp;number=21950000&amp;sourceID=14","21950000")</f>
        <v>21950000</v>
      </c>
      <c r="G106" s="4" t="str">
        <f>HYPERLINK("http://141.218.60.56/~jnz1568/getInfo.php?workbook=16_08.xlsx&amp;sheet=A0&amp;row=106&amp;col=7&amp;number=0&amp;sourceID=14","0")</f>
        <v>0</v>
      </c>
    </row>
    <row r="107" spans="1:7">
      <c r="A107" s="3">
        <v>16</v>
      </c>
      <c r="B107" s="3">
        <v>8</v>
      </c>
      <c r="C107" s="3">
        <v>21</v>
      </c>
      <c r="D107" s="3">
        <v>3</v>
      </c>
      <c r="E107" s="3">
        <v>53.12</v>
      </c>
      <c r="F107" s="4" t="str">
        <f>HYPERLINK("http://141.218.60.56/~jnz1568/getInfo.php?workbook=16_08.xlsx&amp;sheet=A0&amp;row=107&amp;col=6&amp;number=9600000&amp;sourceID=14","9600000")</f>
        <v>9600000</v>
      </c>
      <c r="G107" s="4" t="str">
        <f>HYPERLINK("http://141.218.60.56/~jnz1568/getInfo.php?workbook=16_08.xlsx&amp;sheet=A0&amp;row=107&amp;col=7&amp;number=0&amp;sourceID=14","0")</f>
        <v>0</v>
      </c>
    </row>
    <row r="108" spans="1:7">
      <c r="A108" s="3">
        <v>16</v>
      </c>
      <c r="B108" s="3">
        <v>8</v>
      </c>
      <c r="C108" s="3">
        <v>21</v>
      </c>
      <c r="D108" s="3">
        <v>4</v>
      </c>
      <c r="E108" s="3">
        <v>54.5</v>
      </c>
      <c r="F108" s="4" t="str">
        <f>HYPERLINK("http://141.218.60.56/~jnz1568/getInfo.php?workbook=16_08.xlsx&amp;sheet=A0&amp;row=108&amp;col=6&amp;number=10770&amp;sourceID=14","10770")</f>
        <v>10770</v>
      </c>
      <c r="G108" s="4" t="str">
        <f>HYPERLINK("http://141.218.60.56/~jnz1568/getInfo.php?workbook=16_08.xlsx&amp;sheet=A0&amp;row=108&amp;col=7&amp;number=0&amp;sourceID=14","0")</f>
        <v>0</v>
      </c>
    </row>
    <row r="109" spans="1:7">
      <c r="A109" s="3">
        <v>16</v>
      </c>
      <c r="B109" s="3">
        <v>8</v>
      </c>
      <c r="C109" s="3">
        <v>21</v>
      </c>
      <c r="D109" s="3">
        <v>6</v>
      </c>
      <c r="E109" s="3">
        <v>69.052</v>
      </c>
      <c r="F109" s="4" t="str">
        <f>HYPERLINK("http://141.218.60.56/~jnz1568/getInfo.php?workbook=16_08.xlsx&amp;sheet=A0&amp;row=109&amp;col=6&amp;number=371300000&amp;sourceID=14","371300000")</f>
        <v>371300000</v>
      </c>
      <c r="G109" s="4" t="str">
        <f>HYPERLINK("http://141.218.60.56/~jnz1568/getInfo.php?workbook=16_08.xlsx&amp;sheet=A0&amp;row=109&amp;col=7&amp;number=0&amp;sourceID=14","0")</f>
        <v>0</v>
      </c>
    </row>
    <row r="110" spans="1:7">
      <c r="A110" s="3">
        <v>16</v>
      </c>
      <c r="B110" s="3">
        <v>8</v>
      </c>
      <c r="C110" s="3">
        <v>21</v>
      </c>
      <c r="D110" s="3">
        <v>7</v>
      </c>
      <c r="E110" s="3">
        <v>69.388</v>
      </c>
      <c r="F110" s="4" t="str">
        <f>HYPERLINK("http://141.218.60.56/~jnz1568/getInfo.php?workbook=16_08.xlsx&amp;sheet=A0&amp;row=110&amp;col=6&amp;number=164400000&amp;sourceID=14","164400000")</f>
        <v>164400000</v>
      </c>
      <c r="G110" s="4" t="str">
        <f>HYPERLINK("http://141.218.60.56/~jnz1568/getInfo.php?workbook=16_08.xlsx&amp;sheet=A0&amp;row=110&amp;col=7&amp;number=0&amp;sourceID=14","0")</f>
        <v>0</v>
      </c>
    </row>
    <row r="111" spans="1:7">
      <c r="A111" s="3">
        <v>16</v>
      </c>
      <c r="B111" s="3">
        <v>8</v>
      </c>
      <c r="C111" s="3">
        <v>21</v>
      </c>
      <c r="D111" s="3">
        <v>9</v>
      </c>
      <c r="E111" s="3">
        <v>78.303</v>
      </c>
      <c r="F111" s="4" t="str">
        <f>HYPERLINK("http://141.218.60.56/~jnz1568/getInfo.php?workbook=16_08.xlsx&amp;sheet=A0&amp;row=111&amp;col=6&amp;number=3968000&amp;sourceID=14","3968000")</f>
        <v>3968000</v>
      </c>
      <c r="G111" s="4" t="str">
        <f>HYPERLINK("http://141.218.60.56/~jnz1568/getInfo.php?workbook=16_08.xlsx&amp;sheet=A0&amp;row=111&amp;col=7&amp;number=0&amp;sourceID=14","0")</f>
        <v>0</v>
      </c>
    </row>
    <row r="112" spans="1:7">
      <c r="A112" s="3">
        <v>16</v>
      </c>
      <c r="B112" s="3">
        <v>8</v>
      </c>
      <c r="C112" s="3">
        <v>21</v>
      </c>
      <c r="D112" s="3">
        <v>11</v>
      </c>
      <c r="E112" s="3">
        <v>731.106</v>
      </c>
      <c r="F112" s="4" t="str">
        <f>HYPERLINK("http://141.218.60.56/~jnz1568/getInfo.php?workbook=16_08.xlsx&amp;sheet=A0&amp;row=112&amp;col=6&amp;number=10270000&amp;sourceID=14","10270000")</f>
        <v>10270000</v>
      </c>
      <c r="G112" s="4" t="str">
        <f>HYPERLINK("http://141.218.60.56/~jnz1568/getInfo.php?workbook=16_08.xlsx&amp;sheet=A0&amp;row=112&amp;col=7&amp;number=0&amp;sourceID=14","0")</f>
        <v>0</v>
      </c>
    </row>
    <row r="113" spans="1:7">
      <c r="A113" s="3">
        <v>16</v>
      </c>
      <c r="B113" s="3">
        <v>8</v>
      </c>
      <c r="C113" s="3">
        <v>21</v>
      </c>
      <c r="D113" s="3">
        <v>12</v>
      </c>
      <c r="E113" s="3">
        <v>908.893</v>
      </c>
      <c r="F113" s="4" t="str">
        <f>HYPERLINK("http://141.218.60.56/~jnz1568/getInfo.php?workbook=16_08.xlsx&amp;sheet=A0&amp;row=113&amp;col=6&amp;number=956500000&amp;sourceID=14","956500000")</f>
        <v>956500000</v>
      </c>
      <c r="G113" s="4" t="str">
        <f>HYPERLINK("http://141.218.60.56/~jnz1568/getInfo.php?workbook=16_08.xlsx&amp;sheet=A0&amp;row=113&amp;col=7&amp;number=0&amp;sourceID=14","0")</f>
        <v>0</v>
      </c>
    </row>
    <row r="114" spans="1:7">
      <c r="A114" s="3">
        <v>16</v>
      </c>
      <c r="B114" s="3">
        <v>8</v>
      </c>
      <c r="C114" s="3">
        <v>21</v>
      </c>
      <c r="D114" s="3">
        <v>13</v>
      </c>
      <c r="E114" s="3">
        <v>2074.732</v>
      </c>
      <c r="F114" s="4" t="str">
        <f>HYPERLINK("http://141.218.60.56/~jnz1568/getInfo.php?workbook=16_08.xlsx&amp;sheet=A0&amp;row=114&amp;col=6&amp;number=2375000&amp;sourceID=14","2375000")</f>
        <v>2375000</v>
      </c>
      <c r="G114" s="4" t="str">
        <f>HYPERLINK("http://141.218.60.56/~jnz1568/getInfo.php?workbook=16_08.xlsx&amp;sheet=A0&amp;row=114&amp;col=7&amp;number=0&amp;sourceID=14","0")</f>
        <v>0</v>
      </c>
    </row>
    <row r="115" spans="1:7">
      <c r="A115" s="3">
        <v>16</v>
      </c>
      <c r="B115" s="3">
        <v>8</v>
      </c>
      <c r="C115" s="3">
        <v>21</v>
      </c>
      <c r="D115" s="3">
        <v>14</v>
      </c>
      <c r="E115" s="3">
        <v>2084.593</v>
      </c>
      <c r="F115" s="4" t="str">
        <f>HYPERLINK("http://141.218.60.56/~jnz1568/getInfo.php?workbook=16_08.xlsx&amp;sheet=A0&amp;row=115&amp;col=6&amp;number=206500&amp;sourceID=14","206500")</f>
        <v>206500</v>
      </c>
      <c r="G115" s="4" t="str">
        <f>HYPERLINK("http://141.218.60.56/~jnz1568/getInfo.php?workbook=16_08.xlsx&amp;sheet=A0&amp;row=115&amp;col=7&amp;number=0&amp;sourceID=14","0")</f>
        <v>0</v>
      </c>
    </row>
    <row r="116" spans="1:7">
      <c r="A116" s="3">
        <v>16</v>
      </c>
      <c r="B116" s="3">
        <v>8</v>
      </c>
      <c r="C116" s="3">
        <v>21</v>
      </c>
      <c r="D116" s="3">
        <v>15</v>
      </c>
      <c r="E116" s="3">
        <v>2113.361</v>
      </c>
      <c r="F116" s="4" t="str">
        <f>HYPERLINK("http://141.218.60.56/~jnz1568/getInfo.php?workbook=16_08.xlsx&amp;sheet=A0&amp;row=116&amp;col=6&amp;number=6874000&amp;sourceID=14","6874000")</f>
        <v>6874000</v>
      </c>
      <c r="G116" s="4" t="str">
        <f>HYPERLINK("http://141.218.60.56/~jnz1568/getInfo.php?workbook=16_08.xlsx&amp;sheet=A0&amp;row=116&amp;col=7&amp;number=0&amp;sourceID=14","0")</f>
        <v>0</v>
      </c>
    </row>
    <row r="117" spans="1:7">
      <c r="A117" s="3">
        <v>16</v>
      </c>
      <c r="B117" s="3">
        <v>8</v>
      </c>
      <c r="C117" s="3">
        <v>21</v>
      </c>
      <c r="D117" s="3">
        <v>16</v>
      </c>
      <c r="E117" s="3">
        <v>2898.719</v>
      </c>
      <c r="F117" s="4" t="str">
        <f>HYPERLINK("http://141.218.60.56/~jnz1568/getInfo.php?workbook=16_08.xlsx&amp;sheet=A0&amp;row=117&amp;col=6&amp;number=29300&amp;sourceID=14","29300")</f>
        <v>29300</v>
      </c>
      <c r="G117" s="4" t="str">
        <f>HYPERLINK("http://141.218.60.56/~jnz1568/getInfo.php?workbook=16_08.xlsx&amp;sheet=A0&amp;row=117&amp;col=7&amp;number=0&amp;sourceID=14","0")</f>
        <v>0</v>
      </c>
    </row>
    <row r="118" spans="1:7">
      <c r="A118" s="3">
        <v>16</v>
      </c>
      <c r="B118" s="3">
        <v>8</v>
      </c>
      <c r="C118" s="3">
        <v>22</v>
      </c>
      <c r="D118" s="3">
        <v>1</v>
      </c>
      <c r="E118" s="3">
        <v>-52.981</v>
      </c>
      <c r="F118" s="4" t="str">
        <f>HYPERLINK("http://141.218.60.56/~jnz1568/getInfo.php?workbook=16_08.xlsx&amp;sheet=A0&amp;row=118&amp;col=6&amp;number=52030000&amp;sourceID=14","52030000")</f>
        <v>52030000</v>
      </c>
      <c r="G118" s="4" t="str">
        <f>HYPERLINK("http://141.218.60.56/~jnz1568/getInfo.php?workbook=16_08.xlsx&amp;sheet=A0&amp;row=118&amp;col=7&amp;number=0&amp;sourceID=14","0")</f>
        <v>0</v>
      </c>
    </row>
    <row r="119" spans="1:7">
      <c r="A119" s="3">
        <v>16</v>
      </c>
      <c r="B119" s="3">
        <v>8</v>
      </c>
      <c r="C119" s="3">
        <v>22</v>
      </c>
      <c r="D119" s="3">
        <v>4</v>
      </c>
      <c r="E119" s="3">
        <v>-54.772</v>
      </c>
      <c r="F119" s="4" t="str">
        <f>HYPERLINK("http://141.218.60.56/~jnz1568/getInfo.php?workbook=16_08.xlsx&amp;sheet=A0&amp;row=119&amp;col=6&amp;number=246000&amp;sourceID=14","246000")</f>
        <v>246000</v>
      </c>
      <c r="G119" s="4" t="str">
        <f>HYPERLINK("http://141.218.60.56/~jnz1568/getInfo.php?workbook=16_08.xlsx&amp;sheet=A0&amp;row=119&amp;col=7&amp;number=0&amp;sourceID=14","0")</f>
        <v>0</v>
      </c>
    </row>
    <row r="120" spans="1:7">
      <c r="A120" s="3">
        <v>16</v>
      </c>
      <c r="B120" s="3">
        <v>8</v>
      </c>
      <c r="C120" s="3">
        <v>22</v>
      </c>
      <c r="D120" s="3">
        <v>7</v>
      </c>
      <c r="E120" s="3">
        <v>-70.187</v>
      </c>
      <c r="F120" s="4" t="str">
        <f>HYPERLINK("http://141.218.60.56/~jnz1568/getInfo.php?workbook=16_08.xlsx&amp;sheet=A0&amp;row=120&amp;col=6&amp;number=425000000&amp;sourceID=14","425000000")</f>
        <v>425000000</v>
      </c>
      <c r="G120" s="4" t="str">
        <f>HYPERLINK("http://141.218.60.56/~jnz1568/getInfo.php?workbook=16_08.xlsx&amp;sheet=A0&amp;row=120&amp;col=7&amp;number=0&amp;sourceID=14","0")</f>
        <v>0</v>
      </c>
    </row>
    <row r="121" spans="1:7">
      <c r="A121" s="3">
        <v>16</v>
      </c>
      <c r="B121" s="3">
        <v>8</v>
      </c>
      <c r="C121" s="3">
        <v>22</v>
      </c>
      <c r="D121" s="3">
        <v>9</v>
      </c>
      <c r="E121" s="3">
        <v>-79.924</v>
      </c>
      <c r="F121" s="4" t="str">
        <f>HYPERLINK("http://141.218.60.56/~jnz1568/getInfo.php?workbook=16_08.xlsx&amp;sheet=A0&amp;row=121&amp;col=6&amp;number=5737000&amp;sourceID=14","5737000")</f>
        <v>5737000</v>
      </c>
      <c r="G121" s="4" t="str">
        <f>HYPERLINK("http://141.218.60.56/~jnz1568/getInfo.php?workbook=16_08.xlsx&amp;sheet=A0&amp;row=121&amp;col=7&amp;number=0&amp;sourceID=14","0")</f>
        <v>0</v>
      </c>
    </row>
    <row r="122" spans="1:7">
      <c r="A122" s="3">
        <v>16</v>
      </c>
      <c r="B122" s="3">
        <v>8</v>
      </c>
      <c r="C122" s="3">
        <v>22</v>
      </c>
      <c r="D122" s="3">
        <v>12</v>
      </c>
      <c r="E122" s="3">
        <v>-902.26</v>
      </c>
      <c r="F122" s="4" t="str">
        <f>HYPERLINK("http://141.218.60.56/~jnz1568/getInfo.php?workbook=16_08.xlsx&amp;sheet=A0&amp;row=122&amp;col=6&amp;number=1001000000&amp;sourceID=14","1001000000")</f>
        <v>1001000000</v>
      </c>
      <c r="G122" s="4" t="str">
        <f>HYPERLINK("http://141.218.60.56/~jnz1568/getInfo.php?workbook=16_08.xlsx&amp;sheet=A0&amp;row=122&amp;col=7&amp;number=0&amp;sourceID=14","0")</f>
        <v>0</v>
      </c>
    </row>
    <row r="123" spans="1:7">
      <c r="A123" s="3">
        <v>16</v>
      </c>
      <c r="B123" s="3">
        <v>8</v>
      </c>
      <c r="C123" s="3">
        <v>22</v>
      </c>
      <c r="D123" s="3">
        <v>14</v>
      </c>
      <c r="E123" s="3">
        <v>-2083.296</v>
      </c>
      <c r="F123" s="4" t="str">
        <f>HYPERLINK("http://141.218.60.56/~jnz1568/getInfo.php?workbook=16_08.xlsx&amp;sheet=A0&amp;row=123&amp;col=6&amp;number=7633000&amp;sourceID=14","7633000")</f>
        <v>7633000</v>
      </c>
      <c r="G123" s="4" t="str">
        <f>HYPERLINK("http://141.218.60.56/~jnz1568/getInfo.php?workbook=16_08.xlsx&amp;sheet=A0&amp;row=123&amp;col=7&amp;number=0&amp;sourceID=14","0")</f>
        <v>0</v>
      </c>
    </row>
    <row r="124" spans="1:7">
      <c r="A124" s="3">
        <v>16</v>
      </c>
      <c r="B124" s="3">
        <v>8</v>
      </c>
      <c r="C124" s="3">
        <v>23</v>
      </c>
      <c r="D124" s="3">
        <v>1</v>
      </c>
      <c r="E124" s="3">
        <v>52.917</v>
      </c>
      <c r="F124" s="4" t="str">
        <f>HYPERLINK("http://141.218.60.56/~jnz1568/getInfo.php?workbook=16_08.xlsx&amp;sheet=A0&amp;row=124&amp;col=6&amp;number=1077&amp;sourceID=14","1077")</f>
        <v>1077</v>
      </c>
      <c r="G124" s="4" t="str">
        <f>HYPERLINK("http://141.218.60.56/~jnz1568/getInfo.php?workbook=16_08.xlsx&amp;sheet=A0&amp;row=124&amp;col=7&amp;number=0&amp;sourceID=14","0")</f>
        <v>0</v>
      </c>
    </row>
    <row r="125" spans="1:7">
      <c r="A125" s="3">
        <v>16</v>
      </c>
      <c r="B125" s="3">
        <v>8</v>
      </c>
      <c r="C125" s="3">
        <v>23</v>
      </c>
      <c r="D125" s="3">
        <v>2</v>
      </c>
      <c r="E125" s="3">
        <v>53.142</v>
      </c>
      <c r="F125" s="4" t="str">
        <f>HYPERLINK("http://141.218.60.56/~jnz1568/getInfo.php?workbook=16_08.xlsx&amp;sheet=A0&amp;row=125&amp;col=6&amp;number=95920000000&amp;sourceID=14","95920000000")</f>
        <v>95920000000</v>
      </c>
      <c r="G125" s="4" t="str">
        <f>HYPERLINK("http://141.218.60.56/~jnz1568/getInfo.php?workbook=16_08.xlsx&amp;sheet=A0&amp;row=125&amp;col=7&amp;number=0&amp;sourceID=14","0")</f>
        <v>0</v>
      </c>
    </row>
    <row r="126" spans="1:7">
      <c r="A126" s="3">
        <v>16</v>
      </c>
      <c r="B126" s="3">
        <v>8</v>
      </c>
      <c r="C126" s="3">
        <v>23</v>
      </c>
      <c r="D126" s="3">
        <v>4</v>
      </c>
      <c r="E126" s="3">
        <v>54.602</v>
      </c>
      <c r="F126" s="4" t="str">
        <f>HYPERLINK("http://141.218.60.56/~jnz1568/getInfo.php?workbook=16_08.xlsx&amp;sheet=A0&amp;row=126&amp;col=6&amp;number=2694&amp;sourceID=14","2694")</f>
        <v>2694</v>
      </c>
      <c r="G126" s="4" t="str">
        <f>HYPERLINK("http://141.218.60.56/~jnz1568/getInfo.php?workbook=16_08.xlsx&amp;sheet=A0&amp;row=126&amp;col=7&amp;number=0&amp;sourceID=14","0")</f>
        <v>0</v>
      </c>
    </row>
    <row r="127" spans="1:7">
      <c r="A127" s="3">
        <v>16</v>
      </c>
      <c r="B127" s="3">
        <v>8</v>
      </c>
      <c r="C127" s="3">
        <v>23</v>
      </c>
      <c r="D127" s="3">
        <v>6</v>
      </c>
      <c r="E127" s="3">
        <v>69.216</v>
      </c>
      <c r="F127" s="4" t="str">
        <f>HYPERLINK("http://141.218.60.56/~jnz1568/getInfo.php?workbook=16_08.xlsx&amp;sheet=A0&amp;row=127&amp;col=6&amp;number=235400&amp;sourceID=14","235400")</f>
        <v>235400</v>
      </c>
      <c r="G127" s="4" t="str">
        <f>HYPERLINK("http://141.218.60.56/~jnz1568/getInfo.php?workbook=16_08.xlsx&amp;sheet=A0&amp;row=127&amp;col=7&amp;number=0&amp;sourceID=14","0")</f>
        <v>0</v>
      </c>
    </row>
    <row r="128" spans="1:7">
      <c r="A128" s="3">
        <v>16</v>
      </c>
      <c r="B128" s="3">
        <v>8</v>
      </c>
      <c r="C128" s="3">
        <v>24</v>
      </c>
      <c r="D128" s="3">
        <v>1</v>
      </c>
      <c r="E128" s="3">
        <v>52.902</v>
      </c>
      <c r="F128" s="4" t="str">
        <f>HYPERLINK("http://141.218.60.56/~jnz1568/getInfo.php?workbook=16_08.xlsx&amp;sheet=A0&amp;row=128&amp;col=6&amp;number=30230000000&amp;sourceID=14","30230000000")</f>
        <v>30230000000</v>
      </c>
      <c r="G128" s="4" t="str">
        <f>HYPERLINK("http://141.218.60.56/~jnz1568/getInfo.php?workbook=16_08.xlsx&amp;sheet=A0&amp;row=128&amp;col=7&amp;number=0&amp;sourceID=14","0")</f>
        <v>0</v>
      </c>
    </row>
    <row r="129" spans="1:7">
      <c r="A129" s="3">
        <v>16</v>
      </c>
      <c r="B129" s="3">
        <v>8</v>
      </c>
      <c r="C129" s="3">
        <v>24</v>
      </c>
      <c r="D129" s="3">
        <v>2</v>
      </c>
      <c r="E129" s="3">
        <v>53.126</v>
      </c>
      <c r="F129" s="4" t="str">
        <f>HYPERLINK("http://141.218.60.56/~jnz1568/getInfo.php?workbook=16_08.xlsx&amp;sheet=A0&amp;row=129&amp;col=6&amp;number=20340000000&amp;sourceID=14","20340000000")</f>
        <v>20340000000</v>
      </c>
      <c r="G129" s="4" t="str">
        <f>HYPERLINK("http://141.218.60.56/~jnz1568/getInfo.php?workbook=16_08.xlsx&amp;sheet=A0&amp;row=129&amp;col=7&amp;number=0&amp;sourceID=14","0")</f>
        <v>0</v>
      </c>
    </row>
    <row r="130" spans="1:7">
      <c r="A130" s="3">
        <v>16</v>
      </c>
      <c r="B130" s="3">
        <v>8</v>
      </c>
      <c r="C130" s="3">
        <v>24</v>
      </c>
      <c r="D130" s="3">
        <v>3</v>
      </c>
      <c r="E130" s="3">
        <v>53.202</v>
      </c>
      <c r="F130" s="4" t="str">
        <f>HYPERLINK("http://141.218.60.56/~jnz1568/getInfo.php?workbook=16_08.xlsx&amp;sheet=A0&amp;row=130&amp;col=6&amp;number=44940000000&amp;sourceID=14","44940000000")</f>
        <v>44940000000</v>
      </c>
      <c r="G130" s="4" t="str">
        <f>HYPERLINK("http://141.218.60.56/~jnz1568/getInfo.php?workbook=16_08.xlsx&amp;sheet=A0&amp;row=130&amp;col=7&amp;number=0&amp;sourceID=14","0")</f>
        <v>0</v>
      </c>
    </row>
    <row r="131" spans="1:7">
      <c r="A131" s="3">
        <v>16</v>
      </c>
      <c r="B131" s="3">
        <v>8</v>
      </c>
      <c r="C131" s="3">
        <v>24</v>
      </c>
      <c r="D131" s="3">
        <v>4</v>
      </c>
      <c r="E131" s="3">
        <v>54.585</v>
      </c>
      <c r="F131" s="4" t="str">
        <f>HYPERLINK("http://141.218.60.56/~jnz1568/getInfo.php?workbook=16_08.xlsx&amp;sheet=A0&amp;row=131&amp;col=6&amp;number=1559000000&amp;sourceID=14","1559000000")</f>
        <v>1559000000</v>
      </c>
      <c r="G131" s="4" t="str">
        <f>HYPERLINK("http://141.218.60.56/~jnz1568/getInfo.php?workbook=16_08.xlsx&amp;sheet=A0&amp;row=131&amp;col=7&amp;number=0&amp;sourceID=14","0")</f>
        <v>0</v>
      </c>
    </row>
    <row r="132" spans="1:7">
      <c r="A132" s="3">
        <v>16</v>
      </c>
      <c r="B132" s="3">
        <v>8</v>
      </c>
      <c r="C132" s="3">
        <v>24</v>
      </c>
      <c r="D132" s="3">
        <v>5</v>
      </c>
      <c r="E132" s="3">
        <v>56.574</v>
      </c>
      <c r="F132" s="4" t="str">
        <f>HYPERLINK("http://141.218.60.56/~jnz1568/getInfo.php?workbook=16_08.xlsx&amp;sheet=A0&amp;row=132&amp;col=6&amp;number=6732000&amp;sourceID=14","6732000")</f>
        <v>6732000</v>
      </c>
      <c r="G132" s="4" t="str">
        <f>HYPERLINK("http://141.218.60.56/~jnz1568/getInfo.php?workbook=16_08.xlsx&amp;sheet=A0&amp;row=132&amp;col=7&amp;number=0&amp;sourceID=14","0")</f>
        <v>0</v>
      </c>
    </row>
    <row r="133" spans="1:7">
      <c r="A133" s="3">
        <v>16</v>
      </c>
      <c r="B133" s="3">
        <v>8</v>
      </c>
      <c r="C133" s="3">
        <v>24</v>
      </c>
      <c r="D133" s="3">
        <v>6</v>
      </c>
      <c r="E133" s="3">
        <v>69.19</v>
      </c>
      <c r="F133" s="4" t="str">
        <f>HYPERLINK("http://141.218.60.56/~jnz1568/getInfo.php?workbook=16_08.xlsx&amp;sheet=A0&amp;row=133&amp;col=6&amp;number=147000&amp;sourceID=14","147000")</f>
        <v>147000</v>
      </c>
      <c r="G133" s="4" t="str">
        <f>HYPERLINK("http://141.218.60.56/~jnz1568/getInfo.php?workbook=16_08.xlsx&amp;sheet=A0&amp;row=133&amp;col=7&amp;number=0&amp;sourceID=14","0")</f>
        <v>0</v>
      </c>
    </row>
    <row r="134" spans="1:7">
      <c r="A134" s="3">
        <v>16</v>
      </c>
      <c r="B134" s="3">
        <v>8</v>
      </c>
      <c r="C134" s="3">
        <v>24</v>
      </c>
      <c r="D134" s="3">
        <v>7</v>
      </c>
      <c r="E134" s="3">
        <v>69.527</v>
      </c>
      <c r="F134" s="4" t="str">
        <f>HYPERLINK("http://141.218.60.56/~jnz1568/getInfo.php?workbook=16_08.xlsx&amp;sheet=A0&amp;row=134&amp;col=6&amp;number=85880&amp;sourceID=14","85880")</f>
        <v>85880</v>
      </c>
      <c r="G134" s="4" t="str">
        <f>HYPERLINK("http://141.218.60.56/~jnz1568/getInfo.php?workbook=16_08.xlsx&amp;sheet=A0&amp;row=134&amp;col=7&amp;number=0&amp;sourceID=14","0")</f>
        <v>0</v>
      </c>
    </row>
    <row r="135" spans="1:7">
      <c r="A135" s="3">
        <v>16</v>
      </c>
      <c r="B135" s="3">
        <v>8</v>
      </c>
      <c r="C135" s="3">
        <v>25</v>
      </c>
      <c r="D135" s="3">
        <v>1</v>
      </c>
      <c r="E135" s="3">
        <v>52.86</v>
      </c>
      <c r="F135" s="4" t="str">
        <f>HYPERLINK("http://141.218.60.56/~jnz1568/getInfo.php?workbook=16_08.xlsx&amp;sheet=A0&amp;row=135&amp;col=6&amp;number=50970000000&amp;sourceID=14","50970000000")</f>
        <v>50970000000</v>
      </c>
      <c r="G135" s="4" t="str">
        <f>HYPERLINK("http://141.218.60.56/~jnz1568/getInfo.php?workbook=16_08.xlsx&amp;sheet=A0&amp;row=135&amp;col=7&amp;number=0&amp;sourceID=14","0")</f>
        <v>0</v>
      </c>
    </row>
    <row r="136" spans="1:7">
      <c r="A136" s="3">
        <v>16</v>
      </c>
      <c r="B136" s="3">
        <v>8</v>
      </c>
      <c r="C136" s="3">
        <v>25</v>
      </c>
      <c r="D136" s="3">
        <v>2</v>
      </c>
      <c r="E136" s="3">
        <v>53.085</v>
      </c>
      <c r="F136" s="4" t="str">
        <f>HYPERLINK("http://141.218.60.56/~jnz1568/getInfo.php?workbook=16_08.xlsx&amp;sheet=A0&amp;row=136&amp;col=6&amp;number=37140000000&amp;sourceID=14","37140000000")</f>
        <v>37140000000</v>
      </c>
      <c r="G136" s="4" t="str">
        <f>HYPERLINK("http://141.218.60.56/~jnz1568/getInfo.php?workbook=16_08.xlsx&amp;sheet=A0&amp;row=136&amp;col=7&amp;number=0&amp;sourceID=14","0")</f>
        <v>0</v>
      </c>
    </row>
    <row r="137" spans="1:7">
      <c r="A137" s="3">
        <v>16</v>
      </c>
      <c r="B137" s="3">
        <v>8</v>
      </c>
      <c r="C137" s="3">
        <v>25</v>
      </c>
      <c r="D137" s="3">
        <v>4</v>
      </c>
      <c r="E137" s="3">
        <v>54.541</v>
      </c>
      <c r="F137" s="4" t="str">
        <f>HYPERLINK("http://141.218.60.56/~jnz1568/getInfo.php?workbook=16_08.xlsx&amp;sheet=A0&amp;row=137&amp;col=6&amp;number=14360000000&amp;sourceID=14","14360000000")</f>
        <v>14360000000</v>
      </c>
      <c r="G137" s="4" t="str">
        <f>HYPERLINK("http://141.218.60.56/~jnz1568/getInfo.php?workbook=16_08.xlsx&amp;sheet=A0&amp;row=137&amp;col=7&amp;number=0&amp;sourceID=14","0")</f>
        <v>0</v>
      </c>
    </row>
    <row r="138" spans="1:7">
      <c r="A138" s="3">
        <v>16</v>
      </c>
      <c r="B138" s="3">
        <v>8</v>
      </c>
      <c r="C138" s="3">
        <v>25</v>
      </c>
      <c r="D138" s="3">
        <v>5</v>
      </c>
      <c r="E138" s="3">
        <v>56.527</v>
      </c>
      <c r="F138" s="4" t="str">
        <f>HYPERLINK("http://141.218.60.56/~jnz1568/getInfo.php?workbook=16_08.xlsx&amp;sheet=A0&amp;row=138&amp;col=6&amp;number=1129&amp;sourceID=14","1129")</f>
        <v>1129</v>
      </c>
      <c r="G138" s="4" t="str">
        <f>HYPERLINK("http://141.218.60.56/~jnz1568/getInfo.php?workbook=16_08.xlsx&amp;sheet=A0&amp;row=138&amp;col=7&amp;number=0&amp;sourceID=14","0")</f>
        <v>0</v>
      </c>
    </row>
    <row r="139" spans="1:7">
      <c r="A139" s="3">
        <v>16</v>
      </c>
      <c r="B139" s="3">
        <v>8</v>
      </c>
      <c r="C139" s="3">
        <v>25</v>
      </c>
      <c r="D139" s="3">
        <v>6</v>
      </c>
      <c r="E139" s="3">
        <v>69.119</v>
      </c>
      <c r="F139" s="4" t="str">
        <f>HYPERLINK("http://141.218.60.56/~jnz1568/getInfo.php?workbook=16_08.xlsx&amp;sheet=A0&amp;row=139&amp;col=6&amp;number=43510&amp;sourceID=14","43510")</f>
        <v>43510</v>
      </c>
      <c r="G139" s="4" t="str">
        <f>HYPERLINK("http://141.218.60.56/~jnz1568/getInfo.php?workbook=16_08.xlsx&amp;sheet=A0&amp;row=139&amp;col=7&amp;number=0&amp;sourceID=14","0")</f>
        <v>0</v>
      </c>
    </row>
    <row r="140" spans="1:7">
      <c r="A140" s="3">
        <v>16</v>
      </c>
      <c r="B140" s="3">
        <v>8</v>
      </c>
      <c r="C140" s="3">
        <v>25</v>
      </c>
      <c r="D140" s="3">
        <v>7</v>
      </c>
      <c r="E140" s="3">
        <v>69.455</v>
      </c>
      <c r="F140" s="4" t="str">
        <f>HYPERLINK("http://141.218.60.56/~jnz1568/getInfo.php?workbook=16_08.xlsx&amp;sheet=A0&amp;row=140&amp;col=6&amp;number=110000&amp;sourceID=14","110000")</f>
        <v>110000</v>
      </c>
      <c r="G140" s="4" t="str">
        <f>HYPERLINK("http://141.218.60.56/~jnz1568/getInfo.php?workbook=16_08.xlsx&amp;sheet=A0&amp;row=140&amp;col=7&amp;number=0&amp;sourceID=14","0")</f>
        <v>0</v>
      </c>
    </row>
    <row r="141" spans="1:7">
      <c r="A141" s="3">
        <v>16</v>
      </c>
      <c r="B141" s="3">
        <v>8</v>
      </c>
      <c r="C141" s="3">
        <v>25</v>
      </c>
      <c r="D141" s="3">
        <v>8</v>
      </c>
      <c r="E141" s="3">
        <v>69.644</v>
      </c>
      <c r="F141" s="4" t="str">
        <f>HYPERLINK("http://141.218.60.56/~jnz1568/getInfo.php?workbook=16_08.xlsx&amp;sheet=A0&amp;row=141&amp;col=6&amp;number=65220&amp;sourceID=14","65220")</f>
        <v>65220</v>
      </c>
      <c r="G141" s="4" t="str">
        <f>HYPERLINK("http://141.218.60.56/~jnz1568/getInfo.php?workbook=16_08.xlsx&amp;sheet=A0&amp;row=141&amp;col=7&amp;number=0&amp;sourceID=14","0")</f>
        <v>0</v>
      </c>
    </row>
    <row r="142" spans="1:7">
      <c r="A142" s="3">
        <v>16</v>
      </c>
      <c r="B142" s="3">
        <v>8</v>
      </c>
      <c r="C142" s="3">
        <v>25</v>
      </c>
      <c r="D142" s="3">
        <v>9</v>
      </c>
      <c r="E142" s="3">
        <v>78.388</v>
      </c>
      <c r="F142" s="4" t="str">
        <f>HYPERLINK("http://141.218.60.56/~jnz1568/getInfo.php?workbook=16_08.xlsx&amp;sheet=A0&amp;row=142&amp;col=6&amp;number=8463&amp;sourceID=14","8463")</f>
        <v>8463</v>
      </c>
      <c r="G142" s="4" t="str">
        <f>HYPERLINK("http://141.218.60.56/~jnz1568/getInfo.php?workbook=16_08.xlsx&amp;sheet=A0&amp;row=142&amp;col=7&amp;number=0&amp;sourceID=14","0")</f>
        <v>0</v>
      </c>
    </row>
    <row r="143" spans="1:7">
      <c r="A143" s="3">
        <v>16</v>
      </c>
      <c r="B143" s="3">
        <v>8</v>
      </c>
      <c r="C143" s="3">
        <v>26</v>
      </c>
      <c r="D143" s="3">
        <v>1</v>
      </c>
      <c r="E143" s="3">
        <v>52.51</v>
      </c>
      <c r="F143" s="4" t="str">
        <f>HYPERLINK("http://141.218.60.56/~jnz1568/getInfo.php?workbook=16_08.xlsx&amp;sheet=A0&amp;row=143&amp;col=6&amp;number=120200000&amp;sourceID=14","120200000")</f>
        <v>120200000</v>
      </c>
      <c r="G143" s="4" t="str">
        <f>HYPERLINK("http://141.218.60.56/~jnz1568/getInfo.php?workbook=16_08.xlsx&amp;sheet=A0&amp;row=143&amp;col=7&amp;number=0&amp;sourceID=14","0")</f>
        <v>0</v>
      </c>
    </row>
    <row r="144" spans="1:7">
      <c r="A144" s="3">
        <v>16</v>
      </c>
      <c r="B144" s="3">
        <v>8</v>
      </c>
      <c r="C144" s="3">
        <v>26</v>
      </c>
      <c r="D144" s="3">
        <v>2</v>
      </c>
      <c r="E144" s="3">
        <v>52.731</v>
      </c>
      <c r="F144" s="4" t="str">
        <f>HYPERLINK("http://141.218.60.56/~jnz1568/getInfo.php?workbook=16_08.xlsx&amp;sheet=A0&amp;row=144&amp;col=6&amp;number=2722000&amp;sourceID=14","2722000")</f>
        <v>2722000</v>
      </c>
      <c r="G144" s="4" t="str">
        <f>HYPERLINK("http://141.218.60.56/~jnz1568/getInfo.php?workbook=16_08.xlsx&amp;sheet=A0&amp;row=144&amp;col=7&amp;number=0&amp;sourceID=14","0")</f>
        <v>0</v>
      </c>
    </row>
    <row r="145" spans="1:7">
      <c r="A145" s="3">
        <v>16</v>
      </c>
      <c r="B145" s="3">
        <v>8</v>
      </c>
      <c r="C145" s="3">
        <v>26</v>
      </c>
      <c r="D145" s="3">
        <v>3</v>
      </c>
      <c r="E145" s="3">
        <v>52.805</v>
      </c>
      <c r="F145" s="4" t="str">
        <f>HYPERLINK("http://141.218.60.56/~jnz1568/getInfo.php?workbook=16_08.xlsx&amp;sheet=A0&amp;row=145&amp;col=6&amp;number=360500000&amp;sourceID=14","360500000")</f>
        <v>360500000</v>
      </c>
      <c r="G145" s="4" t="str">
        <f>HYPERLINK("http://141.218.60.56/~jnz1568/getInfo.php?workbook=16_08.xlsx&amp;sheet=A0&amp;row=145&amp;col=7&amp;number=0&amp;sourceID=14","0")</f>
        <v>0</v>
      </c>
    </row>
    <row r="146" spans="1:7">
      <c r="A146" s="3">
        <v>16</v>
      </c>
      <c r="B146" s="3">
        <v>8</v>
      </c>
      <c r="C146" s="3">
        <v>26</v>
      </c>
      <c r="D146" s="3">
        <v>4</v>
      </c>
      <c r="E146" s="3">
        <v>54.168</v>
      </c>
      <c r="F146" s="4" t="str">
        <f>HYPERLINK("http://141.218.60.56/~jnz1568/getInfo.php?workbook=16_08.xlsx&amp;sheet=A0&amp;row=146&amp;col=6&amp;number=126700000000&amp;sourceID=14","126700000000")</f>
        <v>126700000000</v>
      </c>
      <c r="G146" s="4" t="str">
        <f>HYPERLINK("http://141.218.60.56/~jnz1568/getInfo.php?workbook=16_08.xlsx&amp;sheet=A0&amp;row=146&amp;col=7&amp;number=0&amp;sourceID=14","0")</f>
        <v>0</v>
      </c>
    </row>
    <row r="147" spans="1:7">
      <c r="A147" s="3">
        <v>16</v>
      </c>
      <c r="B147" s="3">
        <v>8</v>
      </c>
      <c r="C147" s="3">
        <v>26</v>
      </c>
      <c r="D147" s="3">
        <v>5</v>
      </c>
      <c r="E147" s="3">
        <v>56.126</v>
      </c>
      <c r="F147" s="4" t="str">
        <f>HYPERLINK("http://141.218.60.56/~jnz1568/getInfo.php?workbook=16_08.xlsx&amp;sheet=A0&amp;row=147&amp;col=6&amp;number=116700000000&amp;sourceID=14","116700000000")</f>
        <v>116700000000</v>
      </c>
      <c r="G147" s="4" t="str">
        <f>HYPERLINK("http://141.218.60.56/~jnz1568/getInfo.php?workbook=16_08.xlsx&amp;sheet=A0&amp;row=147&amp;col=7&amp;number=0&amp;sourceID=14","0")</f>
        <v>0</v>
      </c>
    </row>
    <row r="148" spans="1:7">
      <c r="A148" s="3">
        <v>16</v>
      </c>
      <c r="B148" s="3">
        <v>8</v>
      </c>
      <c r="C148" s="3">
        <v>26</v>
      </c>
      <c r="D148" s="3">
        <v>7</v>
      </c>
      <c r="E148" s="3">
        <v>68.851</v>
      </c>
      <c r="F148" s="4" t="str">
        <f>HYPERLINK("http://141.218.60.56/~jnz1568/getInfo.php?workbook=16_08.xlsx&amp;sheet=A0&amp;row=148&amp;col=6&amp;number=4715&amp;sourceID=14","4715")</f>
        <v>4715</v>
      </c>
      <c r="G148" s="4" t="str">
        <f>HYPERLINK("http://141.218.60.56/~jnz1568/getInfo.php?workbook=16_08.xlsx&amp;sheet=A0&amp;row=148&amp;col=7&amp;number=0&amp;sourceID=14","0")</f>
        <v>0</v>
      </c>
    </row>
    <row r="149" spans="1:7">
      <c r="A149" s="3">
        <v>16</v>
      </c>
      <c r="B149" s="3">
        <v>8</v>
      </c>
      <c r="C149" s="3">
        <v>26</v>
      </c>
      <c r="D149" s="3">
        <v>9</v>
      </c>
      <c r="E149" s="3">
        <v>77.619</v>
      </c>
      <c r="F149" s="4" t="str">
        <f>HYPERLINK("http://141.218.60.56/~jnz1568/getInfo.php?workbook=16_08.xlsx&amp;sheet=A0&amp;row=149&amp;col=6&amp;number=97190&amp;sourceID=14","97190")</f>
        <v>97190</v>
      </c>
      <c r="G149" s="4" t="str">
        <f>HYPERLINK("http://141.218.60.56/~jnz1568/getInfo.php?workbook=16_08.xlsx&amp;sheet=A0&amp;row=149&amp;col=7&amp;number=0&amp;sourceID=14","0")</f>
        <v>0</v>
      </c>
    </row>
    <row r="150" spans="1:7">
      <c r="A150" s="3">
        <v>16</v>
      </c>
      <c r="B150" s="3">
        <v>8</v>
      </c>
      <c r="C150" s="3">
        <v>26</v>
      </c>
      <c r="D150" s="3">
        <v>10</v>
      </c>
      <c r="E150" s="3">
        <v>115.581</v>
      </c>
      <c r="F150" s="4" t="str">
        <f>HYPERLINK("http://141.218.60.56/~jnz1568/getInfo.php?workbook=16_08.xlsx&amp;sheet=A0&amp;row=150&amp;col=6&amp;number=312500&amp;sourceID=14","312500")</f>
        <v>312500</v>
      </c>
      <c r="G150" s="4" t="str">
        <f>HYPERLINK("http://141.218.60.56/~jnz1568/getInfo.php?workbook=16_08.xlsx&amp;sheet=A0&amp;row=150&amp;col=7&amp;number=0&amp;sourceID=14","0")</f>
        <v>0</v>
      </c>
    </row>
    <row r="151" spans="1:7">
      <c r="A151" s="3">
        <v>16</v>
      </c>
      <c r="B151" s="3">
        <v>8</v>
      </c>
      <c r="C151" s="3">
        <v>27</v>
      </c>
      <c r="D151" s="3">
        <v>1</v>
      </c>
      <c r="E151" s="3">
        <v>-51.452</v>
      </c>
      <c r="F151" s="4" t="str">
        <f>HYPERLINK("http://141.218.60.56/~jnz1568/getInfo.php?workbook=16_08.xlsx&amp;sheet=A0&amp;row=151&amp;col=6&amp;number=8945000&amp;sourceID=14","8945000")</f>
        <v>8945000</v>
      </c>
      <c r="G151" s="4" t="str">
        <f>HYPERLINK("http://141.218.60.56/~jnz1568/getInfo.php?workbook=16_08.xlsx&amp;sheet=A0&amp;row=151&amp;col=7&amp;number=0&amp;sourceID=14","0")</f>
        <v>0</v>
      </c>
    </row>
    <row r="152" spans="1:7">
      <c r="A152" s="3">
        <v>16</v>
      </c>
      <c r="B152" s="3">
        <v>8</v>
      </c>
      <c r="C152" s="3">
        <v>27</v>
      </c>
      <c r="D152" s="3">
        <v>2</v>
      </c>
      <c r="E152" s="3">
        <v>-51.673</v>
      </c>
      <c r="F152" s="4" t="str">
        <f>HYPERLINK("http://141.218.60.56/~jnz1568/getInfo.php?workbook=16_08.xlsx&amp;sheet=A0&amp;row=152&amp;col=6&amp;number=2608000&amp;sourceID=14","2608000")</f>
        <v>2608000</v>
      </c>
      <c r="G152" s="4" t="str">
        <f>HYPERLINK("http://141.218.60.56/~jnz1568/getInfo.php?workbook=16_08.xlsx&amp;sheet=A0&amp;row=152&amp;col=7&amp;number=0&amp;sourceID=14","0")</f>
        <v>0</v>
      </c>
    </row>
    <row r="153" spans="1:7">
      <c r="A153" s="3">
        <v>16</v>
      </c>
      <c r="B153" s="3">
        <v>8</v>
      </c>
      <c r="C153" s="3">
        <v>27</v>
      </c>
      <c r="D153" s="3">
        <v>3</v>
      </c>
      <c r="E153" s="3">
        <v>-51.746</v>
      </c>
      <c r="F153" s="4" t="str">
        <f>HYPERLINK("http://141.218.60.56/~jnz1568/getInfo.php?workbook=16_08.xlsx&amp;sheet=A0&amp;row=153&amp;col=6&amp;number=1933000&amp;sourceID=14","1933000")</f>
        <v>1933000</v>
      </c>
      <c r="G153" s="4" t="str">
        <f>HYPERLINK("http://141.218.60.56/~jnz1568/getInfo.php?workbook=16_08.xlsx&amp;sheet=A0&amp;row=153&amp;col=7&amp;number=0&amp;sourceID=14","0")</f>
        <v>0</v>
      </c>
    </row>
    <row r="154" spans="1:7">
      <c r="A154" s="3">
        <v>16</v>
      </c>
      <c r="B154" s="3">
        <v>8</v>
      </c>
      <c r="C154" s="3">
        <v>27</v>
      </c>
      <c r="D154" s="3">
        <v>4</v>
      </c>
      <c r="E154" s="3">
        <v>-53.14</v>
      </c>
      <c r="F154" s="4" t="str">
        <f>HYPERLINK("http://141.218.60.56/~jnz1568/getInfo.php?workbook=16_08.xlsx&amp;sheet=A0&amp;row=154&amp;col=6&amp;number=71370&amp;sourceID=14","71370")</f>
        <v>71370</v>
      </c>
      <c r="G154" s="4" t="str">
        <f>HYPERLINK("http://141.218.60.56/~jnz1568/getInfo.php?workbook=16_08.xlsx&amp;sheet=A0&amp;row=154&amp;col=7&amp;number=0&amp;sourceID=14","0")</f>
        <v>0</v>
      </c>
    </row>
    <row r="155" spans="1:7">
      <c r="A155" s="3">
        <v>16</v>
      </c>
      <c r="B155" s="3">
        <v>8</v>
      </c>
      <c r="C155" s="3">
        <v>27</v>
      </c>
      <c r="D155" s="3">
        <v>5</v>
      </c>
      <c r="E155" s="3">
        <v>-54.965</v>
      </c>
      <c r="F155" s="4" t="str">
        <f>HYPERLINK("http://141.218.60.56/~jnz1568/getInfo.php?workbook=16_08.xlsx&amp;sheet=A0&amp;row=155&amp;col=6&amp;number=1613&amp;sourceID=14","1613")</f>
        <v>1613</v>
      </c>
      <c r="G155" s="4" t="str">
        <f>HYPERLINK("http://141.218.60.56/~jnz1568/getInfo.php?workbook=16_08.xlsx&amp;sheet=A0&amp;row=155&amp;col=7&amp;number=0&amp;sourceID=14","0")</f>
        <v>0</v>
      </c>
    </row>
    <row r="156" spans="1:7">
      <c r="A156" s="3">
        <v>16</v>
      </c>
      <c r="B156" s="3">
        <v>8</v>
      </c>
      <c r="C156" s="3">
        <v>27</v>
      </c>
      <c r="D156" s="3">
        <v>6</v>
      </c>
      <c r="E156" s="3">
        <v>-67.201</v>
      </c>
      <c r="F156" s="4" t="str">
        <f>HYPERLINK("http://141.218.60.56/~jnz1568/getInfo.php?workbook=16_08.xlsx&amp;sheet=A0&amp;row=156&amp;col=6&amp;number=117100000&amp;sourceID=14","117100000")</f>
        <v>117100000</v>
      </c>
      <c r="G156" s="4" t="str">
        <f>HYPERLINK("http://141.218.60.56/~jnz1568/getInfo.php?workbook=16_08.xlsx&amp;sheet=A0&amp;row=156&amp;col=7&amp;number=0&amp;sourceID=14","0")</f>
        <v>0</v>
      </c>
    </row>
    <row r="157" spans="1:7">
      <c r="A157" s="3">
        <v>16</v>
      </c>
      <c r="B157" s="3">
        <v>8</v>
      </c>
      <c r="C157" s="3">
        <v>27</v>
      </c>
      <c r="D157" s="3">
        <v>7</v>
      </c>
      <c r="E157" s="3">
        <v>-67.529</v>
      </c>
      <c r="F157" s="4" t="str">
        <f>HYPERLINK("http://141.218.60.56/~jnz1568/getInfo.php?workbook=16_08.xlsx&amp;sheet=A0&amp;row=157&amp;col=6&amp;number=443300000&amp;sourceID=14","443300000")</f>
        <v>443300000</v>
      </c>
      <c r="G157" s="4" t="str">
        <f>HYPERLINK("http://141.218.60.56/~jnz1568/getInfo.php?workbook=16_08.xlsx&amp;sheet=A0&amp;row=157&amp;col=7&amp;number=0&amp;sourceID=14","0")</f>
        <v>0</v>
      </c>
    </row>
    <row r="158" spans="1:7">
      <c r="A158" s="3">
        <v>16</v>
      </c>
      <c r="B158" s="3">
        <v>8</v>
      </c>
      <c r="C158" s="3">
        <v>27</v>
      </c>
      <c r="D158" s="3">
        <v>9</v>
      </c>
      <c r="E158" s="3">
        <v>-76.496</v>
      </c>
      <c r="F158" s="4" t="str">
        <f>HYPERLINK("http://141.218.60.56/~jnz1568/getInfo.php?workbook=16_08.xlsx&amp;sheet=A0&amp;row=158&amp;col=6&amp;number=263600&amp;sourceID=14","263600")</f>
        <v>263600</v>
      </c>
      <c r="G158" s="4" t="str">
        <f>HYPERLINK("http://141.218.60.56/~jnz1568/getInfo.php?workbook=16_08.xlsx&amp;sheet=A0&amp;row=158&amp;col=7&amp;number=0&amp;sourceID=14","0")</f>
        <v>0</v>
      </c>
    </row>
    <row r="159" spans="1:7">
      <c r="A159" s="3">
        <v>16</v>
      </c>
      <c r="B159" s="3">
        <v>8</v>
      </c>
      <c r="C159" s="3">
        <v>27</v>
      </c>
      <c r="D159" s="3">
        <v>11</v>
      </c>
      <c r="E159" s="3">
        <v>-508.494</v>
      </c>
      <c r="F159" s="4" t="str">
        <f>HYPERLINK("http://141.218.60.56/~jnz1568/getInfo.php?workbook=16_08.xlsx&amp;sheet=A0&amp;row=159&amp;col=6&amp;number=53160&amp;sourceID=14","53160")</f>
        <v>53160</v>
      </c>
      <c r="G159" s="4" t="str">
        <f>HYPERLINK("http://141.218.60.56/~jnz1568/getInfo.php?workbook=16_08.xlsx&amp;sheet=A0&amp;row=159&amp;col=7&amp;number=0&amp;sourceID=14","0")</f>
        <v>0</v>
      </c>
    </row>
    <row r="160" spans="1:7">
      <c r="A160" s="3">
        <v>16</v>
      </c>
      <c r="B160" s="3">
        <v>8</v>
      </c>
      <c r="C160" s="3">
        <v>27</v>
      </c>
      <c r="D160" s="3">
        <v>12</v>
      </c>
      <c r="E160" s="3">
        <v>-599.16</v>
      </c>
      <c r="F160" s="4" t="str">
        <f>HYPERLINK("http://141.218.60.56/~jnz1568/getInfo.php?workbook=16_08.xlsx&amp;sheet=A0&amp;row=160&amp;col=6&amp;number=2363000&amp;sourceID=14","2363000")</f>
        <v>2363000</v>
      </c>
      <c r="G160" s="4" t="str">
        <f>HYPERLINK("http://141.218.60.56/~jnz1568/getInfo.php?workbook=16_08.xlsx&amp;sheet=A0&amp;row=160&amp;col=7&amp;number=0&amp;sourceID=14","0")</f>
        <v>0</v>
      </c>
    </row>
    <row r="161" spans="1:7">
      <c r="A161" s="3">
        <v>16</v>
      </c>
      <c r="B161" s="3">
        <v>8</v>
      </c>
      <c r="C161" s="3">
        <v>27</v>
      </c>
      <c r="D161" s="3">
        <v>13</v>
      </c>
      <c r="E161" s="3">
        <v>-963.999</v>
      </c>
      <c r="F161" s="4" t="str">
        <f>HYPERLINK("http://141.218.60.56/~jnz1568/getInfo.php?workbook=16_08.xlsx&amp;sheet=A0&amp;row=161&amp;col=6&amp;number=666900000&amp;sourceID=14","666900000")</f>
        <v>666900000</v>
      </c>
      <c r="G161" s="4" t="str">
        <f>HYPERLINK("http://141.218.60.56/~jnz1568/getInfo.php?workbook=16_08.xlsx&amp;sheet=A0&amp;row=161&amp;col=7&amp;number=0&amp;sourceID=14","0")</f>
        <v>0</v>
      </c>
    </row>
    <row r="162" spans="1:7">
      <c r="A162" s="3">
        <v>16</v>
      </c>
      <c r="B162" s="3">
        <v>8</v>
      </c>
      <c r="C162" s="3">
        <v>27</v>
      </c>
      <c r="D162" s="3">
        <v>14</v>
      </c>
      <c r="E162" s="3">
        <v>-960.907</v>
      </c>
      <c r="F162" s="4" t="str">
        <f>HYPERLINK("http://141.218.60.56/~jnz1568/getInfo.php?workbook=16_08.xlsx&amp;sheet=A0&amp;row=162&amp;col=6&amp;number=25780000&amp;sourceID=14","25780000")</f>
        <v>25780000</v>
      </c>
      <c r="G162" s="4" t="str">
        <f>HYPERLINK("http://141.218.60.56/~jnz1568/getInfo.php?workbook=16_08.xlsx&amp;sheet=A0&amp;row=162&amp;col=7&amp;number=0&amp;sourceID=14","0")</f>
        <v>0</v>
      </c>
    </row>
    <row r="163" spans="1:7">
      <c r="A163" s="3">
        <v>16</v>
      </c>
      <c r="B163" s="3">
        <v>8</v>
      </c>
      <c r="C163" s="3">
        <v>27</v>
      </c>
      <c r="D163" s="3">
        <v>15</v>
      </c>
      <c r="E163" s="3">
        <v>-974.844</v>
      </c>
      <c r="F163" s="4" t="str">
        <f>HYPERLINK("http://141.218.60.56/~jnz1568/getInfo.php?workbook=16_08.xlsx&amp;sheet=A0&amp;row=163&amp;col=6&amp;number=147100000&amp;sourceID=14","147100000")</f>
        <v>147100000</v>
      </c>
      <c r="G163" s="4" t="str">
        <f>HYPERLINK("http://141.218.60.56/~jnz1568/getInfo.php?workbook=16_08.xlsx&amp;sheet=A0&amp;row=163&amp;col=7&amp;number=0&amp;sourceID=14","0")</f>
        <v>0</v>
      </c>
    </row>
    <row r="164" spans="1:7">
      <c r="A164" s="3">
        <v>16</v>
      </c>
      <c r="B164" s="3">
        <v>8</v>
      </c>
      <c r="C164" s="3">
        <v>27</v>
      </c>
      <c r="D164" s="3">
        <v>16</v>
      </c>
      <c r="E164" s="3">
        <v>-1127.171</v>
      </c>
      <c r="F164" s="4" t="str">
        <f>HYPERLINK("http://141.218.60.56/~jnz1568/getInfo.php?workbook=16_08.xlsx&amp;sheet=A0&amp;row=164&amp;col=6&amp;number=561500&amp;sourceID=14","561500")</f>
        <v>561500</v>
      </c>
      <c r="G164" s="4" t="str">
        <f>HYPERLINK("http://141.218.60.56/~jnz1568/getInfo.php?workbook=16_08.xlsx&amp;sheet=A0&amp;row=164&amp;col=7&amp;number=0&amp;sourceID=14","0")</f>
        <v>0</v>
      </c>
    </row>
    <row r="165" spans="1:7">
      <c r="A165" s="3">
        <v>16</v>
      </c>
      <c r="B165" s="3">
        <v>8</v>
      </c>
      <c r="C165" s="3">
        <v>27</v>
      </c>
      <c r="D165" s="3">
        <v>24</v>
      </c>
      <c r="E165" s="3">
        <v>-1590.169</v>
      </c>
      <c r="F165" s="4" t="str">
        <f>HYPERLINK("http://141.218.60.56/~jnz1568/getInfo.php?workbook=16_08.xlsx&amp;sheet=A0&amp;row=165&amp;col=6&amp;number=8040000&amp;sourceID=14","8040000")</f>
        <v>8040000</v>
      </c>
      <c r="G165" s="4" t="str">
        <f>HYPERLINK("http://141.218.60.56/~jnz1568/getInfo.php?workbook=16_08.xlsx&amp;sheet=A0&amp;row=165&amp;col=7&amp;number=0&amp;sourceID=14","0")</f>
        <v>0</v>
      </c>
    </row>
    <row r="166" spans="1:7">
      <c r="A166" s="3">
        <v>16</v>
      </c>
      <c r="B166" s="3">
        <v>8</v>
      </c>
      <c r="C166" s="3">
        <v>27</v>
      </c>
      <c r="D166" s="3">
        <v>25</v>
      </c>
      <c r="E166" s="3">
        <v>-1635.34</v>
      </c>
      <c r="F166" s="4" t="str">
        <f>HYPERLINK("http://141.218.60.56/~jnz1568/getInfo.php?workbook=16_08.xlsx&amp;sheet=A0&amp;row=166&amp;col=6&amp;number=588200&amp;sourceID=14","588200")</f>
        <v>588200</v>
      </c>
      <c r="G166" s="4" t="str">
        <f>HYPERLINK("http://141.218.60.56/~jnz1568/getInfo.php?workbook=16_08.xlsx&amp;sheet=A0&amp;row=166&amp;col=7&amp;number=0&amp;sourceID=14","0")</f>
        <v>0</v>
      </c>
    </row>
    <row r="167" spans="1:7">
      <c r="A167" s="3">
        <v>16</v>
      </c>
      <c r="B167" s="3">
        <v>8</v>
      </c>
      <c r="C167" s="3">
        <v>27</v>
      </c>
      <c r="D167" s="3">
        <v>26</v>
      </c>
      <c r="E167" s="3">
        <v>-2108.985</v>
      </c>
      <c r="F167" s="4" t="str">
        <f>HYPERLINK("http://141.218.60.56/~jnz1568/getInfo.php?workbook=16_08.xlsx&amp;sheet=A0&amp;row=167&amp;col=6&amp;number=31560&amp;sourceID=14","31560")</f>
        <v>31560</v>
      </c>
      <c r="G167" s="4" t="str">
        <f>HYPERLINK("http://141.218.60.56/~jnz1568/getInfo.php?workbook=16_08.xlsx&amp;sheet=A0&amp;row=167&amp;col=7&amp;number=0&amp;sourceID=14","0")</f>
        <v>0</v>
      </c>
    </row>
    <row r="168" spans="1:7">
      <c r="A168" s="3">
        <v>16</v>
      </c>
      <c r="B168" s="3">
        <v>8</v>
      </c>
      <c r="C168" s="3">
        <v>28</v>
      </c>
      <c r="D168" s="3">
        <v>1</v>
      </c>
      <c r="E168" s="3">
        <v>51.304</v>
      </c>
      <c r="F168" s="4" t="str">
        <f>HYPERLINK("http://141.218.60.56/~jnz1568/getInfo.php?workbook=16_08.xlsx&amp;sheet=A0&amp;row=168&amp;col=6&amp;number=1678000&amp;sourceID=14","1678000")</f>
        <v>1678000</v>
      </c>
      <c r="G168" s="4" t="str">
        <f>HYPERLINK("http://141.218.60.56/~jnz1568/getInfo.php?workbook=16_08.xlsx&amp;sheet=A0&amp;row=168&amp;col=7&amp;number=0&amp;sourceID=14","0")</f>
        <v>0</v>
      </c>
    </row>
    <row r="169" spans="1:7">
      <c r="A169" s="3">
        <v>16</v>
      </c>
      <c r="B169" s="3">
        <v>8</v>
      </c>
      <c r="C169" s="3">
        <v>28</v>
      </c>
      <c r="D169" s="3">
        <v>2</v>
      </c>
      <c r="E169" s="3">
        <v>51.515</v>
      </c>
      <c r="F169" s="4" t="str">
        <f>HYPERLINK("http://141.218.60.56/~jnz1568/getInfo.php?workbook=16_08.xlsx&amp;sheet=A0&amp;row=169&amp;col=6&amp;number=6719000&amp;sourceID=14","6719000")</f>
        <v>6719000</v>
      </c>
      <c r="G169" s="4" t="str">
        <f>HYPERLINK("http://141.218.60.56/~jnz1568/getInfo.php?workbook=16_08.xlsx&amp;sheet=A0&amp;row=169&amp;col=7&amp;number=0&amp;sourceID=14","0")</f>
        <v>0</v>
      </c>
    </row>
    <row r="170" spans="1:7">
      <c r="A170" s="3">
        <v>16</v>
      </c>
      <c r="B170" s="3">
        <v>8</v>
      </c>
      <c r="C170" s="3">
        <v>28</v>
      </c>
      <c r="D170" s="3">
        <v>4</v>
      </c>
      <c r="E170" s="3">
        <v>52.885</v>
      </c>
      <c r="F170" s="4" t="str">
        <f>HYPERLINK("http://141.218.60.56/~jnz1568/getInfo.php?workbook=16_08.xlsx&amp;sheet=A0&amp;row=170&amp;col=6&amp;number=12400000&amp;sourceID=14","12400000")</f>
        <v>12400000</v>
      </c>
      <c r="G170" s="4" t="str">
        <f>HYPERLINK("http://141.218.60.56/~jnz1568/getInfo.php?workbook=16_08.xlsx&amp;sheet=A0&amp;row=170&amp;col=7&amp;number=0&amp;sourceID=14","0")</f>
        <v>0</v>
      </c>
    </row>
    <row r="171" spans="1:7">
      <c r="A171" s="3">
        <v>16</v>
      </c>
      <c r="B171" s="3">
        <v>8</v>
      </c>
      <c r="C171" s="3">
        <v>28</v>
      </c>
      <c r="D171" s="3">
        <v>6</v>
      </c>
      <c r="E171" s="3">
        <v>66.481</v>
      </c>
      <c r="F171" s="4" t="str">
        <f>HYPERLINK("http://141.218.60.56/~jnz1568/getInfo.php?workbook=16_08.xlsx&amp;sheet=A0&amp;row=171&amp;col=6&amp;number=62700000&amp;sourceID=14","62700000")</f>
        <v>62700000</v>
      </c>
      <c r="G171" s="4" t="str">
        <f>HYPERLINK("http://141.218.60.56/~jnz1568/getInfo.php?workbook=16_08.xlsx&amp;sheet=A0&amp;row=171&amp;col=7&amp;number=0&amp;sourceID=14","0")</f>
        <v>0</v>
      </c>
    </row>
    <row r="172" spans="1:7">
      <c r="A172" s="3">
        <v>16</v>
      </c>
      <c r="B172" s="3">
        <v>8</v>
      </c>
      <c r="C172" s="3">
        <v>28</v>
      </c>
      <c r="D172" s="3">
        <v>7</v>
      </c>
      <c r="E172" s="3">
        <v>66.792</v>
      </c>
      <c r="F172" s="4" t="str">
        <f>HYPERLINK("http://141.218.60.56/~jnz1568/getInfo.php?workbook=16_08.xlsx&amp;sheet=A0&amp;row=172&amp;col=6&amp;number=49140000&amp;sourceID=14","49140000")</f>
        <v>49140000</v>
      </c>
      <c r="G172" s="4" t="str">
        <f>HYPERLINK("http://141.218.60.56/~jnz1568/getInfo.php?workbook=16_08.xlsx&amp;sheet=A0&amp;row=172&amp;col=7&amp;number=0&amp;sourceID=14","0")</f>
        <v>0</v>
      </c>
    </row>
    <row r="173" spans="1:7">
      <c r="A173" s="3">
        <v>16</v>
      </c>
      <c r="B173" s="3">
        <v>8</v>
      </c>
      <c r="C173" s="3">
        <v>28</v>
      </c>
      <c r="D173" s="3">
        <v>8</v>
      </c>
      <c r="E173" s="3">
        <v>66.966</v>
      </c>
      <c r="F173" s="4" t="str">
        <f>HYPERLINK("http://141.218.60.56/~jnz1568/getInfo.php?workbook=16_08.xlsx&amp;sheet=A0&amp;row=173&amp;col=6&amp;number=263100000&amp;sourceID=14","263100000")</f>
        <v>263100000</v>
      </c>
      <c r="G173" s="4" t="str">
        <f>HYPERLINK("http://141.218.60.56/~jnz1568/getInfo.php?workbook=16_08.xlsx&amp;sheet=A0&amp;row=173&amp;col=7&amp;number=0&amp;sourceID=14","0")</f>
        <v>0</v>
      </c>
    </row>
    <row r="174" spans="1:7">
      <c r="A174" s="3">
        <v>16</v>
      </c>
      <c r="B174" s="3">
        <v>8</v>
      </c>
      <c r="C174" s="3">
        <v>28</v>
      </c>
      <c r="D174" s="3">
        <v>9</v>
      </c>
      <c r="E174" s="3">
        <v>75.013</v>
      </c>
      <c r="F174" s="4" t="str">
        <f>HYPERLINK("http://141.218.60.56/~jnz1568/getInfo.php?workbook=16_08.xlsx&amp;sheet=A0&amp;row=174&amp;col=6&amp;number=1036000000&amp;sourceID=14","1036000000")</f>
        <v>1036000000</v>
      </c>
      <c r="G174" s="4" t="str">
        <f>HYPERLINK("http://141.218.60.56/~jnz1568/getInfo.php?workbook=16_08.xlsx&amp;sheet=A0&amp;row=174&amp;col=7&amp;number=0&amp;sourceID=14","0")</f>
        <v>0</v>
      </c>
    </row>
    <row r="175" spans="1:7">
      <c r="A175" s="3">
        <v>16</v>
      </c>
      <c r="B175" s="3">
        <v>8</v>
      </c>
      <c r="C175" s="3">
        <v>28</v>
      </c>
      <c r="D175" s="3">
        <v>12</v>
      </c>
      <c r="E175" s="3">
        <v>602.29</v>
      </c>
      <c r="F175" s="4" t="str">
        <f>HYPERLINK("http://141.218.60.56/~jnz1568/getInfo.php?workbook=16_08.xlsx&amp;sheet=A0&amp;row=175&amp;col=6&amp;number=133100&amp;sourceID=14","133100")</f>
        <v>133100</v>
      </c>
      <c r="G175" s="4" t="str">
        <f>HYPERLINK("http://141.218.60.56/~jnz1568/getInfo.php?workbook=16_08.xlsx&amp;sheet=A0&amp;row=175&amp;col=7&amp;number=0&amp;sourceID=14","0")</f>
        <v>0</v>
      </c>
    </row>
    <row r="176" spans="1:7">
      <c r="A176" s="3">
        <v>16</v>
      </c>
      <c r="B176" s="3">
        <v>8</v>
      </c>
      <c r="C176" s="3">
        <v>28</v>
      </c>
      <c r="D176" s="3">
        <v>13</v>
      </c>
      <c r="E176" s="3">
        <v>959.619</v>
      </c>
      <c r="F176" s="4" t="str">
        <f>HYPERLINK("http://141.218.60.56/~jnz1568/getInfo.php?workbook=16_08.xlsx&amp;sheet=A0&amp;row=176&amp;col=6&amp;number=114500000&amp;sourceID=14","114500000")</f>
        <v>114500000</v>
      </c>
      <c r="G176" s="4" t="str">
        <f>HYPERLINK("http://141.218.60.56/~jnz1568/getInfo.php?workbook=16_08.xlsx&amp;sheet=A0&amp;row=176&amp;col=7&amp;number=0&amp;sourceID=14","0")</f>
        <v>0</v>
      </c>
    </row>
    <row r="177" spans="1:7">
      <c r="A177" s="3">
        <v>16</v>
      </c>
      <c r="B177" s="3">
        <v>8</v>
      </c>
      <c r="C177" s="3">
        <v>28</v>
      </c>
      <c r="D177" s="3">
        <v>14</v>
      </c>
      <c r="E177" s="3">
        <v>961.723</v>
      </c>
      <c r="F177" s="4" t="str">
        <f>HYPERLINK("http://141.218.60.56/~jnz1568/getInfo.php?workbook=16_08.xlsx&amp;sheet=A0&amp;row=177&amp;col=6&amp;number=387200000&amp;sourceID=14","387200000")</f>
        <v>387200000</v>
      </c>
      <c r="G177" s="4" t="str">
        <f>HYPERLINK("http://141.218.60.56/~jnz1568/getInfo.php?workbook=16_08.xlsx&amp;sheet=A0&amp;row=177&amp;col=7&amp;number=0&amp;sourceID=14","0")</f>
        <v>0</v>
      </c>
    </row>
    <row r="178" spans="1:7">
      <c r="A178" s="3">
        <v>16</v>
      </c>
      <c r="B178" s="3">
        <v>8</v>
      </c>
      <c r="C178" s="3">
        <v>28</v>
      </c>
      <c r="D178" s="3">
        <v>16</v>
      </c>
      <c r="E178" s="3">
        <v>1104.887</v>
      </c>
      <c r="F178" s="4" t="str">
        <f>HYPERLINK("http://141.218.60.56/~jnz1568/getInfo.php?workbook=16_08.xlsx&amp;sheet=A0&amp;row=178&amp;col=6&amp;number=198000000&amp;sourceID=14","198000000")</f>
        <v>198000000</v>
      </c>
      <c r="G178" s="4" t="str">
        <f>HYPERLINK("http://141.218.60.56/~jnz1568/getInfo.php?workbook=16_08.xlsx&amp;sheet=A0&amp;row=178&amp;col=7&amp;number=0&amp;sourceID=14","0")</f>
        <v>0</v>
      </c>
    </row>
    <row r="179" spans="1:7">
      <c r="A179" s="3">
        <v>16</v>
      </c>
      <c r="B179" s="3">
        <v>8</v>
      </c>
      <c r="C179" s="3">
        <v>28</v>
      </c>
      <c r="D179" s="3">
        <v>23</v>
      </c>
      <c r="E179" s="3">
        <v>1682.256</v>
      </c>
      <c r="F179" s="4" t="str">
        <f>HYPERLINK("http://141.218.60.56/~jnz1568/getInfo.php?workbook=16_08.xlsx&amp;sheet=A0&amp;row=179&amp;col=6&amp;number=3267000&amp;sourceID=14","3267000")</f>
        <v>3267000</v>
      </c>
      <c r="G179" s="4" t="str">
        <f>HYPERLINK("http://141.218.60.56/~jnz1568/getInfo.php?workbook=16_08.xlsx&amp;sheet=A0&amp;row=179&amp;col=7&amp;number=0&amp;sourceID=14","0")</f>
        <v>0</v>
      </c>
    </row>
    <row r="180" spans="1:7">
      <c r="A180" s="3">
        <v>16</v>
      </c>
      <c r="B180" s="3">
        <v>8</v>
      </c>
      <c r="C180" s="3">
        <v>28</v>
      </c>
      <c r="D180" s="3">
        <v>24</v>
      </c>
      <c r="E180" s="3">
        <v>1698.052</v>
      </c>
      <c r="F180" s="4" t="str">
        <f>HYPERLINK("http://141.218.60.56/~jnz1568/getInfo.php?workbook=16_08.xlsx&amp;sheet=A0&amp;row=180&amp;col=6&amp;number=2688000&amp;sourceID=14","2688000")</f>
        <v>2688000</v>
      </c>
      <c r="G180" s="4" t="str">
        <f>HYPERLINK("http://141.218.60.56/~jnz1568/getInfo.php?workbook=16_08.xlsx&amp;sheet=A0&amp;row=180&amp;col=7&amp;number=0&amp;sourceID=14","0")</f>
        <v>0</v>
      </c>
    </row>
    <row r="181" spans="1:7">
      <c r="A181" s="3">
        <v>16</v>
      </c>
      <c r="B181" s="3">
        <v>8</v>
      </c>
      <c r="C181" s="3">
        <v>28</v>
      </c>
      <c r="D181" s="3">
        <v>25</v>
      </c>
      <c r="E181" s="3">
        <v>1741.978</v>
      </c>
      <c r="F181" s="4" t="str">
        <f>HYPERLINK("http://141.218.60.56/~jnz1568/getInfo.php?workbook=16_08.xlsx&amp;sheet=A0&amp;row=181&amp;col=6&amp;number=511600&amp;sourceID=14","511600")</f>
        <v>511600</v>
      </c>
      <c r="G181" s="4" t="str">
        <f>HYPERLINK("http://141.218.60.56/~jnz1568/getInfo.php?workbook=16_08.xlsx&amp;sheet=A0&amp;row=181&amp;col=7&amp;number=0&amp;sourceID=14","0")</f>
        <v>0</v>
      </c>
    </row>
    <row r="182" spans="1:7">
      <c r="A182" s="3">
        <v>16</v>
      </c>
      <c r="B182" s="3">
        <v>8</v>
      </c>
      <c r="C182" s="3">
        <v>28</v>
      </c>
      <c r="D182" s="3">
        <v>26</v>
      </c>
      <c r="E182" s="3">
        <v>2233.788</v>
      </c>
      <c r="F182" s="4" t="str">
        <f>HYPERLINK("http://141.218.60.56/~jnz1568/getInfo.php?workbook=16_08.xlsx&amp;sheet=A0&amp;row=182&amp;col=6&amp;number=4367000&amp;sourceID=14","4367000")</f>
        <v>4367000</v>
      </c>
      <c r="G182" s="4" t="str">
        <f>HYPERLINK("http://141.218.60.56/~jnz1568/getInfo.php?workbook=16_08.xlsx&amp;sheet=A0&amp;row=182&amp;col=7&amp;number=0&amp;sourceID=14","0")</f>
        <v>0</v>
      </c>
    </row>
    <row r="183" spans="1:7">
      <c r="A183" s="3">
        <v>16</v>
      </c>
      <c r="B183" s="3">
        <v>8</v>
      </c>
      <c r="C183" s="3">
        <v>29</v>
      </c>
      <c r="D183" s="3">
        <v>1</v>
      </c>
      <c r="E183" s="3">
        <v>51.258</v>
      </c>
      <c r="F183" s="4" t="str">
        <f>HYPERLINK("http://141.218.60.56/~jnz1568/getInfo.php?workbook=16_08.xlsx&amp;sheet=A0&amp;row=183&amp;col=6&amp;number=11830000&amp;sourceID=14","11830000")</f>
        <v>11830000</v>
      </c>
      <c r="G183" s="4" t="str">
        <f>HYPERLINK("http://141.218.60.56/~jnz1568/getInfo.php?workbook=16_08.xlsx&amp;sheet=A0&amp;row=183&amp;col=7&amp;number=0&amp;sourceID=14","0")</f>
        <v>0</v>
      </c>
    </row>
    <row r="184" spans="1:7">
      <c r="A184" s="3">
        <v>16</v>
      </c>
      <c r="B184" s="3">
        <v>8</v>
      </c>
      <c r="C184" s="3">
        <v>29</v>
      </c>
      <c r="D184" s="3">
        <v>2</v>
      </c>
      <c r="E184" s="3">
        <v>51.469</v>
      </c>
      <c r="F184" s="4" t="str">
        <f>HYPERLINK("http://141.218.60.56/~jnz1568/getInfo.php?workbook=16_08.xlsx&amp;sheet=A0&amp;row=184&amp;col=6&amp;number=987000&amp;sourceID=14","987000")</f>
        <v>987000</v>
      </c>
      <c r="G184" s="4" t="str">
        <f>HYPERLINK("http://141.218.60.56/~jnz1568/getInfo.php?workbook=16_08.xlsx&amp;sheet=A0&amp;row=184&amp;col=7&amp;number=0&amp;sourceID=14","0")</f>
        <v>0</v>
      </c>
    </row>
    <row r="185" spans="1:7">
      <c r="A185" s="3">
        <v>16</v>
      </c>
      <c r="B185" s="3">
        <v>8</v>
      </c>
      <c r="C185" s="3">
        <v>29</v>
      </c>
      <c r="D185" s="3">
        <v>4</v>
      </c>
      <c r="E185" s="3">
        <v>52.837</v>
      </c>
      <c r="F185" s="4" t="str">
        <f>HYPERLINK("http://141.218.60.56/~jnz1568/getInfo.php?workbook=16_08.xlsx&amp;sheet=A0&amp;row=185&amp;col=6&amp;number=16850&amp;sourceID=14","16850")</f>
        <v>16850</v>
      </c>
      <c r="G185" s="4" t="str">
        <f>HYPERLINK("http://141.218.60.56/~jnz1568/getInfo.php?workbook=16_08.xlsx&amp;sheet=A0&amp;row=185&amp;col=7&amp;number=0&amp;sourceID=14","0")</f>
        <v>0</v>
      </c>
    </row>
    <row r="186" spans="1:7">
      <c r="A186" s="3">
        <v>16</v>
      </c>
      <c r="B186" s="3">
        <v>8</v>
      </c>
      <c r="C186" s="3">
        <v>29</v>
      </c>
      <c r="D186" s="3">
        <v>6</v>
      </c>
      <c r="E186" s="3">
        <v>66.404</v>
      </c>
      <c r="F186" s="4" t="str">
        <f>HYPERLINK("http://141.218.60.56/~jnz1568/getInfo.php?workbook=16_08.xlsx&amp;sheet=A0&amp;row=186&amp;col=6&amp;number=709300000&amp;sourceID=14","709300000")</f>
        <v>709300000</v>
      </c>
      <c r="G186" s="4" t="str">
        <f>HYPERLINK("http://141.218.60.56/~jnz1568/getInfo.php?workbook=16_08.xlsx&amp;sheet=A0&amp;row=186&amp;col=7&amp;number=0&amp;sourceID=14","0")</f>
        <v>0</v>
      </c>
    </row>
    <row r="187" spans="1:7">
      <c r="A187" s="3">
        <v>16</v>
      </c>
      <c r="B187" s="3">
        <v>8</v>
      </c>
      <c r="C187" s="3">
        <v>29</v>
      </c>
      <c r="D187" s="3">
        <v>11</v>
      </c>
      <c r="E187" s="3">
        <v>514.081</v>
      </c>
      <c r="F187" s="4" t="str">
        <f>HYPERLINK("http://141.218.60.56/~jnz1568/getInfo.php?workbook=16_08.xlsx&amp;sheet=A0&amp;row=187&amp;col=6&amp;number=444700&amp;sourceID=14","444700")</f>
        <v>444700</v>
      </c>
      <c r="G187" s="4" t="str">
        <f>HYPERLINK("http://141.218.60.56/~jnz1568/getInfo.php?workbook=16_08.xlsx&amp;sheet=A0&amp;row=187&amp;col=7&amp;number=0&amp;sourceID=14","0")</f>
        <v>0</v>
      </c>
    </row>
    <row r="188" spans="1:7">
      <c r="A188" s="3">
        <v>16</v>
      </c>
      <c r="B188" s="3">
        <v>8</v>
      </c>
      <c r="C188" s="3">
        <v>29</v>
      </c>
      <c r="D188" s="3">
        <v>13</v>
      </c>
      <c r="E188" s="3">
        <v>943.913</v>
      </c>
      <c r="F188" s="4" t="str">
        <f>HYPERLINK("http://141.218.60.56/~jnz1568/getInfo.php?workbook=16_08.xlsx&amp;sheet=A0&amp;row=188&amp;col=6&amp;number=3415000&amp;sourceID=14","3415000")</f>
        <v>3415000</v>
      </c>
      <c r="G188" s="4" t="str">
        <f>HYPERLINK("http://141.218.60.56/~jnz1568/getInfo.php?workbook=16_08.xlsx&amp;sheet=A0&amp;row=188&amp;col=7&amp;number=0&amp;sourceID=14","0")</f>
        <v>0</v>
      </c>
    </row>
    <row r="189" spans="1:7">
      <c r="A189" s="3">
        <v>16</v>
      </c>
      <c r="B189" s="3">
        <v>8</v>
      </c>
      <c r="C189" s="3">
        <v>29</v>
      </c>
      <c r="D189" s="3">
        <v>15</v>
      </c>
      <c r="E189" s="3">
        <v>951.828</v>
      </c>
      <c r="F189" s="4" t="str">
        <f>HYPERLINK("http://141.218.60.56/~jnz1568/getInfo.php?workbook=16_08.xlsx&amp;sheet=A0&amp;row=189&amp;col=6&amp;number=872600000&amp;sourceID=14","872600000")</f>
        <v>872600000</v>
      </c>
      <c r="G189" s="4" t="str">
        <f>HYPERLINK("http://141.218.60.56/~jnz1568/getInfo.php?workbook=16_08.xlsx&amp;sheet=A0&amp;row=189&amp;col=7&amp;number=0&amp;sourceID=14","0")</f>
        <v>0</v>
      </c>
    </row>
    <row r="190" spans="1:7">
      <c r="A190" s="3">
        <v>16</v>
      </c>
      <c r="B190" s="3">
        <v>8</v>
      </c>
      <c r="C190" s="3">
        <v>29</v>
      </c>
      <c r="D190" s="3">
        <v>16</v>
      </c>
      <c r="E190" s="3">
        <v>1084.117</v>
      </c>
      <c r="F190" s="4" t="str">
        <f>HYPERLINK("http://141.218.60.56/~jnz1568/getInfo.php?workbook=16_08.xlsx&amp;sheet=A0&amp;row=190&amp;col=6&amp;number=3011000&amp;sourceID=14","3011000")</f>
        <v>3011000</v>
      </c>
      <c r="G190" s="4" t="str">
        <f>HYPERLINK("http://141.218.60.56/~jnz1568/getInfo.php?workbook=16_08.xlsx&amp;sheet=A0&amp;row=190&amp;col=7&amp;number=0&amp;sourceID=14","0")</f>
        <v>0</v>
      </c>
    </row>
    <row r="191" spans="1:7">
      <c r="A191" s="3">
        <v>16</v>
      </c>
      <c r="B191" s="3">
        <v>8</v>
      </c>
      <c r="C191" s="3">
        <v>29</v>
      </c>
      <c r="D191" s="3">
        <v>25</v>
      </c>
      <c r="E191" s="3">
        <v>1690.903</v>
      </c>
      <c r="F191" s="4" t="str">
        <f>HYPERLINK("http://141.218.60.56/~jnz1568/getInfo.php?workbook=16_08.xlsx&amp;sheet=A0&amp;row=191&amp;col=6&amp;number=7122000&amp;sourceID=14","7122000")</f>
        <v>7122000</v>
      </c>
      <c r="G191" s="4" t="str">
        <f>HYPERLINK("http://141.218.60.56/~jnz1568/getInfo.php?workbook=16_08.xlsx&amp;sheet=A0&amp;row=191&amp;col=7&amp;number=0&amp;sourceID=14","0")</f>
        <v>0</v>
      </c>
    </row>
    <row r="192" spans="1:7">
      <c r="A192" s="3">
        <v>16</v>
      </c>
      <c r="B192" s="3">
        <v>8</v>
      </c>
      <c r="C192" s="3">
        <v>30</v>
      </c>
      <c r="D192" s="3">
        <v>1</v>
      </c>
      <c r="E192" s="3">
        <v>-51.606</v>
      </c>
      <c r="F192" s="4" t="str">
        <f>HYPERLINK("http://141.218.60.56/~jnz1568/getInfo.php?workbook=16_08.xlsx&amp;sheet=A0&amp;row=192&amp;col=6&amp;number=1669000&amp;sourceID=14","1669000")</f>
        <v>1669000</v>
      </c>
      <c r="G192" s="4" t="str">
        <f>HYPERLINK("http://141.218.60.56/~jnz1568/getInfo.php?workbook=16_08.xlsx&amp;sheet=A0&amp;row=192&amp;col=7&amp;number=0&amp;sourceID=14","0")</f>
        <v>0</v>
      </c>
    </row>
    <row r="193" spans="1:7">
      <c r="A193" s="3">
        <v>16</v>
      </c>
      <c r="B193" s="3">
        <v>8</v>
      </c>
      <c r="C193" s="3">
        <v>30</v>
      </c>
      <c r="D193" s="3">
        <v>2</v>
      </c>
      <c r="E193" s="3">
        <v>-51.827</v>
      </c>
      <c r="F193" s="4" t="str">
        <f>HYPERLINK("http://141.218.60.56/~jnz1568/getInfo.php?workbook=16_08.xlsx&amp;sheet=A0&amp;row=193&amp;col=6&amp;number=3822000&amp;sourceID=14","3822000")</f>
        <v>3822000</v>
      </c>
      <c r="G193" s="4" t="str">
        <f>HYPERLINK("http://141.218.60.56/~jnz1568/getInfo.php?workbook=16_08.xlsx&amp;sheet=A0&amp;row=193&amp;col=7&amp;number=0&amp;sourceID=14","0")</f>
        <v>0</v>
      </c>
    </row>
    <row r="194" spans="1:7">
      <c r="A194" s="3">
        <v>16</v>
      </c>
      <c r="B194" s="3">
        <v>8</v>
      </c>
      <c r="C194" s="3">
        <v>30</v>
      </c>
      <c r="D194" s="3">
        <v>4</v>
      </c>
      <c r="E194" s="3">
        <v>-53.304</v>
      </c>
      <c r="F194" s="4" t="str">
        <f>HYPERLINK("http://141.218.60.56/~jnz1568/getInfo.php?workbook=16_08.xlsx&amp;sheet=A0&amp;row=194&amp;col=6&amp;number=25160000&amp;sourceID=14","25160000")</f>
        <v>25160000</v>
      </c>
      <c r="G194" s="4" t="str">
        <f>HYPERLINK("http://141.218.60.56/~jnz1568/getInfo.php?workbook=16_08.xlsx&amp;sheet=A0&amp;row=194&amp;col=7&amp;number=0&amp;sourceID=14","0")</f>
        <v>0</v>
      </c>
    </row>
    <row r="195" spans="1:7">
      <c r="A195" s="3">
        <v>16</v>
      </c>
      <c r="B195" s="3">
        <v>8</v>
      </c>
      <c r="C195" s="3">
        <v>30</v>
      </c>
      <c r="D195" s="3">
        <v>6</v>
      </c>
      <c r="E195" s="3">
        <v>-67.462</v>
      </c>
      <c r="F195" s="4" t="str">
        <f>HYPERLINK("http://141.218.60.56/~jnz1568/getInfo.php?workbook=16_08.xlsx&amp;sheet=A0&amp;row=195&amp;col=6&amp;number=34160000&amp;sourceID=14","34160000")</f>
        <v>34160000</v>
      </c>
      <c r="G195" s="4" t="str">
        <f>HYPERLINK("http://141.218.60.56/~jnz1568/getInfo.php?workbook=16_08.xlsx&amp;sheet=A0&amp;row=195&amp;col=7&amp;number=0&amp;sourceID=14","0")</f>
        <v>0</v>
      </c>
    </row>
    <row r="196" spans="1:7">
      <c r="A196" s="3">
        <v>16</v>
      </c>
      <c r="B196" s="3">
        <v>8</v>
      </c>
      <c r="C196" s="3">
        <v>30</v>
      </c>
      <c r="D196" s="3">
        <v>7</v>
      </c>
      <c r="E196" s="3">
        <v>-67.793</v>
      </c>
      <c r="F196" s="4" t="str">
        <f>HYPERLINK("http://141.218.60.56/~jnz1568/getInfo.php?workbook=16_08.xlsx&amp;sheet=A0&amp;row=196&amp;col=6&amp;number=185500000&amp;sourceID=14","185500000")</f>
        <v>185500000</v>
      </c>
      <c r="G196" s="4" t="str">
        <f>HYPERLINK("http://141.218.60.56/~jnz1568/getInfo.php?workbook=16_08.xlsx&amp;sheet=A0&amp;row=196&amp;col=7&amp;number=0&amp;sourceID=14","0")</f>
        <v>0</v>
      </c>
    </row>
    <row r="197" spans="1:7">
      <c r="A197" s="3">
        <v>16</v>
      </c>
      <c r="B197" s="3">
        <v>8</v>
      </c>
      <c r="C197" s="3">
        <v>30</v>
      </c>
      <c r="D197" s="3">
        <v>8</v>
      </c>
      <c r="E197" s="3">
        <v>-67.978</v>
      </c>
      <c r="F197" s="4" t="str">
        <f>HYPERLINK("http://141.218.60.56/~jnz1568/getInfo.php?workbook=16_08.xlsx&amp;sheet=A0&amp;row=197&amp;col=6&amp;number=78750000&amp;sourceID=14","78750000")</f>
        <v>78750000</v>
      </c>
      <c r="G197" s="4" t="str">
        <f>HYPERLINK("http://141.218.60.56/~jnz1568/getInfo.php?workbook=16_08.xlsx&amp;sheet=A0&amp;row=197&amp;col=7&amp;number=0&amp;sourceID=14","0")</f>
        <v>0</v>
      </c>
    </row>
    <row r="198" spans="1:7">
      <c r="A198" s="3">
        <v>16</v>
      </c>
      <c r="B198" s="3">
        <v>8</v>
      </c>
      <c r="C198" s="3">
        <v>30</v>
      </c>
      <c r="D198" s="3">
        <v>9</v>
      </c>
      <c r="E198" s="3">
        <v>-76.835</v>
      </c>
      <c r="F198" s="4" t="str">
        <f>HYPERLINK("http://141.218.60.56/~jnz1568/getInfo.php?workbook=16_08.xlsx&amp;sheet=A0&amp;row=198&amp;col=6&amp;number=1383000000&amp;sourceID=14","1383000000")</f>
        <v>1383000000</v>
      </c>
      <c r="G198" s="4" t="str">
        <f>HYPERLINK("http://141.218.60.56/~jnz1568/getInfo.php?workbook=16_08.xlsx&amp;sheet=A0&amp;row=198&amp;col=7&amp;number=0&amp;sourceID=14","0")</f>
        <v>0</v>
      </c>
    </row>
    <row r="199" spans="1:7">
      <c r="A199" s="3">
        <v>16</v>
      </c>
      <c r="B199" s="3">
        <v>8</v>
      </c>
      <c r="C199" s="3">
        <v>30</v>
      </c>
      <c r="D199" s="3">
        <v>11</v>
      </c>
      <c r="E199" s="3">
        <v>-523.858</v>
      </c>
      <c r="F199" s="4" t="str">
        <f>HYPERLINK("http://141.218.60.56/~jnz1568/getInfo.php?workbook=16_08.xlsx&amp;sheet=A0&amp;row=199&amp;col=6&amp;number=3187&amp;sourceID=14","3187")</f>
        <v>3187</v>
      </c>
      <c r="G199" s="4" t="str">
        <f>HYPERLINK("http://141.218.60.56/~jnz1568/getInfo.php?workbook=16_08.xlsx&amp;sheet=A0&amp;row=199&amp;col=7&amp;number=0&amp;sourceID=14","0")</f>
        <v>0</v>
      </c>
    </row>
    <row r="200" spans="1:7">
      <c r="A200" s="3">
        <v>16</v>
      </c>
      <c r="B200" s="3">
        <v>8</v>
      </c>
      <c r="C200" s="3">
        <v>30</v>
      </c>
      <c r="D200" s="3">
        <v>12</v>
      </c>
      <c r="E200" s="3">
        <v>-620.607</v>
      </c>
      <c r="F200" s="4" t="str">
        <f>HYPERLINK("http://141.218.60.56/~jnz1568/getInfo.php?workbook=16_08.xlsx&amp;sheet=A0&amp;row=200&amp;col=6&amp;number=4791000&amp;sourceID=14","4791000")</f>
        <v>4791000</v>
      </c>
      <c r="G200" s="4" t="str">
        <f>HYPERLINK("http://141.218.60.56/~jnz1568/getInfo.php?workbook=16_08.xlsx&amp;sheet=A0&amp;row=200&amp;col=7&amp;number=0&amp;sourceID=14","0")</f>
        <v>0</v>
      </c>
    </row>
    <row r="201" spans="1:7">
      <c r="A201" s="3">
        <v>16</v>
      </c>
      <c r="B201" s="3">
        <v>8</v>
      </c>
      <c r="C201" s="3">
        <v>30</v>
      </c>
      <c r="D201" s="3">
        <v>13</v>
      </c>
      <c r="E201" s="3">
        <v>-1020.755</v>
      </c>
      <c r="F201" s="4" t="str">
        <f>HYPERLINK("http://141.218.60.56/~jnz1568/getInfo.php?workbook=16_08.xlsx&amp;sheet=A0&amp;row=201&amp;col=6&amp;number=104900000&amp;sourceID=14","104900000")</f>
        <v>104900000</v>
      </c>
      <c r="G201" s="4" t="str">
        <f>HYPERLINK("http://141.218.60.56/~jnz1568/getInfo.php?workbook=16_08.xlsx&amp;sheet=A0&amp;row=201&amp;col=7&amp;number=0&amp;sourceID=14","0")</f>
        <v>0</v>
      </c>
    </row>
    <row r="202" spans="1:7">
      <c r="A202" s="3">
        <v>16</v>
      </c>
      <c r="B202" s="3">
        <v>8</v>
      </c>
      <c r="C202" s="3">
        <v>30</v>
      </c>
      <c r="D202" s="3">
        <v>14</v>
      </c>
      <c r="E202" s="3">
        <v>-1017.289</v>
      </c>
      <c r="F202" s="4" t="str">
        <f>HYPERLINK("http://141.218.60.56/~jnz1568/getInfo.php?workbook=16_08.xlsx&amp;sheet=A0&amp;row=202&amp;col=6&amp;number=193500000&amp;sourceID=14","193500000")</f>
        <v>193500000</v>
      </c>
      <c r="G202" s="4" t="str">
        <f>HYPERLINK("http://141.218.60.56/~jnz1568/getInfo.php?workbook=16_08.xlsx&amp;sheet=A0&amp;row=202&amp;col=7&amp;number=0&amp;sourceID=14","0")</f>
        <v>0</v>
      </c>
    </row>
    <row r="203" spans="1:7">
      <c r="A203" s="3">
        <v>16</v>
      </c>
      <c r="B203" s="3">
        <v>8</v>
      </c>
      <c r="C203" s="3">
        <v>30</v>
      </c>
      <c r="D203" s="3">
        <v>16</v>
      </c>
      <c r="E203" s="3">
        <v>-1205.548</v>
      </c>
      <c r="F203" s="4" t="str">
        <f>HYPERLINK("http://141.218.60.56/~jnz1568/getInfo.php?workbook=16_08.xlsx&amp;sheet=A0&amp;row=203&amp;col=6&amp;number=223900000&amp;sourceID=14","223900000")</f>
        <v>223900000</v>
      </c>
      <c r="G203" s="4" t="str">
        <f>HYPERLINK("http://141.218.60.56/~jnz1568/getInfo.php?workbook=16_08.xlsx&amp;sheet=A0&amp;row=203&amp;col=7&amp;number=0&amp;sourceID=14","0")</f>
        <v>0</v>
      </c>
    </row>
    <row r="204" spans="1:7">
      <c r="A204" s="3">
        <v>16</v>
      </c>
      <c r="B204" s="3">
        <v>8</v>
      </c>
      <c r="C204" s="3">
        <v>30</v>
      </c>
      <c r="D204" s="3">
        <v>23</v>
      </c>
      <c r="E204" s="3">
        <v>-1730.451</v>
      </c>
      <c r="F204" s="4" t="str">
        <f>HYPERLINK("http://141.218.60.56/~jnz1568/getInfo.php?workbook=16_08.xlsx&amp;sheet=A0&amp;row=204&amp;col=6&amp;number=1758000&amp;sourceID=14","1758000")</f>
        <v>1758000</v>
      </c>
      <c r="G204" s="4" t="str">
        <f>HYPERLINK("http://141.218.60.56/~jnz1568/getInfo.php?workbook=16_08.xlsx&amp;sheet=A0&amp;row=204&amp;col=7&amp;number=0&amp;sourceID=14","0")</f>
        <v>0</v>
      </c>
    </row>
    <row r="205" spans="1:7">
      <c r="A205" s="3">
        <v>16</v>
      </c>
      <c r="B205" s="3">
        <v>8</v>
      </c>
      <c r="C205" s="3">
        <v>30</v>
      </c>
      <c r="D205" s="3">
        <v>24</v>
      </c>
      <c r="E205" s="3">
        <v>-1750.746</v>
      </c>
      <c r="F205" s="4" t="str">
        <f>HYPERLINK("http://141.218.60.56/~jnz1568/getInfo.php?workbook=16_08.xlsx&amp;sheet=A0&amp;row=205&amp;col=6&amp;number=23270&amp;sourceID=14","23270")</f>
        <v>23270</v>
      </c>
      <c r="G205" s="4" t="str">
        <f>HYPERLINK("http://141.218.60.56/~jnz1568/getInfo.php?workbook=16_08.xlsx&amp;sheet=A0&amp;row=205&amp;col=7&amp;number=0&amp;sourceID=14","0")</f>
        <v>0</v>
      </c>
    </row>
    <row r="206" spans="1:7">
      <c r="A206" s="3">
        <v>16</v>
      </c>
      <c r="B206" s="3">
        <v>8</v>
      </c>
      <c r="C206" s="3">
        <v>30</v>
      </c>
      <c r="D206" s="3">
        <v>25</v>
      </c>
      <c r="E206" s="3">
        <v>-1805.659</v>
      </c>
      <c r="F206" s="4" t="str">
        <f>HYPERLINK("http://141.218.60.56/~jnz1568/getInfo.php?workbook=16_08.xlsx&amp;sheet=A0&amp;row=206&amp;col=6&amp;number=760400&amp;sourceID=14","760400")</f>
        <v>760400</v>
      </c>
      <c r="G206" s="4" t="str">
        <f>HYPERLINK("http://141.218.60.56/~jnz1568/getInfo.php?workbook=16_08.xlsx&amp;sheet=A0&amp;row=206&amp;col=7&amp;number=0&amp;sourceID=14","0")</f>
        <v>0</v>
      </c>
    </row>
    <row r="207" spans="1:7">
      <c r="A207" s="3">
        <v>16</v>
      </c>
      <c r="B207" s="3">
        <v>8</v>
      </c>
      <c r="C207" s="3">
        <v>30</v>
      </c>
      <c r="D207" s="3">
        <v>26</v>
      </c>
      <c r="E207" s="3">
        <v>-2401.06</v>
      </c>
      <c r="F207" s="4" t="str">
        <f>HYPERLINK("http://141.218.60.56/~jnz1568/getInfo.php?workbook=16_08.xlsx&amp;sheet=A0&amp;row=207&amp;col=6&amp;number=5253000&amp;sourceID=14","5253000")</f>
        <v>5253000</v>
      </c>
      <c r="G207" s="4" t="str">
        <f>HYPERLINK("http://141.218.60.56/~jnz1568/getInfo.php?workbook=16_08.xlsx&amp;sheet=A0&amp;row=207&amp;col=7&amp;number=0&amp;sourceID=14","0")</f>
        <v>0</v>
      </c>
    </row>
    <row r="208" spans="1:7">
      <c r="A208" s="3">
        <v>16</v>
      </c>
      <c r="B208" s="3">
        <v>8</v>
      </c>
      <c r="C208" s="3">
        <v>31</v>
      </c>
      <c r="D208" s="3">
        <v>1</v>
      </c>
      <c r="E208" s="3">
        <v>51.087</v>
      </c>
      <c r="F208" s="4" t="str">
        <f>HYPERLINK("http://141.218.60.56/~jnz1568/getInfo.php?workbook=16_08.xlsx&amp;sheet=A0&amp;row=208&amp;col=6&amp;number=1358000&amp;sourceID=14","1358000")</f>
        <v>1358000</v>
      </c>
      <c r="G208" s="4" t="str">
        <f>HYPERLINK("http://141.218.60.56/~jnz1568/getInfo.php?workbook=16_08.xlsx&amp;sheet=A0&amp;row=208&amp;col=7&amp;number=0&amp;sourceID=14","0")</f>
        <v>0</v>
      </c>
    </row>
    <row r="209" spans="1:7">
      <c r="A209" s="3">
        <v>16</v>
      </c>
      <c r="B209" s="3">
        <v>8</v>
      </c>
      <c r="C209" s="3">
        <v>31</v>
      </c>
      <c r="D209" s="3">
        <v>2</v>
      </c>
      <c r="E209" s="3">
        <v>51.296</v>
      </c>
      <c r="F209" s="4" t="str">
        <f>HYPERLINK("http://141.218.60.56/~jnz1568/getInfo.php?workbook=16_08.xlsx&amp;sheet=A0&amp;row=209&amp;col=6&amp;number=12160000&amp;sourceID=14","12160000")</f>
        <v>12160000</v>
      </c>
      <c r="G209" s="4" t="str">
        <f>HYPERLINK("http://141.218.60.56/~jnz1568/getInfo.php?workbook=16_08.xlsx&amp;sheet=A0&amp;row=209&amp;col=7&amp;number=0&amp;sourceID=14","0")</f>
        <v>0</v>
      </c>
    </row>
    <row r="210" spans="1:7">
      <c r="A210" s="3">
        <v>16</v>
      </c>
      <c r="B210" s="3">
        <v>8</v>
      </c>
      <c r="C210" s="3">
        <v>31</v>
      </c>
      <c r="D210" s="3">
        <v>3</v>
      </c>
      <c r="E210" s="3">
        <v>51.366</v>
      </c>
      <c r="F210" s="4" t="str">
        <f>HYPERLINK("http://141.218.60.56/~jnz1568/getInfo.php?workbook=16_08.xlsx&amp;sheet=A0&amp;row=210&amp;col=6&amp;number=12570000&amp;sourceID=14","12570000")</f>
        <v>12570000</v>
      </c>
      <c r="G210" s="4" t="str">
        <f>HYPERLINK("http://141.218.60.56/~jnz1568/getInfo.php?workbook=16_08.xlsx&amp;sheet=A0&amp;row=210&amp;col=7&amp;number=0&amp;sourceID=14","0")</f>
        <v>0</v>
      </c>
    </row>
    <row r="211" spans="1:7">
      <c r="A211" s="3">
        <v>16</v>
      </c>
      <c r="B211" s="3">
        <v>8</v>
      </c>
      <c r="C211" s="3">
        <v>31</v>
      </c>
      <c r="D211" s="3">
        <v>4</v>
      </c>
      <c r="E211" s="3">
        <v>52.655</v>
      </c>
      <c r="F211" s="4" t="str">
        <f>HYPERLINK("http://141.218.60.56/~jnz1568/getInfo.php?workbook=16_08.xlsx&amp;sheet=A0&amp;row=211&amp;col=6&amp;number=445600&amp;sourceID=14","445600")</f>
        <v>445600</v>
      </c>
      <c r="G211" s="4" t="str">
        <f>HYPERLINK("http://141.218.60.56/~jnz1568/getInfo.php?workbook=16_08.xlsx&amp;sheet=A0&amp;row=211&amp;col=7&amp;number=0&amp;sourceID=14","0")</f>
        <v>0</v>
      </c>
    </row>
    <row r="212" spans="1:7">
      <c r="A212" s="3">
        <v>16</v>
      </c>
      <c r="B212" s="3">
        <v>8</v>
      </c>
      <c r="C212" s="3">
        <v>31</v>
      </c>
      <c r="D212" s="3">
        <v>5</v>
      </c>
      <c r="E212" s="3">
        <v>54.504</v>
      </c>
      <c r="F212" s="4" t="str">
        <f>HYPERLINK("http://141.218.60.56/~jnz1568/getInfo.php?workbook=16_08.xlsx&amp;sheet=A0&amp;row=212&amp;col=6&amp;number=122200&amp;sourceID=14","122200")</f>
        <v>122200</v>
      </c>
      <c r="G212" s="4" t="str">
        <f>HYPERLINK("http://141.218.60.56/~jnz1568/getInfo.php?workbook=16_08.xlsx&amp;sheet=A0&amp;row=212&amp;col=7&amp;number=0&amp;sourceID=14","0")</f>
        <v>0</v>
      </c>
    </row>
    <row r="213" spans="1:7">
      <c r="A213" s="3">
        <v>16</v>
      </c>
      <c r="B213" s="3">
        <v>8</v>
      </c>
      <c r="C213" s="3">
        <v>31</v>
      </c>
      <c r="D213" s="3">
        <v>6</v>
      </c>
      <c r="E213" s="3">
        <v>66.118</v>
      </c>
      <c r="F213" s="4" t="str">
        <f>HYPERLINK("http://141.218.60.56/~jnz1568/getInfo.php?workbook=16_08.xlsx&amp;sheet=A0&amp;row=213&amp;col=6&amp;number=48110000&amp;sourceID=14","48110000")</f>
        <v>48110000</v>
      </c>
      <c r="G213" s="4" t="str">
        <f>HYPERLINK("http://141.218.60.56/~jnz1568/getInfo.php?workbook=16_08.xlsx&amp;sheet=A0&amp;row=213&amp;col=7&amp;number=0&amp;sourceID=14","0")</f>
        <v>0</v>
      </c>
    </row>
    <row r="214" spans="1:7">
      <c r="A214" s="3">
        <v>16</v>
      </c>
      <c r="B214" s="3">
        <v>8</v>
      </c>
      <c r="C214" s="3">
        <v>31</v>
      </c>
      <c r="D214" s="3">
        <v>7</v>
      </c>
      <c r="E214" s="3">
        <v>66.425</v>
      </c>
      <c r="F214" s="4" t="str">
        <f>HYPERLINK("http://141.218.60.56/~jnz1568/getInfo.php?workbook=16_08.xlsx&amp;sheet=A0&amp;row=214&amp;col=6&amp;number=95530000&amp;sourceID=14","95530000")</f>
        <v>95530000</v>
      </c>
      <c r="G214" s="4" t="str">
        <f>HYPERLINK("http://141.218.60.56/~jnz1568/getInfo.php?workbook=16_08.xlsx&amp;sheet=A0&amp;row=214&amp;col=7&amp;number=0&amp;sourceID=14","0")</f>
        <v>0</v>
      </c>
    </row>
    <row r="215" spans="1:7">
      <c r="A215" s="3">
        <v>16</v>
      </c>
      <c r="B215" s="3">
        <v>8</v>
      </c>
      <c r="C215" s="3">
        <v>31</v>
      </c>
      <c r="D215" s="3">
        <v>9</v>
      </c>
      <c r="E215" s="3">
        <v>74.551</v>
      </c>
      <c r="F215" s="4" t="str">
        <f>HYPERLINK("http://141.218.60.56/~jnz1568/getInfo.php?workbook=16_08.xlsx&amp;sheet=A0&amp;row=215&amp;col=6&amp;number=39250000&amp;sourceID=14","39250000")</f>
        <v>39250000</v>
      </c>
      <c r="G215" s="4" t="str">
        <f>HYPERLINK("http://141.218.60.56/~jnz1568/getInfo.php?workbook=16_08.xlsx&amp;sheet=A0&amp;row=215&amp;col=7&amp;number=0&amp;sourceID=14","0")</f>
        <v>0</v>
      </c>
    </row>
    <row r="216" spans="1:7">
      <c r="A216" s="3">
        <v>16</v>
      </c>
      <c r="B216" s="3">
        <v>8</v>
      </c>
      <c r="C216" s="3">
        <v>31</v>
      </c>
      <c r="D216" s="3">
        <v>11</v>
      </c>
      <c r="E216" s="3">
        <v>497.386</v>
      </c>
      <c r="F216" s="4" t="str">
        <f>HYPERLINK("http://141.218.60.56/~jnz1568/getInfo.php?workbook=16_08.xlsx&amp;sheet=A0&amp;row=216&amp;col=6&amp;number=5562&amp;sourceID=14","5562")</f>
        <v>5562</v>
      </c>
      <c r="G216" s="4" t="str">
        <f>HYPERLINK("http://141.218.60.56/~jnz1568/getInfo.php?workbook=16_08.xlsx&amp;sheet=A0&amp;row=216&amp;col=7&amp;number=0&amp;sourceID=14","0")</f>
        <v>0</v>
      </c>
    </row>
    <row r="217" spans="1:7">
      <c r="A217" s="3">
        <v>16</v>
      </c>
      <c r="B217" s="3">
        <v>8</v>
      </c>
      <c r="C217" s="3">
        <v>31</v>
      </c>
      <c r="D217" s="3">
        <v>12</v>
      </c>
      <c r="E217" s="3">
        <v>573.737</v>
      </c>
      <c r="F217" s="4" t="str">
        <f>HYPERLINK("http://141.218.60.56/~jnz1568/getInfo.php?workbook=16_08.xlsx&amp;sheet=A0&amp;row=217&amp;col=6&amp;number=531500&amp;sourceID=14","531500")</f>
        <v>531500</v>
      </c>
      <c r="G217" s="4" t="str">
        <f>HYPERLINK("http://141.218.60.56/~jnz1568/getInfo.php?workbook=16_08.xlsx&amp;sheet=A0&amp;row=217&amp;col=7&amp;number=0&amp;sourceID=14","0")</f>
        <v>0</v>
      </c>
    </row>
    <row r="218" spans="1:7">
      <c r="A218" s="3">
        <v>16</v>
      </c>
      <c r="B218" s="3">
        <v>8</v>
      </c>
      <c r="C218" s="3">
        <v>31</v>
      </c>
      <c r="D218" s="3">
        <v>13</v>
      </c>
      <c r="E218" s="3">
        <v>889.118</v>
      </c>
      <c r="F218" s="4" t="str">
        <f>HYPERLINK("http://141.218.60.56/~jnz1568/getInfo.php?workbook=16_08.xlsx&amp;sheet=A0&amp;row=218&amp;col=6&amp;number=59180000&amp;sourceID=14","59180000")</f>
        <v>59180000</v>
      </c>
      <c r="G218" s="4" t="str">
        <f>HYPERLINK("http://141.218.60.56/~jnz1568/getInfo.php?workbook=16_08.xlsx&amp;sheet=A0&amp;row=218&amp;col=7&amp;number=0&amp;sourceID=14","0")</f>
        <v>0</v>
      </c>
    </row>
    <row r="219" spans="1:7">
      <c r="A219" s="3">
        <v>16</v>
      </c>
      <c r="B219" s="3">
        <v>8</v>
      </c>
      <c r="C219" s="3">
        <v>31</v>
      </c>
      <c r="D219" s="3">
        <v>14</v>
      </c>
      <c r="E219" s="3">
        <v>890.924</v>
      </c>
      <c r="F219" s="4" t="str">
        <f>HYPERLINK("http://141.218.60.56/~jnz1568/getInfo.php?workbook=16_08.xlsx&amp;sheet=A0&amp;row=219&amp;col=6&amp;number=1147000000&amp;sourceID=14","1147000000")</f>
        <v>1147000000</v>
      </c>
      <c r="G219" s="4" t="str">
        <f>HYPERLINK("http://141.218.60.56/~jnz1568/getInfo.php?workbook=16_08.xlsx&amp;sheet=A0&amp;row=219&amp;col=7&amp;number=0&amp;sourceID=14","0")</f>
        <v>0</v>
      </c>
    </row>
    <row r="220" spans="1:7">
      <c r="A220" s="3">
        <v>16</v>
      </c>
      <c r="B220" s="3">
        <v>8</v>
      </c>
      <c r="C220" s="3">
        <v>31</v>
      </c>
      <c r="D220" s="3">
        <v>15</v>
      </c>
      <c r="E220" s="3">
        <v>896.138</v>
      </c>
      <c r="F220" s="4" t="str">
        <f>HYPERLINK("http://141.218.60.56/~jnz1568/getInfo.php?workbook=16_08.xlsx&amp;sheet=A0&amp;row=220&amp;col=6&amp;number=36540&amp;sourceID=14","36540")</f>
        <v>36540</v>
      </c>
      <c r="G220" s="4" t="str">
        <f>HYPERLINK("http://141.218.60.56/~jnz1568/getInfo.php?workbook=16_08.xlsx&amp;sheet=A0&amp;row=220&amp;col=7&amp;number=0&amp;sourceID=14","0")</f>
        <v>0</v>
      </c>
    </row>
    <row r="221" spans="1:7">
      <c r="A221" s="3">
        <v>16</v>
      </c>
      <c r="B221" s="3">
        <v>8</v>
      </c>
      <c r="C221" s="3">
        <v>31</v>
      </c>
      <c r="D221" s="3">
        <v>16</v>
      </c>
      <c r="E221" s="3">
        <v>1012.453</v>
      </c>
      <c r="F221" s="4" t="str">
        <f>HYPERLINK("http://141.218.60.56/~jnz1568/getInfo.php?workbook=16_08.xlsx&amp;sheet=A0&amp;row=221&amp;col=6&amp;number=768000&amp;sourceID=14","768000")</f>
        <v>768000</v>
      </c>
      <c r="G221" s="4" t="str">
        <f>HYPERLINK("http://141.218.60.56/~jnz1568/getInfo.php?workbook=16_08.xlsx&amp;sheet=A0&amp;row=221&amp;col=7&amp;number=0&amp;sourceID=14","0")</f>
        <v>0</v>
      </c>
    </row>
    <row r="222" spans="1:7">
      <c r="A222" s="3">
        <v>16</v>
      </c>
      <c r="B222" s="3">
        <v>8</v>
      </c>
      <c r="C222" s="3">
        <v>31</v>
      </c>
      <c r="D222" s="3">
        <v>24</v>
      </c>
      <c r="E222" s="3">
        <v>1489.115</v>
      </c>
      <c r="F222" s="4" t="str">
        <f>HYPERLINK("http://141.218.60.56/~jnz1568/getInfo.php?workbook=16_08.xlsx&amp;sheet=A0&amp;row=222&amp;col=6&amp;number=408800&amp;sourceID=14","408800")</f>
        <v>408800</v>
      </c>
      <c r="G222" s="4" t="str">
        <f>HYPERLINK("http://141.218.60.56/~jnz1568/getInfo.php?workbook=16_08.xlsx&amp;sheet=A0&amp;row=222&amp;col=7&amp;number=0&amp;sourceID=14","0")</f>
        <v>0</v>
      </c>
    </row>
    <row r="223" spans="1:7">
      <c r="A223" s="3">
        <v>16</v>
      </c>
      <c r="B223" s="3">
        <v>8</v>
      </c>
      <c r="C223" s="3">
        <v>31</v>
      </c>
      <c r="D223" s="3">
        <v>25</v>
      </c>
      <c r="E223" s="3">
        <v>1522.789</v>
      </c>
      <c r="F223" s="4" t="str">
        <f>HYPERLINK("http://141.218.60.56/~jnz1568/getInfo.php?workbook=16_08.xlsx&amp;sheet=A0&amp;row=223&amp;col=6&amp;number=107400&amp;sourceID=14","107400")</f>
        <v>107400</v>
      </c>
      <c r="G223" s="4" t="str">
        <f>HYPERLINK("http://141.218.60.56/~jnz1568/getInfo.php?workbook=16_08.xlsx&amp;sheet=A0&amp;row=223&amp;col=7&amp;number=0&amp;sourceID=14","0")</f>
        <v>0</v>
      </c>
    </row>
    <row r="224" spans="1:7">
      <c r="A224" s="3">
        <v>16</v>
      </c>
      <c r="B224" s="3">
        <v>8</v>
      </c>
      <c r="C224" s="3">
        <v>31</v>
      </c>
      <c r="D224" s="3">
        <v>26</v>
      </c>
      <c r="E224" s="3">
        <v>1885.725</v>
      </c>
      <c r="F224" s="4" t="str">
        <f>HYPERLINK("http://141.218.60.56/~jnz1568/getInfo.php?workbook=16_08.xlsx&amp;sheet=A0&amp;row=224&amp;col=6&amp;number=3276&amp;sourceID=14","3276")</f>
        <v>3276</v>
      </c>
      <c r="G224" s="4" t="str">
        <f>HYPERLINK("http://141.218.60.56/~jnz1568/getInfo.php?workbook=16_08.xlsx&amp;sheet=A0&amp;row=224&amp;col=7&amp;number=0&amp;sourceID=14","0")</f>
        <v>0</v>
      </c>
    </row>
    <row r="225" spans="1:7">
      <c r="A225" s="3">
        <v>16</v>
      </c>
      <c r="B225" s="3">
        <v>8</v>
      </c>
      <c r="C225" s="3">
        <v>32</v>
      </c>
      <c r="D225" s="3">
        <v>1</v>
      </c>
      <c r="E225" s="3">
        <v>51.059</v>
      </c>
      <c r="F225" s="4" t="str">
        <f>HYPERLINK("http://141.218.60.56/~jnz1568/getInfo.php?workbook=16_08.xlsx&amp;sheet=A0&amp;row=225&amp;col=6&amp;number=7480000&amp;sourceID=14","7480000")</f>
        <v>7480000</v>
      </c>
      <c r="G225" s="4" t="str">
        <f>HYPERLINK("http://141.218.60.56/~jnz1568/getInfo.php?workbook=16_08.xlsx&amp;sheet=A0&amp;row=225&amp;col=7&amp;number=0&amp;sourceID=14","0")</f>
        <v>0</v>
      </c>
    </row>
    <row r="226" spans="1:7">
      <c r="A226" s="3">
        <v>16</v>
      </c>
      <c r="B226" s="3">
        <v>8</v>
      </c>
      <c r="C226" s="3">
        <v>32</v>
      </c>
      <c r="D226" s="3">
        <v>2</v>
      </c>
      <c r="E226" s="3">
        <v>51.268</v>
      </c>
      <c r="F226" s="4" t="str">
        <f>HYPERLINK("http://141.218.60.56/~jnz1568/getInfo.php?workbook=16_08.xlsx&amp;sheet=A0&amp;row=226&amp;col=6&amp;number=17710000&amp;sourceID=14","17710000")</f>
        <v>17710000</v>
      </c>
      <c r="G226" s="4" t="str">
        <f>HYPERLINK("http://141.218.60.56/~jnz1568/getInfo.php?workbook=16_08.xlsx&amp;sheet=A0&amp;row=226&amp;col=7&amp;number=0&amp;sourceID=14","0")</f>
        <v>0</v>
      </c>
    </row>
    <row r="227" spans="1:7">
      <c r="A227" s="3">
        <v>16</v>
      </c>
      <c r="B227" s="3">
        <v>8</v>
      </c>
      <c r="C227" s="3">
        <v>32</v>
      </c>
      <c r="D227" s="3">
        <v>4</v>
      </c>
      <c r="E227" s="3">
        <v>52.626</v>
      </c>
      <c r="F227" s="4" t="str">
        <f>HYPERLINK("http://141.218.60.56/~jnz1568/getInfo.php?workbook=16_08.xlsx&amp;sheet=A0&amp;row=227&amp;col=6&amp;number=135100&amp;sourceID=14","135100")</f>
        <v>135100</v>
      </c>
      <c r="G227" s="4" t="str">
        <f>HYPERLINK("http://141.218.60.56/~jnz1568/getInfo.php?workbook=16_08.xlsx&amp;sheet=A0&amp;row=227&amp;col=7&amp;number=0&amp;sourceID=14","0")</f>
        <v>0</v>
      </c>
    </row>
    <row r="228" spans="1:7">
      <c r="A228" s="3">
        <v>16</v>
      </c>
      <c r="B228" s="3">
        <v>8</v>
      </c>
      <c r="C228" s="3">
        <v>32</v>
      </c>
      <c r="D228" s="3">
        <v>6</v>
      </c>
      <c r="E228" s="3">
        <v>66.071</v>
      </c>
      <c r="F228" s="4" t="str">
        <f>HYPERLINK("http://141.218.60.56/~jnz1568/getInfo.php?workbook=16_08.xlsx&amp;sheet=A0&amp;row=228&amp;col=6&amp;number=220200000&amp;sourceID=14","220200000")</f>
        <v>220200000</v>
      </c>
      <c r="G228" s="4" t="str">
        <f>HYPERLINK("http://141.218.60.56/~jnz1568/getInfo.php?workbook=16_08.xlsx&amp;sheet=A0&amp;row=228&amp;col=7&amp;number=0&amp;sourceID=14","0")</f>
        <v>0</v>
      </c>
    </row>
    <row r="229" spans="1:7">
      <c r="A229" s="3">
        <v>16</v>
      </c>
      <c r="B229" s="3">
        <v>8</v>
      </c>
      <c r="C229" s="3">
        <v>32</v>
      </c>
      <c r="D229" s="3">
        <v>11</v>
      </c>
      <c r="E229" s="3">
        <v>494.753</v>
      </c>
      <c r="F229" s="4" t="str">
        <f>HYPERLINK("http://141.218.60.56/~jnz1568/getInfo.php?workbook=16_08.xlsx&amp;sheet=A0&amp;row=229&amp;col=6&amp;number=45840&amp;sourceID=14","45840")</f>
        <v>45840</v>
      </c>
      <c r="G229" s="4" t="str">
        <f>HYPERLINK("http://141.218.60.56/~jnz1568/getInfo.php?workbook=16_08.xlsx&amp;sheet=A0&amp;row=229&amp;col=7&amp;number=0&amp;sourceID=14","0")</f>
        <v>0</v>
      </c>
    </row>
    <row r="230" spans="1:7">
      <c r="A230" s="3">
        <v>16</v>
      </c>
      <c r="B230" s="3">
        <v>8</v>
      </c>
      <c r="C230" s="3">
        <v>32</v>
      </c>
      <c r="D230" s="3">
        <v>13</v>
      </c>
      <c r="E230" s="3">
        <v>880.739</v>
      </c>
      <c r="F230" s="4" t="str">
        <f>HYPERLINK("http://141.218.60.56/~jnz1568/getInfo.php?workbook=16_08.xlsx&amp;sheet=A0&amp;row=230&amp;col=6&amp;number=1226000000&amp;sourceID=14","1226000000")</f>
        <v>1226000000</v>
      </c>
      <c r="G230" s="4" t="str">
        <f>HYPERLINK("http://141.218.60.56/~jnz1568/getInfo.php?workbook=16_08.xlsx&amp;sheet=A0&amp;row=230&amp;col=7&amp;number=0&amp;sourceID=14","0")</f>
        <v>0</v>
      </c>
    </row>
    <row r="231" spans="1:7">
      <c r="A231" s="3">
        <v>16</v>
      </c>
      <c r="B231" s="3">
        <v>8</v>
      </c>
      <c r="C231" s="3">
        <v>32</v>
      </c>
      <c r="D231" s="3">
        <v>15</v>
      </c>
      <c r="E231" s="3">
        <v>887.626</v>
      </c>
      <c r="F231" s="4" t="str">
        <f>HYPERLINK("http://141.218.60.56/~jnz1568/getInfo.php?workbook=16_08.xlsx&amp;sheet=A0&amp;row=231&amp;col=6&amp;number=11040000&amp;sourceID=14","11040000")</f>
        <v>11040000</v>
      </c>
      <c r="G231" s="4" t="str">
        <f>HYPERLINK("http://141.218.60.56/~jnz1568/getInfo.php?workbook=16_08.xlsx&amp;sheet=A0&amp;row=231&amp;col=7&amp;number=0&amp;sourceID=14","0")</f>
        <v>0</v>
      </c>
    </row>
    <row r="232" spans="1:7">
      <c r="A232" s="3">
        <v>16</v>
      </c>
      <c r="B232" s="3">
        <v>8</v>
      </c>
      <c r="C232" s="3">
        <v>32</v>
      </c>
      <c r="D232" s="3">
        <v>16</v>
      </c>
      <c r="E232" s="3">
        <v>1001.603</v>
      </c>
      <c r="F232" s="4" t="str">
        <f>HYPERLINK("http://141.218.60.56/~jnz1568/getInfo.php?workbook=16_08.xlsx&amp;sheet=A0&amp;row=232&amp;col=6&amp;number=6414000&amp;sourceID=14","6414000")</f>
        <v>6414000</v>
      </c>
      <c r="G232" s="4" t="str">
        <f>HYPERLINK("http://141.218.60.56/~jnz1568/getInfo.php?workbook=16_08.xlsx&amp;sheet=A0&amp;row=232&amp;col=7&amp;number=0&amp;sourceID=14","0")</f>
        <v>0</v>
      </c>
    </row>
    <row r="233" spans="1:7">
      <c r="A233" s="3">
        <v>16</v>
      </c>
      <c r="B233" s="3">
        <v>8</v>
      </c>
      <c r="C233" s="3">
        <v>32</v>
      </c>
      <c r="D233" s="3">
        <v>25</v>
      </c>
      <c r="E233" s="3">
        <v>1498.374</v>
      </c>
      <c r="F233" s="4" t="str">
        <f>HYPERLINK("http://141.218.60.56/~jnz1568/getInfo.php?workbook=16_08.xlsx&amp;sheet=A0&amp;row=233&amp;col=6&amp;number=657000&amp;sourceID=14","657000")</f>
        <v>657000</v>
      </c>
      <c r="G233" s="4" t="str">
        <f>HYPERLINK("http://141.218.60.56/~jnz1568/getInfo.php?workbook=16_08.xlsx&amp;sheet=A0&amp;row=233&amp;col=7&amp;number=0&amp;sourceID=14","0")</f>
        <v>0</v>
      </c>
    </row>
    <row r="234" spans="1:7">
      <c r="A234" s="3">
        <v>16</v>
      </c>
      <c r="B234" s="3">
        <v>8</v>
      </c>
      <c r="C234" s="3">
        <v>33</v>
      </c>
      <c r="D234" s="3">
        <v>1</v>
      </c>
      <c r="E234" s="3">
        <v>51.03</v>
      </c>
      <c r="F234" s="4" t="str">
        <f>HYPERLINK("http://141.218.60.56/~jnz1568/getInfo.php?workbook=16_08.xlsx&amp;sheet=A0&amp;row=234&amp;col=6&amp;number=27040000&amp;sourceID=14","27040000")</f>
        <v>27040000</v>
      </c>
      <c r="G234" s="4" t="str">
        <f>HYPERLINK("http://141.218.60.56/~jnz1568/getInfo.php?workbook=16_08.xlsx&amp;sheet=A0&amp;row=234&amp;col=7&amp;number=0&amp;sourceID=14","0")</f>
        <v>0</v>
      </c>
    </row>
    <row r="235" spans="1:7">
      <c r="A235" s="3">
        <v>16</v>
      </c>
      <c r="B235" s="3">
        <v>8</v>
      </c>
      <c r="C235" s="3">
        <v>33</v>
      </c>
      <c r="D235" s="3">
        <v>4</v>
      </c>
      <c r="E235" s="3">
        <v>52.594</v>
      </c>
      <c r="F235" s="4" t="str">
        <f>HYPERLINK("http://141.218.60.56/~jnz1568/getInfo.php?workbook=16_08.xlsx&amp;sheet=A0&amp;row=235&amp;col=6&amp;number=196300&amp;sourceID=14","196300")</f>
        <v>196300</v>
      </c>
      <c r="G235" s="4" t="str">
        <f>HYPERLINK("http://141.218.60.56/~jnz1568/getInfo.php?workbook=16_08.xlsx&amp;sheet=A0&amp;row=235&amp;col=7&amp;number=0&amp;sourceID=14","0")</f>
        <v>0</v>
      </c>
    </row>
    <row r="236" spans="1:7">
      <c r="A236" s="3">
        <v>16</v>
      </c>
      <c r="B236" s="3">
        <v>8</v>
      </c>
      <c r="C236" s="3">
        <v>33</v>
      </c>
      <c r="D236" s="3">
        <v>15</v>
      </c>
      <c r="E236" s="3">
        <v>878.85</v>
      </c>
      <c r="F236" s="4" t="str">
        <f>HYPERLINK("http://141.218.60.56/~jnz1568/getInfo.php?workbook=16_08.xlsx&amp;sheet=A0&amp;row=236&amp;col=6&amp;number=1264000000&amp;sourceID=14","1264000000")</f>
        <v>1264000000</v>
      </c>
      <c r="G236" s="4" t="str">
        <f>HYPERLINK("http://141.218.60.56/~jnz1568/getInfo.php?workbook=16_08.xlsx&amp;sheet=A0&amp;row=236&amp;col=7&amp;number=0&amp;sourceID=14","0")</f>
        <v>0</v>
      </c>
    </row>
    <row r="237" spans="1:7">
      <c r="A237" s="3">
        <v>16</v>
      </c>
      <c r="B237" s="3">
        <v>8</v>
      </c>
      <c r="C237" s="3">
        <v>34</v>
      </c>
      <c r="D237" s="3">
        <v>1</v>
      </c>
      <c r="E237" s="3">
        <v>50.942</v>
      </c>
      <c r="F237" s="4" t="str">
        <f>HYPERLINK("http://141.218.60.56/~jnz1568/getInfo.php?workbook=16_08.xlsx&amp;sheet=A0&amp;row=237&amp;col=6&amp;number=1008000&amp;sourceID=14","1008000")</f>
        <v>1008000</v>
      </c>
      <c r="G237" s="4" t="str">
        <f>HYPERLINK("http://141.218.60.56/~jnz1568/getInfo.php?workbook=16_08.xlsx&amp;sheet=A0&amp;row=237&amp;col=7&amp;number=0&amp;sourceID=14","0")</f>
        <v>0</v>
      </c>
    </row>
    <row r="238" spans="1:7">
      <c r="A238" s="3">
        <v>16</v>
      </c>
      <c r="B238" s="3">
        <v>8</v>
      </c>
      <c r="C238" s="3">
        <v>34</v>
      </c>
      <c r="D238" s="3">
        <v>2</v>
      </c>
      <c r="E238" s="3">
        <v>51.15</v>
      </c>
      <c r="F238" s="4" t="str">
        <f>HYPERLINK("http://141.218.60.56/~jnz1568/getInfo.php?workbook=16_08.xlsx&amp;sheet=A0&amp;row=238&amp;col=6&amp;number=123600&amp;sourceID=14","123600")</f>
        <v>123600</v>
      </c>
      <c r="G238" s="4" t="str">
        <f>HYPERLINK("http://141.218.60.56/~jnz1568/getInfo.php?workbook=16_08.xlsx&amp;sheet=A0&amp;row=238&amp;col=7&amp;number=0&amp;sourceID=14","0")</f>
        <v>0</v>
      </c>
    </row>
    <row r="239" spans="1:7">
      <c r="A239" s="3">
        <v>16</v>
      </c>
      <c r="B239" s="3">
        <v>8</v>
      </c>
      <c r="C239" s="3">
        <v>34</v>
      </c>
      <c r="D239" s="3">
        <v>4</v>
      </c>
      <c r="E239" s="3">
        <v>52.501</v>
      </c>
      <c r="F239" s="4" t="str">
        <f>HYPERLINK("http://141.218.60.56/~jnz1568/getInfo.php?workbook=16_08.xlsx&amp;sheet=A0&amp;row=239&amp;col=6&amp;number=50160000&amp;sourceID=14","50160000")</f>
        <v>50160000</v>
      </c>
      <c r="G239" s="4" t="str">
        <f>HYPERLINK("http://141.218.60.56/~jnz1568/getInfo.php?workbook=16_08.xlsx&amp;sheet=A0&amp;row=239&amp;col=7&amp;number=0&amp;sourceID=14","0")</f>
        <v>0</v>
      </c>
    </row>
    <row r="240" spans="1:7">
      <c r="A240" s="3">
        <v>16</v>
      </c>
      <c r="B240" s="3">
        <v>8</v>
      </c>
      <c r="C240" s="3">
        <v>34</v>
      </c>
      <c r="D240" s="3">
        <v>6</v>
      </c>
      <c r="E240" s="3">
        <v>65.875</v>
      </c>
      <c r="F240" s="4" t="str">
        <f>HYPERLINK("http://141.218.60.56/~jnz1568/getInfo.php?workbook=16_08.xlsx&amp;sheet=A0&amp;row=240&amp;col=6&amp;number=96060000&amp;sourceID=14","96060000")</f>
        <v>96060000</v>
      </c>
      <c r="G240" s="4" t="str">
        <f>HYPERLINK("http://141.218.60.56/~jnz1568/getInfo.php?workbook=16_08.xlsx&amp;sheet=A0&amp;row=240&amp;col=7&amp;number=0&amp;sourceID=14","0")</f>
        <v>0</v>
      </c>
    </row>
    <row r="241" spans="1:7">
      <c r="A241" s="3">
        <v>16</v>
      </c>
      <c r="B241" s="3">
        <v>8</v>
      </c>
      <c r="C241" s="3">
        <v>34</v>
      </c>
      <c r="D241" s="3">
        <v>11</v>
      </c>
      <c r="E241" s="3">
        <v>483.962</v>
      </c>
      <c r="F241" s="4" t="str">
        <f>HYPERLINK("http://141.218.60.56/~jnz1568/getInfo.php?workbook=16_08.xlsx&amp;sheet=A0&amp;row=241&amp;col=6&amp;number=2942&amp;sourceID=14","2942")</f>
        <v>2942</v>
      </c>
      <c r="G241" s="4" t="str">
        <f>HYPERLINK("http://141.218.60.56/~jnz1568/getInfo.php?workbook=16_08.xlsx&amp;sheet=A0&amp;row=241&amp;col=7&amp;number=0&amp;sourceID=14","0")</f>
        <v>0</v>
      </c>
    </row>
    <row r="242" spans="1:7">
      <c r="A242" s="3">
        <v>16</v>
      </c>
      <c r="B242" s="3">
        <v>8</v>
      </c>
      <c r="C242" s="3">
        <v>34</v>
      </c>
      <c r="D242" s="3">
        <v>13</v>
      </c>
      <c r="E242" s="3">
        <v>847.113</v>
      </c>
      <c r="F242" s="4" t="str">
        <f>HYPERLINK("http://141.218.60.56/~jnz1568/getInfo.php?workbook=16_08.xlsx&amp;sheet=A0&amp;row=242&amp;col=6&amp;number=11290000&amp;sourceID=14","11290000")</f>
        <v>11290000</v>
      </c>
      <c r="G242" s="4" t="str">
        <f>HYPERLINK("http://141.218.60.56/~jnz1568/getInfo.php?workbook=16_08.xlsx&amp;sheet=A0&amp;row=242&amp;col=7&amp;number=0&amp;sourceID=14","0")</f>
        <v>0</v>
      </c>
    </row>
    <row r="243" spans="1:7">
      <c r="A243" s="3">
        <v>16</v>
      </c>
      <c r="B243" s="3">
        <v>8</v>
      </c>
      <c r="C243" s="3">
        <v>34</v>
      </c>
      <c r="D243" s="3">
        <v>15</v>
      </c>
      <c r="E243" s="3">
        <v>853.483</v>
      </c>
      <c r="F243" s="4" t="str">
        <f>HYPERLINK("http://141.218.60.56/~jnz1568/getInfo.php?workbook=16_08.xlsx&amp;sheet=A0&amp;row=243&amp;col=6&amp;number=3789000&amp;sourceID=14","3789000")</f>
        <v>3789000</v>
      </c>
      <c r="G243" s="4" t="str">
        <f>HYPERLINK("http://141.218.60.56/~jnz1568/getInfo.php?workbook=16_08.xlsx&amp;sheet=A0&amp;row=243&amp;col=7&amp;number=0&amp;sourceID=14","0")</f>
        <v>0</v>
      </c>
    </row>
    <row r="244" spans="1:7">
      <c r="A244" s="3">
        <v>16</v>
      </c>
      <c r="B244" s="3">
        <v>8</v>
      </c>
      <c r="C244" s="3">
        <v>34</v>
      </c>
      <c r="D244" s="3">
        <v>16</v>
      </c>
      <c r="E244" s="3">
        <v>958.341</v>
      </c>
      <c r="F244" s="4" t="str">
        <f>HYPERLINK("http://141.218.60.56/~jnz1568/getInfo.php?workbook=16_08.xlsx&amp;sheet=A0&amp;row=244&amp;col=6&amp;number=958800000&amp;sourceID=14","958800000")</f>
        <v>958800000</v>
      </c>
      <c r="G244" s="4" t="str">
        <f>HYPERLINK("http://141.218.60.56/~jnz1568/getInfo.php?workbook=16_08.xlsx&amp;sheet=A0&amp;row=244&amp;col=7&amp;number=0&amp;sourceID=14","0")</f>
        <v>0</v>
      </c>
    </row>
    <row r="245" spans="1:7">
      <c r="A245" s="3">
        <v>16</v>
      </c>
      <c r="B245" s="3">
        <v>8</v>
      </c>
      <c r="C245" s="3">
        <v>34</v>
      </c>
      <c r="D245" s="3">
        <v>25</v>
      </c>
      <c r="E245" s="3">
        <v>1403.588</v>
      </c>
      <c r="F245" s="4" t="str">
        <f>HYPERLINK("http://141.218.60.56/~jnz1568/getInfo.php?workbook=16_08.xlsx&amp;sheet=A0&amp;row=245&amp;col=6&amp;number=921700&amp;sourceID=14","921700")</f>
        <v>921700</v>
      </c>
      <c r="G245" s="4" t="str">
        <f>HYPERLINK("http://141.218.60.56/~jnz1568/getInfo.php?workbook=16_08.xlsx&amp;sheet=A0&amp;row=245&amp;col=7&amp;number=0&amp;sourceID=14","0")</f>
        <v>0</v>
      </c>
    </row>
    <row r="246" spans="1:7">
      <c r="A246" s="3">
        <v>16</v>
      </c>
      <c r="B246" s="3">
        <v>8</v>
      </c>
      <c r="C246" s="3">
        <v>35</v>
      </c>
      <c r="D246" s="3">
        <v>1</v>
      </c>
      <c r="E246" s="3">
        <v>-50.308</v>
      </c>
      <c r="F246" s="4" t="str">
        <f>HYPERLINK("http://141.218.60.56/~jnz1568/getInfo.php?workbook=16_08.xlsx&amp;sheet=A0&amp;row=246&amp;col=6&amp;number=15150000&amp;sourceID=14","15150000")</f>
        <v>15150000</v>
      </c>
      <c r="G246" s="4" t="str">
        <f>HYPERLINK("http://141.218.60.56/~jnz1568/getInfo.php?workbook=16_08.xlsx&amp;sheet=A0&amp;row=246&amp;col=7&amp;number=0&amp;sourceID=14","0")</f>
        <v>0</v>
      </c>
    </row>
    <row r="247" spans="1:7">
      <c r="A247" s="3">
        <v>16</v>
      </c>
      <c r="B247" s="3">
        <v>8</v>
      </c>
      <c r="C247" s="3">
        <v>35</v>
      </c>
      <c r="D247" s="3">
        <v>4</v>
      </c>
      <c r="E247" s="3">
        <v>-51.92</v>
      </c>
      <c r="F247" s="4" t="str">
        <f>HYPERLINK("http://141.218.60.56/~jnz1568/getInfo.php?workbook=16_08.xlsx&amp;sheet=A0&amp;row=247&amp;col=6&amp;number=34950&amp;sourceID=14","34950")</f>
        <v>34950</v>
      </c>
      <c r="G247" s="4" t="str">
        <f>HYPERLINK("http://141.218.60.56/~jnz1568/getInfo.php?workbook=16_08.xlsx&amp;sheet=A0&amp;row=247&amp;col=7&amp;number=0&amp;sourceID=14","0")</f>
        <v>0</v>
      </c>
    </row>
    <row r="248" spans="1:7">
      <c r="A248" s="3">
        <v>16</v>
      </c>
      <c r="B248" s="3">
        <v>8</v>
      </c>
      <c r="C248" s="3">
        <v>35</v>
      </c>
      <c r="D248" s="3">
        <v>7</v>
      </c>
      <c r="E248" s="3">
        <v>-65.571</v>
      </c>
      <c r="F248" s="4" t="str">
        <f>HYPERLINK("http://141.218.60.56/~jnz1568/getInfo.php?workbook=16_08.xlsx&amp;sheet=A0&amp;row=248&amp;col=6&amp;number=9471000000&amp;sourceID=14","9471000000")</f>
        <v>9471000000</v>
      </c>
      <c r="G248" s="4" t="str">
        <f>HYPERLINK("http://141.218.60.56/~jnz1568/getInfo.php?workbook=16_08.xlsx&amp;sheet=A0&amp;row=248&amp;col=7&amp;number=0&amp;sourceID=14","0")</f>
        <v>0</v>
      </c>
    </row>
    <row r="249" spans="1:7">
      <c r="A249" s="3">
        <v>16</v>
      </c>
      <c r="B249" s="3">
        <v>8</v>
      </c>
      <c r="C249" s="3">
        <v>35</v>
      </c>
      <c r="D249" s="3">
        <v>9</v>
      </c>
      <c r="E249" s="3">
        <v>-73.993</v>
      </c>
      <c r="F249" s="4" t="str">
        <f>HYPERLINK("http://141.218.60.56/~jnz1568/getInfo.php?workbook=16_08.xlsx&amp;sheet=A0&amp;row=249&amp;col=6&amp;number=23340000&amp;sourceID=14","23340000")</f>
        <v>23340000</v>
      </c>
      <c r="G249" s="4" t="str">
        <f>HYPERLINK("http://141.218.60.56/~jnz1568/getInfo.php?workbook=16_08.xlsx&amp;sheet=A0&amp;row=249&amp;col=7&amp;number=0&amp;sourceID=14","0")</f>
        <v>0</v>
      </c>
    </row>
    <row r="250" spans="1:7">
      <c r="A250" s="3">
        <v>16</v>
      </c>
      <c r="B250" s="3">
        <v>8</v>
      </c>
      <c r="C250" s="3">
        <v>35</v>
      </c>
      <c r="D250" s="3">
        <v>12</v>
      </c>
      <c r="E250" s="3">
        <v>-473.676</v>
      </c>
      <c r="F250" s="4" t="str">
        <f>HYPERLINK("http://141.218.60.56/~jnz1568/getInfo.php?workbook=16_08.xlsx&amp;sheet=A0&amp;row=250&amp;col=6&amp;number=823300000&amp;sourceID=14","823300000")</f>
        <v>823300000</v>
      </c>
      <c r="G250" s="4" t="str">
        <f>HYPERLINK("http://141.218.60.56/~jnz1568/getInfo.php?workbook=16_08.xlsx&amp;sheet=A0&amp;row=250&amp;col=7&amp;number=0&amp;sourceID=14","0")</f>
        <v>0</v>
      </c>
    </row>
    <row r="251" spans="1:7">
      <c r="A251" s="3">
        <v>16</v>
      </c>
      <c r="B251" s="3">
        <v>8</v>
      </c>
      <c r="C251" s="3">
        <v>35</v>
      </c>
      <c r="D251" s="3">
        <v>14</v>
      </c>
      <c r="E251" s="3">
        <v>-674.387</v>
      </c>
      <c r="F251" s="4" t="str">
        <f>HYPERLINK("http://141.218.60.56/~jnz1568/getInfo.php?workbook=16_08.xlsx&amp;sheet=A0&amp;row=251&amp;col=6&amp;number=2473000000&amp;sourceID=14","2473000000")</f>
        <v>2473000000</v>
      </c>
      <c r="G251" s="4" t="str">
        <f>HYPERLINK("http://141.218.60.56/~jnz1568/getInfo.php?workbook=16_08.xlsx&amp;sheet=A0&amp;row=251&amp;col=7&amp;number=0&amp;sourceID=14","0")</f>
        <v>0</v>
      </c>
    </row>
    <row r="252" spans="1:7">
      <c r="A252" s="3">
        <v>16</v>
      </c>
      <c r="B252" s="3">
        <v>8</v>
      </c>
      <c r="C252" s="3">
        <v>35</v>
      </c>
      <c r="D252" s="3">
        <v>24</v>
      </c>
      <c r="E252" s="3">
        <v>-933.7</v>
      </c>
      <c r="F252" s="4" t="str">
        <f>HYPERLINK("http://141.218.60.56/~jnz1568/getInfo.php?workbook=16_08.xlsx&amp;sheet=A0&amp;row=252&amp;col=6&amp;number=80840000&amp;sourceID=14","80840000")</f>
        <v>80840000</v>
      </c>
      <c r="G252" s="4" t="str">
        <f>HYPERLINK("http://141.218.60.56/~jnz1568/getInfo.php?workbook=16_08.xlsx&amp;sheet=A0&amp;row=252&amp;col=7&amp;number=0&amp;sourceID=14","0")</f>
        <v>0</v>
      </c>
    </row>
    <row r="253" spans="1:7">
      <c r="A253" s="3">
        <v>16</v>
      </c>
      <c r="B253" s="3">
        <v>8</v>
      </c>
      <c r="C253" s="3">
        <v>35</v>
      </c>
      <c r="D253" s="3">
        <v>26</v>
      </c>
      <c r="E253" s="3">
        <v>-1091.339</v>
      </c>
      <c r="F253" s="4" t="str">
        <f>HYPERLINK("http://141.218.60.56/~jnz1568/getInfo.php?workbook=16_08.xlsx&amp;sheet=A0&amp;row=253&amp;col=6&amp;number=633900&amp;sourceID=14","633900")</f>
        <v>633900</v>
      </c>
      <c r="G253" s="4" t="str">
        <f>HYPERLINK("http://141.218.60.56/~jnz1568/getInfo.php?workbook=16_08.xlsx&amp;sheet=A0&amp;row=253&amp;col=7&amp;number=0&amp;sourceID=14","0")</f>
        <v>0</v>
      </c>
    </row>
    <row r="254" spans="1:7">
      <c r="A254" s="3">
        <v>16</v>
      </c>
      <c r="B254" s="3">
        <v>8</v>
      </c>
      <c r="C254" s="3">
        <v>36</v>
      </c>
      <c r="D254" s="3">
        <v>1</v>
      </c>
      <c r="E254" s="3">
        <v>50.196</v>
      </c>
      <c r="F254" s="4" t="str">
        <f>HYPERLINK("http://141.218.60.56/~jnz1568/getInfo.php?workbook=16_08.xlsx&amp;sheet=A0&amp;row=254&amp;col=6&amp;number=8170000&amp;sourceID=14","8170000")</f>
        <v>8170000</v>
      </c>
      <c r="G254" s="4" t="str">
        <f>HYPERLINK("http://141.218.60.56/~jnz1568/getInfo.php?workbook=16_08.xlsx&amp;sheet=A0&amp;row=254&amp;col=7&amp;number=0&amp;sourceID=14","0")</f>
        <v>0</v>
      </c>
    </row>
    <row r="255" spans="1:7">
      <c r="A255" s="3">
        <v>16</v>
      </c>
      <c r="B255" s="3">
        <v>8</v>
      </c>
      <c r="C255" s="3">
        <v>36</v>
      </c>
      <c r="D255" s="3">
        <v>2</v>
      </c>
      <c r="E255" s="3">
        <v>50.398</v>
      </c>
      <c r="F255" s="4" t="str">
        <f>HYPERLINK("http://141.218.60.56/~jnz1568/getInfo.php?workbook=16_08.xlsx&amp;sheet=A0&amp;row=255&amp;col=6&amp;number=2412000&amp;sourceID=14","2412000")</f>
        <v>2412000</v>
      </c>
      <c r="G255" s="4" t="str">
        <f>HYPERLINK("http://141.218.60.56/~jnz1568/getInfo.php?workbook=16_08.xlsx&amp;sheet=A0&amp;row=255&amp;col=7&amp;number=0&amp;sourceID=14","0")</f>
        <v>0</v>
      </c>
    </row>
    <row r="256" spans="1:7">
      <c r="A256" s="3">
        <v>16</v>
      </c>
      <c r="B256" s="3">
        <v>8</v>
      </c>
      <c r="C256" s="3">
        <v>36</v>
      </c>
      <c r="D256" s="3">
        <v>4</v>
      </c>
      <c r="E256" s="3">
        <v>51.709</v>
      </c>
      <c r="F256" s="4" t="str">
        <f>HYPERLINK("http://141.218.60.56/~jnz1568/getInfo.php?workbook=16_08.xlsx&amp;sheet=A0&amp;row=256&amp;col=6&amp;number=346400&amp;sourceID=14","346400")</f>
        <v>346400</v>
      </c>
      <c r="G256" s="4" t="str">
        <f>HYPERLINK("http://141.218.60.56/~jnz1568/getInfo.php?workbook=16_08.xlsx&amp;sheet=A0&amp;row=256&amp;col=7&amp;number=0&amp;sourceID=14","0")</f>
        <v>0</v>
      </c>
    </row>
    <row r="257" spans="1:7">
      <c r="A257" s="3">
        <v>16</v>
      </c>
      <c r="B257" s="3">
        <v>8</v>
      </c>
      <c r="C257" s="3">
        <v>36</v>
      </c>
      <c r="D257" s="3">
        <v>6</v>
      </c>
      <c r="E257" s="3">
        <v>64.632</v>
      </c>
      <c r="F257" s="4" t="str">
        <f>HYPERLINK("http://141.218.60.56/~jnz1568/getInfo.php?workbook=16_08.xlsx&amp;sheet=A0&amp;row=257&amp;col=6&amp;number=290400000&amp;sourceID=14","290400000")</f>
        <v>290400000</v>
      </c>
      <c r="G257" s="4" t="str">
        <f>HYPERLINK("http://141.218.60.56/~jnz1568/getInfo.php?workbook=16_08.xlsx&amp;sheet=A0&amp;row=257&amp;col=7&amp;number=0&amp;sourceID=14","0")</f>
        <v>0</v>
      </c>
    </row>
    <row r="258" spans="1:7">
      <c r="A258" s="3">
        <v>16</v>
      </c>
      <c r="B258" s="3">
        <v>8</v>
      </c>
      <c r="C258" s="3">
        <v>36</v>
      </c>
      <c r="D258" s="3">
        <v>7</v>
      </c>
      <c r="E258" s="3">
        <v>64.926</v>
      </c>
      <c r="F258" s="4" t="str">
        <f>HYPERLINK("http://141.218.60.56/~jnz1568/getInfo.php?workbook=16_08.xlsx&amp;sheet=A0&amp;row=258&amp;col=6&amp;number=6127000000&amp;sourceID=14","6127000000")</f>
        <v>6127000000</v>
      </c>
      <c r="G258" s="4" t="str">
        <f>HYPERLINK("http://141.218.60.56/~jnz1568/getInfo.php?workbook=16_08.xlsx&amp;sheet=A0&amp;row=258&amp;col=7&amp;number=0&amp;sourceID=14","0")</f>
        <v>0</v>
      </c>
    </row>
    <row r="259" spans="1:7">
      <c r="A259" s="3">
        <v>16</v>
      </c>
      <c r="B259" s="3">
        <v>8</v>
      </c>
      <c r="C259" s="3">
        <v>36</v>
      </c>
      <c r="D259" s="3">
        <v>8</v>
      </c>
      <c r="E259" s="3">
        <v>65.091</v>
      </c>
      <c r="F259" s="4" t="str">
        <f>HYPERLINK("http://141.218.60.56/~jnz1568/getInfo.php?workbook=16_08.xlsx&amp;sheet=A0&amp;row=259&amp;col=6&amp;number=4362000000&amp;sourceID=14","4362000000")</f>
        <v>4362000000</v>
      </c>
      <c r="G259" s="4" t="str">
        <f>HYPERLINK("http://141.218.60.56/~jnz1568/getInfo.php?workbook=16_08.xlsx&amp;sheet=A0&amp;row=259&amp;col=7&amp;number=0&amp;sourceID=14","0")</f>
        <v>0</v>
      </c>
    </row>
    <row r="260" spans="1:7">
      <c r="A260" s="3">
        <v>16</v>
      </c>
      <c r="B260" s="3">
        <v>8</v>
      </c>
      <c r="C260" s="3">
        <v>36</v>
      </c>
      <c r="D260" s="3">
        <v>9</v>
      </c>
      <c r="E260" s="3">
        <v>72.667</v>
      </c>
      <c r="F260" s="4" t="str">
        <f>HYPERLINK("http://141.218.60.56/~jnz1568/getInfo.php?workbook=16_08.xlsx&amp;sheet=A0&amp;row=260&amp;col=6&amp;number=88970000&amp;sourceID=14","88970000")</f>
        <v>88970000</v>
      </c>
      <c r="G260" s="4" t="str">
        <f>HYPERLINK("http://141.218.60.56/~jnz1568/getInfo.php?workbook=16_08.xlsx&amp;sheet=A0&amp;row=260&amp;col=7&amp;number=0&amp;sourceID=14","0")</f>
        <v>0</v>
      </c>
    </row>
    <row r="261" spans="1:7">
      <c r="A261" s="3">
        <v>16</v>
      </c>
      <c r="B261" s="3">
        <v>8</v>
      </c>
      <c r="C261" s="3">
        <v>36</v>
      </c>
      <c r="D261" s="3">
        <v>11</v>
      </c>
      <c r="E261" s="3">
        <v>424.056</v>
      </c>
      <c r="F261" s="4" t="str">
        <f>HYPERLINK("http://141.218.60.56/~jnz1568/getInfo.php?workbook=16_08.xlsx&amp;sheet=A0&amp;row=261&amp;col=6&amp;number=254300&amp;sourceID=14","254300")</f>
        <v>254300</v>
      </c>
      <c r="G261" s="4" t="str">
        <f>HYPERLINK("http://141.218.60.56/~jnz1568/getInfo.php?workbook=16_08.xlsx&amp;sheet=A0&amp;row=261&amp;col=7&amp;number=0&amp;sourceID=14","0")</f>
        <v>0</v>
      </c>
    </row>
    <row r="262" spans="1:7">
      <c r="A262" s="3">
        <v>16</v>
      </c>
      <c r="B262" s="3">
        <v>8</v>
      </c>
      <c r="C262" s="3">
        <v>36</v>
      </c>
      <c r="D262" s="3">
        <v>12</v>
      </c>
      <c r="E262" s="3">
        <v>478.325</v>
      </c>
      <c r="F262" s="4" t="str">
        <f>HYPERLINK("http://141.218.60.56/~jnz1568/getInfo.php?workbook=16_08.xlsx&amp;sheet=A0&amp;row=262&amp;col=6&amp;number=661700000&amp;sourceID=14","661700000")</f>
        <v>661700000</v>
      </c>
      <c r="G262" s="4" t="str">
        <f>HYPERLINK("http://141.218.60.56/~jnz1568/getInfo.php?workbook=16_08.xlsx&amp;sheet=A0&amp;row=262&amp;col=7&amp;number=0&amp;sourceID=14","0")</f>
        <v>0</v>
      </c>
    </row>
    <row r="263" spans="1:7">
      <c r="A263" s="3">
        <v>16</v>
      </c>
      <c r="B263" s="3">
        <v>8</v>
      </c>
      <c r="C263" s="3">
        <v>36</v>
      </c>
      <c r="D263" s="3">
        <v>13</v>
      </c>
      <c r="E263" s="3">
        <v>679.172</v>
      </c>
      <c r="F263" s="4" t="str">
        <f>HYPERLINK("http://141.218.60.56/~jnz1568/getInfo.php?workbook=16_08.xlsx&amp;sheet=A0&amp;row=263&amp;col=6&amp;number=1263000000&amp;sourceID=14","1263000000")</f>
        <v>1263000000</v>
      </c>
      <c r="G263" s="4" t="str">
        <f>HYPERLINK("http://141.218.60.56/~jnz1568/getInfo.php?workbook=16_08.xlsx&amp;sheet=A0&amp;row=263&amp;col=7&amp;number=0&amp;sourceID=14","0")</f>
        <v>0</v>
      </c>
    </row>
    <row r="264" spans="1:7">
      <c r="A264" s="3">
        <v>16</v>
      </c>
      <c r="B264" s="3">
        <v>8</v>
      </c>
      <c r="C264" s="3">
        <v>36</v>
      </c>
      <c r="D264" s="3">
        <v>14</v>
      </c>
      <c r="E264" s="3">
        <v>680.226</v>
      </c>
      <c r="F264" s="4" t="str">
        <f>HYPERLINK("http://141.218.60.56/~jnz1568/getInfo.php?workbook=16_08.xlsx&amp;sheet=A0&amp;row=264&amp;col=6&amp;number=472700000&amp;sourceID=14","472700000")</f>
        <v>472700000</v>
      </c>
      <c r="G264" s="4" t="str">
        <f>HYPERLINK("http://141.218.60.56/~jnz1568/getInfo.php?workbook=16_08.xlsx&amp;sheet=A0&amp;row=264&amp;col=7&amp;number=0&amp;sourceID=14","0")</f>
        <v>0</v>
      </c>
    </row>
    <row r="265" spans="1:7">
      <c r="A265" s="3">
        <v>16</v>
      </c>
      <c r="B265" s="3">
        <v>8</v>
      </c>
      <c r="C265" s="3">
        <v>36</v>
      </c>
      <c r="D265" s="3">
        <v>16</v>
      </c>
      <c r="E265" s="3">
        <v>748.856</v>
      </c>
      <c r="F265" s="4" t="str">
        <f>HYPERLINK("http://141.218.60.56/~jnz1568/getInfo.php?workbook=16_08.xlsx&amp;sheet=A0&amp;row=265&amp;col=6&amp;number=456600&amp;sourceID=14","456600")</f>
        <v>456600</v>
      </c>
      <c r="G265" s="4" t="str">
        <f>HYPERLINK("http://141.218.60.56/~jnz1568/getInfo.php?workbook=16_08.xlsx&amp;sheet=A0&amp;row=265&amp;col=7&amp;number=0&amp;sourceID=14","0")</f>
        <v>0</v>
      </c>
    </row>
    <row r="266" spans="1:7">
      <c r="A266" s="3">
        <v>16</v>
      </c>
      <c r="B266" s="3">
        <v>8</v>
      </c>
      <c r="C266" s="3">
        <v>36</v>
      </c>
      <c r="D266" s="3">
        <v>23</v>
      </c>
      <c r="E266" s="3">
        <v>975.857</v>
      </c>
      <c r="F266" s="4" t="str">
        <f>HYPERLINK("http://141.218.60.56/~jnz1568/getInfo.php?workbook=16_08.xlsx&amp;sheet=A0&amp;row=266&amp;col=6&amp;number=100100000&amp;sourceID=14","100100000")</f>
        <v>100100000</v>
      </c>
      <c r="G266" s="4" t="str">
        <f>HYPERLINK("http://141.218.60.56/~jnz1568/getInfo.php?workbook=16_08.xlsx&amp;sheet=A0&amp;row=266&amp;col=7&amp;number=0&amp;sourceID=14","0")</f>
        <v>0</v>
      </c>
    </row>
    <row r="267" spans="1:7">
      <c r="A267" s="3">
        <v>16</v>
      </c>
      <c r="B267" s="3">
        <v>8</v>
      </c>
      <c r="C267" s="3">
        <v>36</v>
      </c>
      <c r="D267" s="3">
        <v>24</v>
      </c>
      <c r="E267" s="3">
        <v>981.152</v>
      </c>
      <c r="F267" s="4" t="str">
        <f>HYPERLINK("http://141.218.60.56/~jnz1568/getInfo.php?workbook=16_08.xlsx&amp;sheet=A0&amp;row=267&amp;col=6&amp;number=273200000&amp;sourceID=14","273200000")</f>
        <v>273200000</v>
      </c>
      <c r="G267" s="4" t="str">
        <f>HYPERLINK("http://141.218.60.56/~jnz1568/getInfo.php?workbook=16_08.xlsx&amp;sheet=A0&amp;row=267&amp;col=7&amp;number=0&amp;sourceID=14","0")</f>
        <v>0</v>
      </c>
    </row>
    <row r="268" spans="1:7">
      <c r="A268" s="3">
        <v>16</v>
      </c>
      <c r="B268" s="3">
        <v>8</v>
      </c>
      <c r="C268" s="3">
        <v>36</v>
      </c>
      <c r="D268" s="3">
        <v>25</v>
      </c>
      <c r="E268" s="3">
        <v>995.659</v>
      </c>
      <c r="F268" s="4" t="str">
        <f>HYPERLINK("http://141.218.60.56/~jnz1568/getInfo.php?workbook=16_08.xlsx&amp;sheet=A0&amp;row=268&amp;col=6&amp;number=76150000&amp;sourceID=14","76150000")</f>
        <v>76150000</v>
      </c>
      <c r="G268" s="4" t="str">
        <f>HYPERLINK("http://141.218.60.56/~jnz1568/getInfo.php?workbook=16_08.xlsx&amp;sheet=A0&amp;row=268&amp;col=7&amp;number=0&amp;sourceID=14","0")</f>
        <v>0</v>
      </c>
    </row>
    <row r="269" spans="1:7">
      <c r="A269" s="3">
        <v>16</v>
      </c>
      <c r="B269" s="3">
        <v>8</v>
      </c>
      <c r="C269" s="3">
        <v>36</v>
      </c>
      <c r="D269" s="3">
        <v>26</v>
      </c>
      <c r="E269" s="3">
        <v>1138.991</v>
      </c>
      <c r="F269" s="4" t="str">
        <f>HYPERLINK("http://141.218.60.56/~jnz1568/getInfo.php?workbook=16_08.xlsx&amp;sheet=A0&amp;row=269&amp;col=6&amp;number=2135000&amp;sourceID=14","2135000")</f>
        <v>2135000</v>
      </c>
      <c r="G269" s="4" t="str">
        <f>HYPERLINK("http://141.218.60.56/~jnz1568/getInfo.php?workbook=16_08.xlsx&amp;sheet=A0&amp;row=269&amp;col=7&amp;number=0&amp;sourceID=14","0")</f>
        <v>0</v>
      </c>
    </row>
    <row r="270" spans="1:7">
      <c r="A270" s="3">
        <v>16</v>
      </c>
      <c r="B270" s="3">
        <v>8</v>
      </c>
      <c r="C270" s="3">
        <v>37</v>
      </c>
      <c r="D270" s="3">
        <v>1</v>
      </c>
      <c r="E270" s="3">
        <v>50.235</v>
      </c>
      <c r="F270" s="4" t="str">
        <f>HYPERLINK("http://141.218.60.56/~jnz1568/getInfo.php?workbook=16_08.xlsx&amp;sheet=A0&amp;row=270&amp;col=6&amp;number=6347000&amp;sourceID=14","6347000")</f>
        <v>6347000</v>
      </c>
      <c r="G270" s="4" t="str">
        <f>HYPERLINK("http://141.218.60.56/~jnz1568/getInfo.php?workbook=16_08.xlsx&amp;sheet=A0&amp;row=270&amp;col=7&amp;number=0&amp;sourceID=14","0")</f>
        <v>0</v>
      </c>
    </row>
    <row r="271" spans="1:7">
      <c r="A271" s="3">
        <v>16</v>
      </c>
      <c r="B271" s="3">
        <v>8</v>
      </c>
      <c r="C271" s="3">
        <v>37</v>
      </c>
      <c r="D271" s="3">
        <v>2</v>
      </c>
      <c r="E271" s="3">
        <v>50.437</v>
      </c>
      <c r="F271" s="4" t="str">
        <f>HYPERLINK("http://141.218.60.56/~jnz1568/getInfo.php?workbook=16_08.xlsx&amp;sheet=A0&amp;row=271&amp;col=6&amp;number=5072000&amp;sourceID=14","5072000")</f>
        <v>5072000</v>
      </c>
      <c r="G271" s="4" t="str">
        <f>HYPERLINK("http://141.218.60.56/~jnz1568/getInfo.php?workbook=16_08.xlsx&amp;sheet=A0&amp;row=271&amp;col=7&amp;number=0&amp;sourceID=14","0")</f>
        <v>0</v>
      </c>
    </row>
    <row r="272" spans="1:7">
      <c r="A272" s="3">
        <v>16</v>
      </c>
      <c r="B272" s="3">
        <v>8</v>
      </c>
      <c r="C272" s="3">
        <v>37</v>
      </c>
      <c r="D272" s="3">
        <v>3</v>
      </c>
      <c r="E272" s="3">
        <v>50.505</v>
      </c>
      <c r="F272" s="4" t="str">
        <f>HYPERLINK("http://141.218.60.56/~jnz1568/getInfo.php?workbook=16_08.xlsx&amp;sheet=A0&amp;row=272&amp;col=6&amp;number=999200&amp;sourceID=14","999200")</f>
        <v>999200</v>
      </c>
      <c r="G272" s="4" t="str">
        <f>HYPERLINK("http://141.218.60.56/~jnz1568/getInfo.php?workbook=16_08.xlsx&amp;sheet=A0&amp;row=272&amp;col=7&amp;number=0&amp;sourceID=14","0")</f>
        <v>0</v>
      </c>
    </row>
    <row r="273" spans="1:7">
      <c r="A273" s="3">
        <v>16</v>
      </c>
      <c r="B273" s="3">
        <v>8</v>
      </c>
      <c r="C273" s="3">
        <v>37</v>
      </c>
      <c r="D273" s="3">
        <v>4</v>
      </c>
      <c r="E273" s="3">
        <v>51.75</v>
      </c>
      <c r="F273" s="4" t="str">
        <f>HYPERLINK("http://141.218.60.56/~jnz1568/getInfo.php?workbook=16_08.xlsx&amp;sheet=A0&amp;row=273&amp;col=6&amp;number=1651000&amp;sourceID=14","1651000")</f>
        <v>1651000</v>
      </c>
      <c r="G273" s="4" t="str">
        <f>HYPERLINK("http://141.218.60.56/~jnz1568/getInfo.php?workbook=16_08.xlsx&amp;sheet=A0&amp;row=273&amp;col=7&amp;number=0&amp;sourceID=14","0")</f>
        <v>0</v>
      </c>
    </row>
    <row r="274" spans="1:7">
      <c r="A274" s="3">
        <v>16</v>
      </c>
      <c r="B274" s="3">
        <v>8</v>
      </c>
      <c r="C274" s="3">
        <v>37</v>
      </c>
      <c r="D274" s="3">
        <v>5</v>
      </c>
      <c r="E274" s="3">
        <v>53.535</v>
      </c>
      <c r="F274" s="4" t="str">
        <f>HYPERLINK("http://141.218.60.56/~jnz1568/getInfo.php?workbook=16_08.xlsx&amp;sheet=A0&amp;row=274&amp;col=6&amp;number=914900&amp;sourceID=14","914900")</f>
        <v>914900</v>
      </c>
      <c r="G274" s="4" t="str">
        <f>HYPERLINK("http://141.218.60.56/~jnz1568/getInfo.php?workbook=16_08.xlsx&amp;sheet=A0&amp;row=274&amp;col=7&amp;number=0&amp;sourceID=14","0")</f>
        <v>0</v>
      </c>
    </row>
    <row r="275" spans="1:7">
      <c r="A275" s="3">
        <v>16</v>
      </c>
      <c r="B275" s="3">
        <v>8</v>
      </c>
      <c r="C275" s="3">
        <v>37</v>
      </c>
      <c r="D275" s="3">
        <v>6</v>
      </c>
      <c r="E275" s="3">
        <v>64.697</v>
      </c>
      <c r="F275" s="4" t="str">
        <f>HYPERLINK("http://141.218.60.56/~jnz1568/getInfo.php?workbook=16_08.xlsx&amp;sheet=A0&amp;row=275&amp;col=6&amp;number=10490000000&amp;sourceID=14","10490000000")</f>
        <v>10490000000</v>
      </c>
      <c r="G275" s="4" t="str">
        <f>HYPERLINK("http://141.218.60.56/~jnz1568/getInfo.php?workbook=16_08.xlsx&amp;sheet=A0&amp;row=275&amp;col=7&amp;number=0&amp;sourceID=14","0")</f>
        <v>0</v>
      </c>
    </row>
    <row r="276" spans="1:7">
      <c r="A276" s="3">
        <v>16</v>
      </c>
      <c r="B276" s="3">
        <v>8</v>
      </c>
      <c r="C276" s="3">
        <v>37</v>
      </c>
      <c r="D276" s="3">
        <v>7</v>
      </c>
      <c r="E276" s="3">
        <v>64.992</v>
      </c>
      <c r="F276" s="4" t="str">
        <f>HYPERLINK("http://141.218.60.56/~jnz1568/getInfo.php?workbook=16_08.xlsx&amp;sheet=A0&amp;row=276&amp;col=6&amp;number=1943000000&amp;sourceID=14","1943000000")</f>
        <v>1943000000</v>
      </c>
      <c r="G276" s="4" t="str">
        <f>HYPERLINK("http://141.218.60.56/~jnz1568/getInfo.php?workbook=16_08.xlsx&amp;sheet=A0&amp;row=276&amp;col=7&amp;number=0&amp;sourceID=14","0")</f>
        <v>0</v>
      </c>
    </row>
    <row r="277" spans="1:7">
      <c r="A277" s="3">
        <v>16</v>
      </c>
      <c r="B277" s="3">
        <v>8</v>
      </c>
      <c r="C277" s="3">
        <v>37</v>
      </c>
      <c r="D277" s="3">
        <v>9</v>
      </c>
      <c r="E277" s="3">
        <v>72.749</v>
      </c>
      <c r="F277" s="4" t="str">
        <f>HYPERLINK("http://141.218.60.56/~jnz1568/getInfo.php?workbook=16_08.xlsx&amp;sheet=A0&amp;row=277&amp;col=6&amp;number=183600000&amp;sourceID=14","183600000")</f>
        <v>183600000</v>
      </c>
      <c r="G277" s="4" t="str">
        <f>HYPERLINK("http://141.218.60.56/~jnz1568/getInfo.php?workbook=16_08.xlsx&amp;sheet=A0&amp;row=277&amp;col=7&amp;number=0&amp;sourceID=14","0")</f>
        <v>0</v>
      </c>
    </row>
    <row r="278" spans="1:7">
      <c r="A278" s="3">
        <v>16</v>
      </c>
      <c r="B278" s="3">
        <v>8</v>
      </c>
      <c r="C278" s="3">
        <v>37</v>
      </c>
      <c r="D278" s="3">
        <v>11</v>
      </c>
      <c r="E278" s="3">
        <v>426.872</v>
      </c>
      <c r="F278" s="4" t="str">
        <f>HYPERLINK("http://141.218.60.56/~jnz1568/getInfo.php?workbook=16_08.xlsx&amp;sheet=A0&amp;row=278&amp;col=6&amp;number=38500&amp;sourceID=14","38500")</f>
        <v>38500</v>
      </c>
      <c r="G278" s="4" t="str">
        <f>HYPERLINK("http://141.218.60.56/~jnz1568/getInfo.php?workbook=16_08.xlsx&amp;sheet=A0&amp;row=278&amp;col=7&amp;number=0&amp;sourceID=14","0")</f>
        <v>0</v>
      </c>
    </row>
    <row r="279" spans="1:7">
      <c r="A279" s="3">
        <v>16</v>
      </c>
      <c r="B279" s="3">
        <v>8</v>
      </c>
      <c r="C279" s="3">
        <v>37</v>
      </c>
      <c r="D279" s="3">
        <v>12</v>
      </c>
      <c r="E279" s="3">
        <v>481.911</v>
      </c>
      <c r="F279" s="4" t="str">
        <f>HYPERLINK("http://141.218.60.56/~jnz1568/getInfo.php?workbook=16_08.xlsx&amp;sheet=A0&amp;row=279&amp;col=6&amp;number=1315000000&amp;sourceID=14","1315000000")</f>
        <v>1315000000</v>
      </c>
      <c r="G279" s="4" t="str">
        <f>HYPERLINK("http://141.218.60.56/~jnz1568/getInfo.php?workbook=16_08.xlsx&amp;sheet=A0&amp;row=279&amp;col=7&amp;number=0&amp;sourceID=14","0")</f>
        <v>0</v>
      </c>
    </row>
    <row r="280" spans="1:7">
      <c r="A280" s="3">
        <v>16</v>
      </c>
      <c r="B280" s="3">
        <v>8</v>
      </c>
      <c r="C280" s="3">
        <v>37</v>
      </c>
      <c r="D280" s="3">
        <v>13</v>
      </c>
      <c r="E280" s="3">
        <v>686.427</v>
      </c>
      <c r="F280" s="4" t="str">
        <f>HYPERLINK("http://141.218.60.56/~jnz1568/getInfo.php?workbook=16_08.xlsx&amp;sheet=A0&amp;row=280&amp;col=6&amp;number=452600000&amp;sourceID=14","452600000")</f>
        <v>452600000</v>
      </c>
      <c r="G280" s="4" t="str">
        <f>HYPERLINK("http://141.218.60.56/~jnz1568/getInfo.php?workbook=16_08.xlsx&amp;sheet=A0&amp;row=280&amp;col=7&amp;number=0&amp;sourceID=14","0")</f>
        <v>0</v>
      </c>
    </row>
    <row r="281" spans="1:7">
      <c r="A281" s="3">
        <v>16</v>
      </c>
      <c r="B281" s="3">
        <v>8</v>
      </c>
      <c r="C281" s="3">
        <v>37</v>
      </c>
      <c r="D281" s="3">
        <v>14</v>
      </c>
      <c r="E281" s="3">
        <v>687.503</v>
      </c>
      <c r="F281" s="4" t="str">
        <f>HYPERLINK("http://141.218.60.56/~jnz1568/getInfo.php?workbook=16_08.xlsx&amp;sheet=A0&amp;row=281&amp;col=6&amp;number=24850000&amp;sourceID=14","24850000")</f>
        <v>24850000</v>
      </c>
      <c r="G281" s="4" t="str">
        <f>HYPERLINK("http://141.218.60.56/~jnz1568/getInfo.php?workbook=16_08.xlsx&amp;sheet=A0&amp;row=281&amp;col=7&amp;number=0&amp;sourceID=14","0")</f>
        <v>0</v>
      </c>
    </row>
    <row r="282" spans="1:7">
      <c r="A282" s="3">
        <v>16</v>
      </c>
      <c r="B282" s="3">
        <v>8</v>
      </c>
      <c r="C282" s="3">
        <v>37</v>
      </c>
      <c r="D282" s="3">
        <v>15</v>
      </c>
      <c r="E282" s="3">
        <v>690.603</v>
      </c>
      <c r="F282" s="4" t="str">
        <f>HYPERLINK("http://141.218.60.56/~jnz1568/getInfo.php?workbook=16_08.xlsx&amp;sheet=A0&amp;row=282&amp;col=6&amp;number=1935000000&amp;sourceID=14","1935000000")</f>
        <v>1935000000</v>
      </c>
      <c r="G282" s="4" t="str">
        <f>HYPERLINK("http://141.218.60.56/~jnz1568/getInfo.php?workbook=16_08.xlsx&amp;sheet=A0&amp;row=282&amp;col=7&amp;number=0&amp;sourceID=14","0")</f>
        <v>0</v>
      </c>
    </row>
    <row r="283" spans="1:7">
      <c r="A283" s="3">
        <v>16</v>
      </c>
      <c r="B283" s="3">
        <v>8</v>
      </c>
      <c r="C283" s="3">
        <v>37</v>
      </c>
      <c r="D283" s="3">
        <v>16</v>
      </c>
      <c r="E283" s="3">
        <v>757.685</v>
      </c>
      <c r="F283" s="4" t="str">
        <f>HYPERLINK("http://141.218.60.56/~jnz1568/getInfo.php?workbook=16_08.xlsx&amp;sheet=A0&amp;row=283&amp;col=6&amp;number=76230000&amp;sourceID=14","76230000")</f>
        <v>76230000</v>
      </c>
      <c r="G283" s="4" t="str">
        <f>HYPERLINK("http://141.218.60.56/~jnz1568/getInfo.php?workbook=16_08.xlsx&amp;sheet=A0&amp;row=283&amp;col=7&amp;number=0&amp;sourceID=14","0")</f>
        <v>0</v>
      </c>
    </row>
    <row r="284" spans="1:7">
      <c r="A284" s="3">
        <v>16</v>
      </c>
      <c r="B284" s="3">
        <v>8</v>
      </c>
      <c r="C284" s="3">
        <v>37</v>
      </c>
      <c r="D284" s="3">
        <v>17</v>
      </c>
      <c r="E284" s="3">
        <v>814.173</v>
      </c>
      <c r="F284" s="4" t="str">
        <f>HYPERLINK("http://141.218.60.56/~jnz1568/getInfo.php?workbook=16_08.xlsx&amp;sheet=A0&amp;row=284&amp;col=6&amp;number=1.303&amp;sourceID=14","1.303")</f>
        <v>1.303</v>
      </c>
      <c r="G284" s="4" t="str">
        <f>HYPERLINK("http://141.218.60.56/~jnz1568/getInfo.php?workbook=16_08.xlsx&amp;sheet=A0&amp;row=284&amp;col=7&amp;number=0&amp;sourceID=14","0")</f>
        <v>0</v>
      </c>
    </row>
    <row r="285" spans="1:7">
      <c r="A285" s="3">
        <v>16</v>
      </c>
      <c r="B285" s="3">
        <v>8</v>
      </c>
      <c r="C285" s="3">
        <v>37</v>
      </c>
      <c r="D285" s="3">
        <v>24</v>
      </c>
      <c r="E285" s="3">
        <v>996.363</v>
      </c>
      <c r="F285" s="4" t="str">
        <f>HYPERLINK("http://141.218.60.56/~jnz1568/getInfo.php?workbook=16_08.xlsx&amp;sheet=A0&amp;row=285&amp;col=6&amp;number=9005000&amp;sourceID=14","9005000")</f>
        <v>9005000</v>
      </c>
      <c r="G285" s="4" t="str">
        <f>HYPERLINK("http://141.218.60.56/~jnz1568/getInfo.php?workbook=16_08.xlsx&amp;sheet=A0&amp;row=285&amp;col=7&amp;number=0&amp;sourceID=14","0")</f>
        <v>0</v>
      </c>
    </row>
    <row r="286" spans="1:7">
      <c r="A286" s="3">
        <v>16</v>
      </c>
      <c r="B286" s="3">
        <v>8</v>
      </c>
      <c r="C286" s="3">
        <v>37</v>
      </c>
      <c r="D286" s="3">
        <v>25</v>
      </c>
      <c r="E286" s="3">
        <v>1011.327</v>
      </c>
      <c r="F286" s="4" t="str">
        <f>HYPERLINK("http://141.218.60.56/~jnz1568/getInfo.php?workbook=16_08.xlsx&amp;sheet=A0&amp;row=286&amp;col=6&amp;number=38260000&amp;sourceID=14","38260000")</f>
        <v>38260000</v>
      </c>
      <c r="G286" s="4" t="str">
        <f>HYPERLINK("http://141.218.60.56/~jnz1568/getInfo.php?workbook=16_08.xlsx&amp;sheet=A0&amp;row=286&amp;col=7&amp;number=0&amp;sourceID=14","0")</f>
        <v>0</v>
      </c>
    </row>
    <row r="287" spans="1:7">
      <c r="A287" s="3">
        <v>16</v>
      </c>
      <c r="B287" s="3">
        <v>8</v>
      </c>
      <c r="C287" s="3">
        <v>37</v>
      </c>
      <c r="D287" s="3">
        <v>26</v>
      </c>
      <c r="E287" s="3">
        <v>1159.541</v>
      </c>
      <c r="F287" s="4" t="str">
        <f>HYPERLINK("http://141.218.60.56/~jnz1568/getInfo.php?workbook=16_08.xlsx&amp;sheet=A0&amp;row=287&amp;col=6&amp;number=18750000&amp;sourceID=14","18750000")</f>
        <v>18750000</v>
      </c>
      <c r="G287" s="4" t="str">
        <f>HYPERLINK("http://141.218.60.56/~jnz1568/getInfo.php?workbook=16_08.xlsx&amp;sheet=A0&amp;row=287&amp;col=7&amp;number=0&amp;sourceID=14","0")</f>
        <v>0</v>
      </c>
    </row>
    <row r="288" spans="1:7">
      <c r="A288" s="3">
        <v>16</v>
      </c>
      <c r="B288" s="3">
        <v>8</v>
      </c>
      <c r="C288" s="3">
        <v>38</v>
      </c>
      <c r="D288" s="3">
        <v>1</v>
      </c>
      <c r="E288" s="3">
        <v>49.763</v>
      </c>
      <c r="F288" s="4" t="str">
        <f>HYPERLINK("http://141.218.60.56/~jnz1568/getInfo.php?workbook=16_08.xlsx&amp;sheet=A0&amp;row=288&amp;col=6&amp;number=1390&amp;sourceID=14","1390")</f>
        <v>1390</v>
      </c>
      <c r="G288" s="4" t="str">
        <f>HYPERLINK("http://141.218.60.56/~jnz1568/getInfo.php?workbook=16_08.xlsx&amp;sheet=A0&amp;row=288&amp;col=7&amp;number=0&amp;sourceID=14","0")</f>
        <v>0</v>
      </c>
    </row>
    <row r="289" spans="1:7">
      <c r="A289" s="3">
        <v>16</v>
      </c>
      <c r="B289" s="3">
        <v>8</v>
      </c>
      <c r="C289" s="3">
        <v>38</v>
      </c>
      <c r="D289" s="3">
        <v>2</v>
      </c>
      <c r="E289" s="3">
        <v>49.961</v>
      </c>
      <c r="F289" s="4" t="str">
        <f>HYPERLINK("http://141.218.60.56/~jnz1568/getInfo.php?workbook=16_08.xlsx&amp;sheet=A0&amp;row=289&amp;col=6&amp;number=1231000000&amp;sourceID=14","1231000000")</f>
        <v>1231000000</v>
      </c>
      <c r="G289" s="4" t="str">
        <f>HYPERLINK("http://141.218.60.56/~jnz1568/getInfo.php?workbook=16_08.xlsx&amp;sheet=A0&amp;row=289&amp;col=7&amp;number=0&amp;sourceID=14","0")</f>
        <v>0</v>
      </c>
    </row>
    <row r="290" spans="1:7">
      <c r="A290" s="3">
        <v>16</v>
      </c>
      <c r="B290" s="3">
        <v>8</v>
      </c>
      <c r="C290" s="3">
        <v>38</v>
      </c>
      <c r="D290" s="3">
        <v>6</v>
      </c>
      <c r="E290" s="3">
        <v>63.916</v>
      </c>
      <c r="F290" s="4" t="str">
        <f>HYPERLINK("http://141.218.60.56/~jnz1568/getInfo.php?workbook=16_08.xlsx&amp;sheet=A0&amp;row=290&amp;col=6&amp;number=4875&amp;sourceID=14","4875")</f>
        <v>4875</v>
      </c>
      <c r="G290" s="4" t="str">
        <f>HYPERLINK("http://141.218.60.56/~jnz1568/getInfo.php?workbook=16_08.xlsx&amp;sheet=A0&amp;row=290&amp;col=7&amp;number=0&amp;sourceID=14","0")</f>
        <v>0</v>
      </c>
    </row>
    <row r="291" spans="1:7">
      <c r="A291" s="3">
        <v>16</v>
      </c>
      <c r="B291" s="3">
        <v>8</v>
      </c>
      <c r="C291" s="3">
        <v>38</v>
      </c>
      <c r="D291" s="3">
        <v>11</v>
      </c>
      <c r="E291" s="3">
        <v>395.021</v>
      </c>
      <c r="F291" s="4" t="str">
        <f>HYPERLINK("http://141.218.60.56/~jnz1568/getInfo.php?workbook=16_08.xlsx&amp;sheet=A0&amp;row=291&amp;col=6&amp;number=44250&amp;sourceID=14","44250")</f>
        <v>44250</v>
      </c>
      <c r="G291" s="4" t="str">
        <f>HYPERLINK("http://141.218.60.56/~jnz1568/getInfo.php?workbook=16_08.xlsx&amp;sheet=A0&amp;row=291&amp;col=7&amp;number=0&amp;sourceID=14","0")</f>
        <v>0</v>
      </c>
    </row>
    <row r="292" spans="1:7">
      <c r="A292" s="3">
        <v>16</v>
      </c>
      <c r="B292" s="3">
        <v>8</v>
      </c>
      <c r="C292" s="3">
        <v>38</v>
      </c>
      <c r="D292" s="3">
        <v>17</v>
      </c>
      <c r="E292" s="3">
        <v>705.652</v>
      </c>
      <c r="F292" s="4" t="str">
        <f>HYPERLINK("http://141.218.60.56/~jnz1568/getInfo.php?workbook=16_08.xlsx&amp;sheet=A0&amp;row=292&amp;col=6&amp;number=2363000000&amp;sourceID=14","2363000000")</f>
        <v>2363000000</v>
      </c>
      <c r="G292" s="4" t="str">
        <f>HYPERLINK("http://141.218.60.56/~jnz1568/getInfo.php?workbook=16_08.xlsx&amp;sheet=A0&amp;row=292&amp;col=7&amp;number=0&amp;sourceID=14","0")</f>
        <v>0</v>
      </c>
    </row>
    <row r="293" spans="1:7">
      <c r="A293" s="3">
        <v>16</v>
      </c>
      <c r="B293" s="3">
        <v>8</v>
      </c>
      <c r="C293" s="3">
        <v>38</v>
      </c>
      <c r="D293" s="3">
        <v>20</v>
      </c>
      <c r="E293" s="3">
        <v>856.553</v>
      </c>
      <c r="F293" s="4" t="str">
        <f>HYPERLINK("http://141.218.60.56/~jnz1568/getInfo.php?workbook=16_08.xlsx&amp;sheet=A0&amp;row=293&amp;col=6&amp;number=2909000&amp;sourceID=14","2909000")</f>
        <v>2909000</v>
      </c>
      <c r="G293" s="4" t="str">
        <f>HYPERLINK("http://141.218.60.56/~jnz1568/getInfo.php?workbook=16_08.xlsx&amp;sheet=A0&amp;row=293&amp;col=7&amp;number=0&amp;sourceID=14","0")</f>
        <v>0</v>
      </c>
    </row>
    <row r="294" spans="1:7">
      <c r="A294" s="3">
        <v>16</v>
      </c>
      <c r="B294" s="3">
        <v>8</v>
      </c>
      <c r="C294" s="3">
        <v>39</v>
      </c>
      <c r="D294" s="3">
        <v>1</v>
      </c>
      <c r="E294" s="3">
        <v>49.763</v>
      </c>
      <c r="F294" s="4" t="str">
        <f>HYPERLINK("http://141.218.60.56/~jnz1568/getInfo.php?workbook=16_08.xlsx&amp;sheet=A0&amp;row=294&amp;col=6&amp;number=551300000&amp;sourceID=14","551300000")</f>
        <v>551300000</v>
      </c>
      <c r="G294" s="4" t="str">
        <f>HYPERLINK("http://141.218.60.56/~jnz1568/getInfo.php?workbook=16_08.xlsx&amp;sheet=A0&amp;row=294&amp;col=7&amp;number=0&amp;sourceID=14","0")</f>
        <v>0</v>
      </c>
    </row>
    <row r="295" spans="1:7">
      <c r="A295" s="3">
        <v>16</v>
      </c>
      <c r="B295" s="3">
        <v>8</v>
      </c>
      <c r="C295" s="3">
        <v>39</v>
      </c>
      <c r="D295" s="3">
        <v>2</v>
      </c>
      <c r="E295" s="3">
        <v>49.961</v>
      </c>
      <c r="F295" s="4" t="str">
        <f>HYPERLINK("http://141.218.60.56/~jnz1568/getInfo.php?workbook=16_08.xlsx&amp;sheet=A0&amp;row=295&amp;col=6&amp;number=333300000&amp;sourceID=14","333300000")</f>
        <v>333300000</v>
      </c>
      <c r="G295" s="4" t="str">
        <f>HYPERLINK("http://141.218.60.56/~jnz1568/getInfo.php?workbook=16_08.xlsx&amp;sheet=A0&amp;row=295&amp;col=7&amp;number=0&amp;sourceID=14","0")</f>
        <v>0</v>
      </c>
    </row>
    <row r="296" spans="1:7">
      <c r="A296" s="3">
        <v>16</v>
      </c>
      <c r="B296" s="3">
        <v>8</v>
      </c>
      <c r="C296" s="3">
        <v>39</v>
      </c>
      <c r="D296" s="3">
        <v>3</v>
      </c>
      <c r="E296" s="3">
        <v>50.028</v>
      </c>
      <c r="F296" s="4" t="str">
        <f>HYPERLINK("http://141.218.60.56/~jnz1568/getInfo.php?workbook=16_08.xlsx&amp;sheet=A0&amp;row=296&amp;col=6&amp;number=197900000&amp;sourceID=14","197900000")</f>
        <v>197900000</v>
      </c>
      <c r="G296" s="4" t="str">
        <f>HYPERLINK("http://141.218.60.56/~jnz1568/getInfo.php?workbook=16_08.xlsx&amp;sheet=A0&amp;row=296&amp;col=7&amp;number=0&amp;sourceID=14","0")</f>
        <v>0</v>
      </c>
    </row>
    <row r="297" spans="1:7">
      <c r="A297" s="3">
        <v>16</v>
      </c>
      <c r="B297" s="3">
        <v>8</v>
      </c>
      <c r="C297" s="3">
        <v>39</v>
      </c>
      <c r="D297" s="3">
        <v>4</v>
      </c>
      <c r="E297" s="3">
        <v>51.249</v>
      </c>
      <c r="F297" s="4" t="str">
        <f>HYPERLINK("http://141.218.60.56/~jnz1568/getInfo.php?workbook=16_08.xlsx&amp;sheet=A0&amp;row=297&amp;col=6&amp;number=186900&amp;sourceID=14","186900")</f>
        <v>186900</v>
      </c>
      <c r="G297" s="4" t="str">
        <f>HYPERLINK("http://141.218.60.56/~jnz1568/getInfo.php?workbook=16_08.xlsx&amp;sheet=A0&amp;row=297&amp;col=7&amp;number=0&amp;sourceID=14","0")</f>
        <v>0</v>
      </c>
    </row>
    <row r="298" spans="1:7">
      <c r="A298" s="3">
        <v>16</v>
      </c>
      <c r="B298" s="3">
        <v>8</v>
      </c>
      <c r="C298" s="3">
        <v>39</v>
      </c>
      <c r="D298" s="3">
        <v>5</v>
      </c>
      <c r="E298" s="3">
        <v>52.999</v>
      </c>
      <c r="F298" s="4" t="str">
        <f>HYPERLINK("http://141.218.60.56/~jnz1568/getInfo.php?workbook=16_08.xlsx&amp;sheet=A0&amp;row=298&amp;col=6&amp;number=30420&amp;sourceID=14","30420")</f>
        <v>30420</v>
      </c>
      <c r="G298" s="4" t="str">
        <f>HYPERLINK("http://141.218.60.56/~jnz1568/getInfo.php?workbook=16_08.xlsx&amp;sheet=A0&amp;row=298&amp;col=7&amp;number=0&amp;sourceID=14","0")</f>
        <v>0</v>
      </c>
    </row>
    <row r="299" spans="1:7">
      <c r="A299" s="3">
        <v>16</v>
      </c>
      <c r="B299" s="3">
        <v>8</v>
      </c>
      <c r="C299" s="3">
        <v>39</v>
      </c>
      <c r="D299" s="3">
        <v>6</v>
      </c>
      <c r="E299" s="3">
        <v>63.916</v>
      </c>
      <c r="F299" s="4" t="str">
        <f>HYPERLINK("http://141.218.60.56/~jnz1568/getInfo.php?workbook=16_08.xlsx&amp;sheet=A0&amp;row=299&amp;col=6&amp;number=3054&amp;sourceID=14","3054")</f>
        <v>3054</v>
      </c>
      <c r="G299" s="4" t="str">
        <f>HYPERLINK("http://141.218.60.56/~jnz1568/getInfo.php?workbook=16_08.xlsx&amp;sheet=A0&amp;row=299&amp;col=7&amp;number=0&amp;sourceID=14","0")</f>
        <v>0</v>
      </c>
    </row>
    <row r="300" spans="1:7">
      <c r="A300" s="3">
        <v>16</v>
      </c>
      <c r="B300" s="3">
        <v>8</v>
      </c>
      <c r="C300" s="3">
        <v>39</v>
      </c>
      <c r="D300" s="3">
        <v>11</v>
      </c>
      <c r="E300" s="3">
        <v>395.021</v>
      </c>
      <c r="F300" s="4" t="str">
        <f>HYPERLINK("http://141.218.60.56/~jnz1568/getInfo.php?workbook=16_08.xlsx&amp;sheet=A0&amp;row=300&amp;col=6&amp;number=44240&amp;sourceID=14","44240")</f>
        <v>44240</v>
      </c>
      <c r="G300" s="4" t="str">
        <f>HYPERLINK("http://141.218.60.56/~jnz1568/getInfo.php?workbook=16_08.xlsx&amp;sheet=A0&amp;row=300&amp;col=7&amp;number=0&amp;sourceID=14","0")</f>
        <v>0</v>
      </c>
    </row>
    <row r="301" spans="1:7">
      <c r="A301" s="3">
        <v>16</v>
      </c>
      <c r="B301" s="3">
        <v>8</v>
      </c>
      <c r="C301" s="3">
        <v>39</v>
      </c>
      <c r="D301" s="3">
        <v>17</v>
      </c>
      <c r="E301" s="3">
        <v>705.652</v>
      </c>
      <c r="F301" s="4" t="str">
        <f>HYPERLINK("http://141.218.60.56/~jnz1568/getInfo.php?workbook=16_08.xlsx&amp;sheet=A0&amp;row=301&amp;col=6&amp;number=1773000000&amp;sourceID=14","1773000000")</f>
        <v>1773000000</v>
      </c>
      <c r="G301" s="4" t="str">
        <f>HYPERLINK("http://141.218.60.56/~jnz1568/getInfo.php?workbook=16_08.xlsx&amp;sheet=A0&amp;row=301&amp;col=7&amp;number=0&amp;sourceID=14","0")</f>
        <v>0</v>
      </c>
    </row>
    <row r="302" spans="1:7">
      <c r="A302" s="3">
        <v>16</v>
      </c>
      <c r="B302" s="3">
        <v>8</v>
      </c>
      <c r="C302" s="3">
        <v>39</v>
      </c>
      <c r="D302" s="3">
        <v>18</v>
      </c>
      <c r="E302" s="3">
        <v>708.798</v>
      </c>
      <c r="F302" s="4" t="str">
        <f>HYPERLINK("http://141.218.60.56/~jnz1568/getInfo.php?workbook=16_08.xlsx&amp;sheet=A0&amp;row=302&amp;col=6&amp;number=582100000&amp;sourceID=14","582100000")</f>
        <v>582100000</v>
      </c>
      <c r="G302" s="4" t="str">
        <f>HYPERLINK("http://141.218.60.56/~jnz1568/getInfo.php?workbook=16_08.xlsx&amp;sheet=A0&amp;row=302&amp;col=7&amp;number=0&amp;sourceID=14","0")</f>
        <v>0</v>
      </c>
    </row>
    <row r="303" spans="1:7">
      <c r="A303" s="3">
        <v>16</v>
      </c>
      <c r="B303" s="3">
        <v>8</v>
      </c>
      <c r="C303" s="3">
        <v>39</v>
      </c>
      <c r="D303" s="3">
        <v>20</v>
      </c>
      <c r="E303" s="3">
        <v>856.553</v>
      </c>
      <c r="F303" s="4" t="str">
        <f>HYPERLINK("http://141.218.60.56/~jnz1568/getInfo.php?workbook=16_08.xlsx&amp;sheet=A0&amp;row=303&amp;col=6&amp;number=1261000&amp;sourceID=14","1261000")</f>
        <v>1261000</v>
      </c>
      <c r="G303" s="4" t="str">
        <f>HYPERLINK("http://141.218.60.56/~jnz1568/getInfo.php?workbook=16_08.xlsx&amp;sheet=A0&amp;row=303&amp;col=7&amp;number=0&amp;sourceID=14","0")</f>
        <v>0</v>
      </c>
    </row>
    <row r="304" spans="1:7">
      <c r="A304" s="3">
        <v>16</v>
      </c>
      <c r="B304" s="3">
        <v>8</v>
      </c>
      <c r="C304" s="3">
        <v>39</v>
      </c>
      <c r="D304" s="3">
        <v>21</v>
      </c>
      <c r="E304" s="3">
        <v>859.313</v>
      </c>
      <c r="F304" s="4" t="str">
        <f>HYPERLINK("http://141.218.60.56/~jnz1568/getInfo.php?workbook=16_08.xlsx&amp;sheet=A0&amp;row=304&amp;col=6&amp;number=1397000&amp;sourceID=14","1397000")</f>
        <v>1397000</v>
      </c>
      <c r="G304" s="4" t="str">
        <f>HYPERLINK("http://141.218.60.56/~jnz1568/getInfo.php?workbook=16_08.xlsx&amp;sheet=A0&amp;row=304&amp;col=7&amp;number=0&amp;sourceID=14","0")</f>
        <v>0</v>
      </c>
    </row>
    <row r="305" spans="1:7">
      <c r="A305" s="3">
        <v>16</v>
      </c>
      <c r="B305" s="3">
        <v>8</v>
      </c>
      <c r="C305" s="3">
        <v>39</v>
      </c>
      <c r="D305" s="3">
        <v>22</v>
      </c>
      <c r="E305" s="3">
        <v>-879.922</v>
      </c>
      <c r="F305" s="4" t="str">
        <f>HYPERLINK("http://141.218.60.56/~jnz1568/getInfo.php?workbook=16_08.xlsx&amp;sheet=A0&amp;row=305&amp;col=6&amp;number=162900&amp;sourceID=14","162900")</f>
        <v>162900</v>
      </c>
      <c r="G305" s="4" t="str">
        <f>HYPERLINK("http://141.218.60.56/~jnz1568/getInfo.php?workbook=16_08.xlsx&amp;sheet=A0&amp;row=305&amp;col=7&amp;number=0&amp;sourceID=14","0")</f>
        <v>0</v>
      </c>
    </row>
    <row r="306" spans="1:7">
      <c r="A306" s="3">
        <v>16</v>
      </c>
      <c r="B306" s="3">
        <v>8</v>
      </c>
      <c r="C306" s="3">
        <v>39</v>
      </c>
      <c r="D306" s="3">
        <v>27</v>
      </c>
      <c r="E306" s="3">
        <v>-1736.745</v>
      </c>
      <c r="F306" s="4" t="str">
        <f>HYPERLINK("http://141.218.60.56/~jnz1568/getInfo.php?workbook=16_08.xlsx&amp;sheet=A0&amp;row=306&amp;col=6&amp;number=1590&amp;sourceID=14","1590")</f>
        <v>1590</v>
      </c>
      <c r="G306" s="4" t="str">
        <f>HYPERLINK("http://141.218.60.56/~jnz1568/getInfo.php?workbook=16_08.xlsx&amp;sheet=A0&amp;row=306&amp;col=7&amp;number=0&amp;sourceID=14","0")</f>
        <v>0</v>
      </c>
    </row>
    <row r="307" spans="1:7">
      <c r="A307" s="3">
        <v>16</v>
      </c>
      <c r="B307" s="3">
        <v>8</v>
      </c>
      <c r="C307" s="3">
        <v>39</v>
      </c>
      <c r="D307" s="3">
        <v>28</v>
      </c>
      <c r="E307" s="3">
        <v>1656.644</v>
      </c>
      <c r="F307" s="4" t="str">
        <f>HYPERLINK("http://141.218.60.56/~jnz1568/getInfo.php?workbook=16_08.xlsx&amp;sheet=A0&amp;row=307&amp;col=6&amp;number=2084&amp;sourceID=14","2084")</f>
        <v>2084</v>
      </c>
      <c r="G307" s="4" t="str">
        <f>HYPERLINK("http://141.218.60.56/~jnz1568/getInfo.php?workbook=16_08.xlsx&amp;sheet=A0&amp;row=307&amp;col=7&amp;number=0&amp;sourceID=14","0")</f>
        <v>0</v>
      </c>
    </row>
    <row r="308" spans="1:7">
      <c r="A308" s="3">
        <v>16</v>
      </c>
      <c r="B308" s="3">
        <v>8</v>
      </c>
      <c r="C308" s="3">
        <v>39</v>
      </c>
      <c r="D308" s="3">
        <v>30</v>
      </c>
      <c r="E308" s="3">
        <v>-1578.61</v>
      </c>
      <c r="F308" s="4" t="str">
        <f>HYPERLINK("http://141.218.60.56/~jnz1568/getInfo.php?workbook=16_08.xlsx&amp;sheet=A0&amp;row=308&amp;col=6&amp;number=2269&amp;sourceID=14","2269")</f>
        <v>2269</v>
      </c>
      <c r="G308" s="4" t="str">
        <f>HYPERLINK("http://141.218.60.56/~jnz1568/getInfo.php?workbook=16_08.xlsx&amp;sheet=A0&amp;row=308&amp;col=7&amp;number=0&amp;sourceID=14","0")</f>
        <v>0</v>
      </c>
    </row>
    <row r="309" spans="1:7">
      <c r="A309" s="3">
        <v>16</v>
      </c>
      <c r="B309" s="3">
        <v>8</v>
      </c>
      <c r="C309" s="3">
        <v>40</v>
      </c>
      <c r="D309" s="3">
        <v>1</v>
      </c>
      <c r="E309" s="3">
        <v>49.763</v>
      </c>
      <c r="F309" s="4" t="str">
        <f>HYPERLINK("http://141.218.60.56/~jnz1568/getInfo.php?workbook=16_08.xlsx&amp;sheet=A0&amp;row=309&amp;col=6&amp;number=638200000&amp;sourceID=14","638200000")</f>
        <v>638200000</v>
      </c>
      <c r="G309" s="4" t="str">
        <f>HYPERLINK("http://141.218.60.56/~jnz1568/getInfo.php?workbook=16_08.xlsx&amp;sheet=A0&amp;row=309&amp;col=7&amp;number=0&amp;sourceID=14","0")</f>
        <v>0</v>
      </c>
    </row>
    <row r="310" spans="1:7">
      <c r="A310" s="3">
        <v>16</v>
      </c>
      <c r="B310" s="3">
        <v>8</v>
      </c>
      <c r="C310" s="3">
        <v>40</v>
      </c>
      <c r="D310" s="3">
        <v>2</v>
      </c>
      <c r="E310" s="3">
        <v>49.961</v>
      </c>
      <c r="F310" s="4" t="str">
        <f>HYPERLINK("http://141.218.60.56/~jnz1568/getInfo.php?workbook=16_08.xlsx&amp;sheet=A0&amp;row=310&amp;col=6&amp;number=28050000&amp;sourceID=14","28050000")</f>
        <v>28050000</v>
      </c>
      <c r="G310" s="4" t="str">
        <f>HYPERLINK("http://141.218.60.56/~jnz1568/getInfo.php?workbook=16_08.xlsx&amp;sheet=A0&amp;row=310&amp;col=7&amp;number=0&amp;sourceID=14","0")</f>
        <v>0</v>
      </c>
    </row>
    <row r="311" spans="1:7">
      <c r="A311" s="3">
        <v>16</v>
      </c>
      <c r="B311" s="3">
        <v>8</v>
      </c>
      <c r="C311" s="3">
        <v>40</v>
      </c>
      <c r="D311" s="3">
        <v>3</v>
      </c>
      <c r="E311" s="3">
        <v>50.028</v>
      </c>
      <c r="F311" s="4" t="str">
        <f>HYPERLINK("http://141.218.60.56/~jnz1568/getInfo.php?workbook=16_08.xlsx&amp;sheet=A0&amp;row=311&amp;col=6&amp;number=6709&amp;sourceID=14","6709")</f>
        <v>6709</v>
      </c>
      <c r="G311" s="4" t="str">
        <f>HYPERLINK("http://141.218.60.56/~jnz1568/getInfo.php?workbook=16_08.xlsx&amp;sheet=A0&amp;row=311&amp;col=7&amp;number=0&amp;sourceID=14","0")</f>
        <v>0</v>
      </c>
    </row>
    <row r="312" spans="1:7">
      <c r="A312" s="3">
        <v>16</v>
      </c>
      <c r="B312" s="3">
        <v>8</v>
      </c>
      <c r="C312" s="3">
        <v>40</v>
      </c>
      <c r="D312" s="3">
        <v>4</v>
      </c>
      <c r="E312" s="3">
        <v>51.249</v>
      </c>
      <c r="F312" s="4" t="str">
        <f>HYPERLINK("http://141.218.60.56/~jnz1568/getInfo.php?workbook=16_08.xlsx&amp;sheet=A0&amp;row=312&amp;col=6&amp;number=170000&amp;sourceID=14","170000")</f>
        <v>170000</v>
      </c>
      <c r="G312" s="4" t="str">
        <f>HYPERLINK("http://141.218.60.56/~jnz1568/getInfo.php?workbook=16_08.xlsx&amp;sheet=A0&amp;row=312&amp;col=7&amp;number=0&amp;sourceID=14","0")</f>
        <v>0</v>
      </c>
    </row>
    <row r="313" spans="1:7">
      <c r="A313" s="3">
        <v>16</v>
      </c>
      <c r="B313" s="3">
        <v>8</v>
      </c>
      <c r="C313" s="3">
        <v>40</v>
      </c>
      <c r="D313" s="3">
        <v>6</v>
      </c>
      <c r="E313" s="3">
        <v>63.916</v>
      </c>
      <c r="F313" s="4" t="str">
        <f>HYPERLINK("http://141.218.60.56/~jnz1568/getInfo.php?workbook=16_08.xlsx&amp;sheet=A0&amp;row=313&amp;col=6&amp;number=1093&amp;sourceID=14","1093")</f>
        <v>1093</v>
      </c>
      <c r="G313" s="4" t="str">
        <f>HYPERLINK("http://141.218.60.56/~jnz1568/getInfo.php?workbook=16_08.xlsx&amp;sheet=A0&amp;row=313&amp;col=7&amp;number=0&amp;sourceID=14","0")</f>
        <v>0</v>
      </c>
    </row>
    <row r="314" spans="1:7">
      <c r="A314" s="3">
        <v>16</v>
      </c>
      <c r="B314" s="3">
        <v>8</v>
      </c>
      <c r="C314" s="3">
        <v>40</v>
      </c>
      <c r="D314" s="3">
        <v>11</v>
      </c>
      <c r="E314" s="3">
        <v>395.021</v>
      </c>
      <c r="F314" s="4" t="str">
        <f>HYPERLINK("http://141.218.60.56/~jnz1568/getInfo.php?workbook=16_08.xlsx&amp;sheet=A0&amp;row=314&amp;col=6&amp;number=44230&amp;sourceID=14","44230")</f>
        <v>44230</v>
      </c>
      <c r="G314" s="4" t="str">
        <f>HYPERLINK("http://141.218.60.56/~jnz1568/getInfo.php?workbook=16_08.xlsx&amp;sheet=A0&amp;row=314&amp;col=7&amp;number=0&amp;sourceID=14","0")</f>
        <v>0</v>
      </c>
    </row>
    <row r="315" spans="1:7">
      <c r="A315" s="3">
        <v>16</v>
      </c>
      <c r="B315" s="3">
        <v>8</v>
      </c>
      <c r="C315" s="3">
        <v>40</v>
      </c>
      <c r="D315" s="3">
        <v>17</v>
      </c>
      <c r="E315" s="3">
        <v>705.652</v>
      </c>
      <c r="F315" s="4" t="str">
        <f>HYPERLINK("http://141.218.60.56/~jnz1568/getInfo.php?workbook=16_08.xlsx&amp;sheet=A0&amp;row=315&amp;col=6&amp;number=828700000&amp;sourceID=14","828700000")</f>
        <v>828700000</v>
      </c>
      <c r="G315" s="4" t="str">
        <f>HYPERLINK("http://141.218.60.56/~jnz1568/getInfo.php?workbook=16_08.xlsx&amp;sheet=A0&amp;row=315&amp;col=7&amp;number=0&amp;sourceID=14","0")</f>
        <v>0</v>
      </c>
    </row>
    <row r="316" spans="1:7">
      <c r="A316" s="3">
        <v>16</v>
      </c>
      <c r="B316" s="3">
        <v>8</v>
      </c>
      <c r="C316" s="3">
        <v>40</v>
      </c>
      <c r="D316" s="3">
        <v>18</v>
      </c>
      <c r="E316" s="3">
        <v>708.798</v>
      </c>
      <c r="F316" s="4" t="str">
        <f>HYPERLINK("http://141.218.60.56/~jnz1568/getInfo.php?workbook=16_08.xlsx&amp;sheet=A0&amp;row=316&amp;col=6&amp;number=1359000000&amp;sourceID=14","1359000000")</f>
        <v>1359000000</v>
      </c>
      <c r="G316" s="4" t="str">
        <f>HYPERLINK("http://141.218.60.56/~jnz1568/getInfo.php?workbook=16_08.xlsx&amp;sheet=A0&amp;row=316&amp;col=7&amp;number=0&amp;sourceID=14","0")</f>
        <v>0</v>
      </c>
    </row>
    <row r="317" spans="1:7">
      <c r="A317" s="3">
        <v>16</v>
      </c>
      <c r="B317" s="3">
        <v>8</v>
      </c>
      <c r="C317" s="3">
        <v>40</v>
      </c>
      <c r="D317" s="3">
        <v>19</v>
      </c>
      <c r="E317" s="3">
        <v>715.006</v>
      </c>
      <c r="F317" s="4" t="str">
        <f>HYPERLINK("http://141.218.60.56/~jnz1568/getInfo.php?workbook=16_08.xlsx&amp;sheet=A0&amp;row=317&amp;col=6&amp;number=152000000&amp;sourceID=14","152000000")</f>
        <v>152000000</v>
      </c>
      <c r="G317" s="4" t="str">
        <f>HYPERLINK("http://141.218.60.56/~jnz1568/getInfo.php?workbook=16_08.xlsx&amp;sheet=A0&amp;row=317&amp;col=7&amp;number=0&amp;sourceID=14","0")</f>
        <v>0</v>
      </c>
    </row>
    <row r="318" spans="1:7">
      <c r="A318" s="3">
        <v>16</v>
      </c>
      <c r="B318" s="3">
        <v>8</v>
      </c>
      <c r="C318" s="3">
        <v>40</v>
      </c>
      <c r="D318" s="3">
        <v>20</v>
      </c>
      <c r="E318" s="3">
        <v>856.553</v>
      </c>
      <c r="F318" s="4" t="str">
        <f>HYPERLINK("http://141.218.60.56/~jnz1568/getInfo.php?workbook=16_08.xlsx&amp;sheet=A0&amp;row=318&amp;col=6&amp;number=36720&amp;sourceID=14","36720")</f>
        <v>36720</v>
      </c>
      <c r="G318" s="4" t="str">
        <f>HYPERLINK("http://141.218.60.56/~jnz1568/getInfo.php?workbook=16_08.xlsx&amp;sheet=A0&amp;row=318&amp;col=7&amp;number=0&amp;sourceID=14","0")</f>
        <v>0</v>
      </c>
    </row>
    <row r="319" spans="1:7">
      <c r="A319" s="3">
        <v>16</v>
      </c>
      <c r="B319" s="3">
        <v>8</v>
      </c>
      <c r="C319" s="3">
        <v>40</v>
      </c>
      <c r="D319" s="3">
        <v>21</v>
      </c>
      <c r="E319" s="3">
        <v>859.313</v>
      </c>
      <c r="F319" s="4" t="str">
        <f>HYPERLINK("http://141.218.60.56/~jnz1568/getInfo.php?workbook=16_08.xlsx&amp;sheet=A0&amp;row=319&amp;col=6&amp;number=2219000&amp;sourceID=14","2219000")</f>
        <v>2219000</v>
      </c>
      <c r="G319" s="4" t="str">
        <f>HYPERLINK("http://141.218.60.56/~jnz1568/getInfo.php?workbook=16_08.xlsx&amp;sheet=A0&amp;row=319&amp;col=7&amp;number=0&amp;sourceID=14","0")</f>
        <v>0</v>
      </c>
    </row>
    <row r="320" spans="1:7">
      <c r="A320" s="3">
        <v>16</v>
      </c>
      <c r="B320" s="3">
        <v>8</v>
      </c>
      <c r="C320" s="3">
        <v>40</v>
      </c>
      <c r="D320" s="3">
        <v>27</v>
      </c>
      <c r="E320" s="3">
        <v>-1734.158</v>
      </c>
      <c r="F320" s="4" t="str">
        <f>HYPERLINK("http://141.218.60.56/~jnz1568/getInfo.php?workbook=16_08.xlsx&amp;sheet=A0&amp;row=320&amp;col=6&amp;number=8579&amp;sourceID=14","8579")</f>
        <v>8579</v>
      </c>
      <c r="G320" s="4" t="str">
        <f>HYPERLINK("http://141.218.60.56/~jnz1568/getInfo.php?workbook=16_08.xlsx&amp;sheet=A0&amp;row=320&amp;col=7&amp;number=0&amp;sourceID=14","0")</f>
        <v>0</v>
      </c>
    </row>
    <row r="321" spans="1:7">
      <c r="A321" s="3">
        <v>16</v>
      </c>
      <c r="B321" s="3">
        <v>8</v>
      </c>
      <c r="C321" s="3">
        <v>40</v>
      </c>
      <c r="D321" s="3">
        <v>28</v>
      </c>
      <c r="E321" s="3">
        <v>1656.644</v>
      </c>
      <c r="F321" s="4" t="str">
        <f>HYPERLINK("http://141.218.60.56/~jnz1568/getInfo.php?workbook=16_08.xlsx&amp;sheet=A0&amp;row=321&amp;col=6&amp;number=2671&amp;sourceID=14","2671")</f>
        <v>2671</v>
      </c>
      <c r="G321" s="4" t="str">
        <f>HYPERLINK("http://141.218.60.56/~jnz1568/getInfo.php?workbook=16_08.xlsx&amp;sheet=A0&amp;row=321&amp;col=7&amp;number=0&amp;sourceID=14","0")</f>
        <v>0</v>
      </c>
    </row>
    <row r="322" spans="1:7">
      <c r="A322" s="3">
        <v>16</v>
      </c>
      <c r="B322" s="3">
        <v>8</v>
      </c>
      <c r="C322" s="3">
        <v>40</v>
      </c>
      <c r="D322" s="3">
        <v>29</v>
      </c>
      <c r="E322" s="3">
        <v>1705.641</v>
      </c>
      <c r="F322" s="4" t="str">
        <f>HYPERLINK("http://141.218.60.56/~jnz1568/getInfo.php?workbook=16_08.xlsx&amp;sheet=A0&amp;row=322&amp;col=6&amp;number=1841&amp;sourceID=14","1841")</f>
        <v>1841</v>
      </c>
      <c r="G322" s="4" t="str">
        <f>HYPERLINK("http://141.218.60.56/~jnz1568/getInfo.php?workbook=16_08.xlsx&amp;sheet=A0&amp;row=322&amp;col=7&amp;number=0&amp;sourceID=14","0")</f>
        <v>0</v>
      </c>
    </row>
    <row r="323" spans="1:7">
      <c r="A323" s="3">
        <v>16</v>
      </c>
      <c r="B323" s="3">
        <v>8</v>
      </c>
      <c r="C323" s="3">
        <v>40</v>
      </c>
      <c r="D323" s="3">
        <v>32</v>
      </c>
      <c r="E323" s="3">
        <v>1959.632</v>
      </c>
      <c r="F323" s="4" t="str">
        <f>HYPERLINK("http://141.218.60.56/~jnz1568/getInfo.php?workbook=16_08.xlsx&amp;sheet=A0&amp;row=323&amp;col=6&amp;number=2119&amp;sourceID=14","2119")</f>
        <v>2119</v>
      </c>
      <c r="G323" s="4" t="str">
        <f>HYPERLINK("http://141.218.60.56/~jnz1568/getInfo.php?workbook=16_08.xlsx&amp;sheet=A0&amp;row=323&amp;col=7&amp;number=0&amp;sourceID=14","0")</f>
        <v>0</v>
      </c>
    </row>
    <row r="324" spans="1:7">
      <c r="A324" s="3">
        <v>16</v>
      </c>
      <c r="B324" s="3">
        <v>8</v>
      </c>
      <c r="C324" s="3">
        <v>41</v>
      </c>
      <c r="D324" s="3">
        <v>1</v>
      </c>
      <c r="E324" s="3">
        <v>49.763</v>
      </c>
      <c r="F324" s="4" t="str">
        <f>HYPERLINK("http://141.218.60.56/~jnz1568/getInfo.php?workbook=16_08.xlsx&amp;sheet=A0&amp;row=324&amp;col=6&amp;number=79130000&amp;sourceID=14","79130000")</f>
        <v>79130000</v>
      </c>
      <c r="G324" s="4" t="str">
        <f>HYPERLINK("http://141.218.60.56/~jnz1568/getInfo.php?workbook=16_08.xlsx&amp;sheet=A0&amp;row=324&amp;col=7&amp;number=0&amp;sourceID=14","0")</f>
        <v>0</v>
      </c>
    </row>
    <row r="325" spans="1:7">
      <c r="A325" s="3">
        <v>16</v>
      </c>
      <c r="B325" s="3">
        <v>8</v>
      </c>
      <c r="C325" s="3">
        <v>41</v>
      </c>
      <c r="D325" s="3">
        <v>2</v>
      </c>
      <c r="E325" s="3">
        <v>49.961</v>
      </c>
      <c r="F325" s="4" t="str">
        <f>HYPERLINK("http://141.218.60.56/~jnz1568/getInfo.php?workbook=16_08.xlsx&amp;sheet=A0&amp;row=325&amp;col=6&amp;number=15730&amp;sourceID=14","15730")</f>
        <v>15730</v>
      </c>
      <c r="G325" s="4" t="str">
        <f>HYPERLINK("http://141.218.60.56/~jnz1568/getInfo.php?workbook=16_08.xlsx&amp;sheet=A0&amp;row=325&amp;col=7&amp;number=0&amp;sourceID=14","0")</f>
        <v>0</v>
      </c>
    </row>
    <row r="326" spans="1:7">
      <c r="A326" s="3">
        <v>16</v>
      </c>
      <c r="B326" s="3">
        <v>8</v>
      </c>
      <c r="C326" s="3">
        <v>41</v>
      </c>
      <c r="D326" s="3">
        <v>4</v>
      </c>
      <c r="E326" s="3">
        <v>51.25</v>
      </c>
      <c r="F326" s="4" t="str">
        <f>HYPERLINK("http://141.218.60.56/~jnz1568/getInfo.php?workbook=16_08.xlsx&amp;sheet=A0&amp;row=326&amp;col=6&amp;number=1224000&amp;sourceID=14","1224000")</f>
        <v>1224000</v>
      </c>
      <c r="G326" s="4" t="str">
        <f>HYPERLINK("http://141.218.60.56/~jnz1568/getInfo.php?workbook=16_08.xlsx&amp;sheet=A0&amp;row=326&amp;col=7&amp;number=0&amp;sourceID=14","0")</f>
        <v>0</v>
      </c>
    </row>
    <row r="327" spans="1:7">
      <c r="A327" s="3">
        <v>16</v>
      </c>
      <c r="B327" s="3">
        <v>8</v>
      </c>
      <c r="C327" s="3">
        <v>41</v>
      </c>
      <c r="D327" s="3">
        <v>11</v>
      </c>
      <c r="E327" s="3">
        <v>395.046</v>
      </c>
      <c r="F327" s="4" t="str">
        <f>HYPERLINK("http://141.218.60.56/~jnz1568/getInfo.php?workbook=16_08.xlsx&amp;sheet=A0&amp;row=327&amp;col=6&amp;number=44210&amp;sourceID=14","44210")</f>
        <v>44210</v>
      </c>
      <c r="G327" s="4" t="str">
        <f>HYPERLINK("http://141.218.60.56/~jnz1568/getInfo.php?workbook=16_08.xlsx&amp;sheet=A0&amp;row=327&amp;col=7&amp;number=0&amp;sourceID=14","0")</f>
        <v>0</v>
      </c>
    </row>
    <row r="328" spans="1:7">
      <c r="A328" s="3">
        <v>16</v>
      </c>
      <c r="B328" s="3">
        <v>8</v>
      </c>
      <c r="C328" s="3">
        <v>41</v>
      </c>
      <c r="D328" s="3">
        <v>18</v>
      </c>
      <c r="E328" s="3">
        <v>708.878</v>
      </c>
      <c r="F328" s="4" t="str">
        <f>HYPERLINK("http://141.218.60.56/~jnz1568/getInfo.php?workbook=16_08.xlsx&amp;sheet=A0&amp;row=328&amp;col=6&amp;number=1555000000&amp;sourceID=14","1555000000")</f>
        <v>1555000000</v>
      </c>
      <c r="G328" s="4" t="str">
        <f>HYPERLINK("http://141.218.60.56/~jnz1568/getInfo.php?workbook=16_08.xlsx&amp;sheet=A0&amp;row=328&amp;col=7&amp;number=0&amp;sourceID=14","0")</f>
        <v>0</v>
      </c>
    </row>
    <row r="329" spans="1:7">
      <c r="A329" s="3">
        <v>16</v>
      </c>
      <c r="B329" s="3">
        <v>8</v>
      </c>
      <c r="C329" s="3">
        <v>41</v>
      </c>
      <c r="D329" s="3">
        <v>19</v>
      </c>
      <c r="E329" s="3">
        <v>715.088</v>
      </c>
      <c r="F329" s="4" t="str">
        <f>HYPERLINK("http://141.218.60.56/~jnz1568/getInfo.php?workbook=16_08.xlsx&amp;sheet=A0&amp;row=329&amp;col=6&amp;number=758900000&amp;sourceID=14","758900000")</f>
        <v>758900000</v>
      </c>
      <c r="G329" s="4" t="str">
        <f>HYPERLINK("http://141.218.60.56/~jnz1568/getInfo.php?workbook=16_08.xlsx&amp;sheet=A0&amp;row=329&amp;col=7&amp;number=0&amp;sourceID=14","0")</f>
        <v>0</v>
      </c>
    </row>
    <row r="330" spans="1:7">
      <c r="A330" s="3">
        <v>16</v>
      </c>
      <c r="B330" s="3">
        <v>8</v>
      </c>
      <c r="C330" s="3">
        <v>41</v>
      </c>
      <c r="D330" s="3">
        <v>21</v>
      </c>
      <c r="E330" s="3">
        <v>859.431</v>
      </c>
      <c r="F330" s="4" t="str">
        <f>HYPERLINK("http://141.218.60.56/~jnz1568/getInfo.php?workbook=16_08.xlsx&amp;sheet=A0&amp;row=330&amp;col=6&amp;number=986400&amp;sourceID=14","986400")</f>
        <v>986400</v>
      </c>
      <c r="G330" s="4" t="str">
        <f>HYPERLINK("http://141.218.60.56/~jnz1568/getInfo.php?workbook=16_08.xlsx&amp;sheet=A0&amp;row=330&amp;col=7&amp;number=0&amp;sourceID=14","0")</f>
        <v>0</v>
      </c>
    </row>
    <row r="331" spans="1:7">
      <c r="A331" s="3">
        <v>16</v>
      </c>
      <c r="B331" s="3">
        <v>8</v>
      </c>
      <c r="C331" s="3">
        <v>41</v>
      </c>
      <c r="D331" s="3">
        <v>27</v>
      </c>
      <c r="E331" s="3">
        <v>-1730.389</v>
      </c>
      <c r="F331" s="4" t="str">
        <f>HYPERLINK("http://141.218.60.56/~jnz1568/getInfo.php?workbook=16_08.xlsx&amp;sheet=A0&amp;row=331&amp;col=6&amp;number=2599&amp;sourceID=14","2599")</f>
        <v>2599</v>
      </c>
      <c r="G331" s="4" t="str">
        <f>HYPERLINK("http://141.218.60.56/~jnz1568/getInfo.php?workbook=16_08.xlsx&amp;sheet=A0&amp;row=331&amp;col=7&amp;number=0&amp;sourceID=14","0")</f>
        <v>0</v>
      </c>
    </row>
    <row r="332" spans="1:7">
      <c r="A332" s="3">
        <v>16</v>
      </c>
      <c r="B332" s="3">
        <v>8</v>
      </c>
      <c r="C332" s="3">
        <v>41</v>
      </c>
      <c r="D332" s="3">
        <v>29</v>
      </c>
      <c r="E332" s="3">
        <v>1706.106</v>
      </c>
      <c r="F332" s="4" t="str">
        <f>HYPERLINK("http://141.218.60.56/~jnz1568/getInfo.php?workbook=16_08.xlsx&amp;sheet=A0&amp;row=332&amp;col=6&amp;number=15250&amp;sourceID=14","15250")</f>
        <v>15250</v>
      </c>
      <c r="G332" s="4" t="str">
        <f>HYPERLINK("http://141.218.60.56/~jnz1568/getInfo.php?workbook=16_08.xlsx&amp;sheet=A0&amp;row=332&amp;col=7&amp;number=0&amp;sourceID=14","0")</f>
        <v>0</v>
      </c>
    </row>
    <row r="333" spans="1:7">
      <c r="A333" s="3">
        <v>16</v>
      </c>
      <c r="B333" s="3">
        <v>8</v>
      </c>
      <c r="C333" s="3">
        <v>41</v>
      </c>
      <c r="D333" s="3">
        <v>32</v>
      </c>
      <c r="E333" s="3">
        <v>1960.246</v>
      </c>
      <c r="F333" s="4" t="str">
        <f>HYPERLINK("http://141.218.60.56/~jnz1568/getInfo.php?workbook=16_08.xlsx&amp;sheet=A0&amp;row=333&amp;col=6&amp;number=1742&amp;sourceID=14","1742")</f>
        <v>1742</v>
      </c>
      <c r="G333" s="4" t="str">
        <f>HYPERLINK("http://141.218.60.56/~jnz1568/getInfo.php?workbook=16_08.xlsx&amp;sheet=A0&amp;row=333&amp;col=7&amp;number=0&amp;sourceID=14","0")</f>
        <v>0</v>
      </c>
    </row>
    <row r="334" spans="1:7">
      <c r="A334" s="3">
        <v>16</v>
      </c>
      <c r="B334" s="3">
        <v>8</v>
      </c>
      <c r="C334" s="3">
        <v>41</v>
      </c>
      <c r="D334" s="3">
        <v>33</v>
      </c>
      <c r="E334" s="3">
        <v>2004.45</v>
      </c>
      <c r="F334" s="4" t="str">
        <f>HYPERLINK("http://141.218.60.56/~jnz1568/getInfo.php?workbook=16_08.xlsx&amp;sheet=A0&amp;row=334&amp;col=6&amp;number=1561&amp;sourceID=14","1561")</f>
        <v>1561</v>
      </c>
      <c r="G334" s="4" t="str">
        <f>HYPERLINK("http://141.218.60.56/~jnz1568/getInfo.php?workbook=16_08.xlsx&amp;sheet=A0&amp;row=334&amp;col=7&amp;number=0&amp;sourceID=14","0")</f>
        <v>0</v>
      </c>
    </row>
    <row r="335" spans="1:7">
      <c r="A335" s="3">
        <v>16</v>
      </c>
      <c r="B335" s="3">
        <v>8</v>
      </c>
      <c r="C335" s="3">
        <v>42</v>
      </c>
      <c r="D335" s="3">
        <v>1</v>
      </c>
      <c r="E335" s="3">
        <v>49.762</v>
      </c>
      <c r="F335" s="4" t="str">
        <f>HYPERLINK("http://141.218.60.56/~jnz1568/getInfo.php?workbook=16_08.xlsx&amp;sheet=A0&amp;row=335&amp;col=6&amp;number=29750&amp;sourceID=14","29750")</f>
        <v>29750</v>
      </c>
      <c r="G335" s="4" t="str">
        <f>HYPERLINK("http://141.218.60.56/~jnz1568/getInfo.php?workbook=16_08.xlsx&amp;sheet=A0&amp;row=335&amp;col=7&amp;number=0&amp;sourceID=14","0")</f>
        <v>0</v>
      </c>
    </row>
    <row r="336" spans="1:7">
      <c r="A336" s="3">
        <v>16</v>
      </c>
      <c r="B336" s="3">
        <v>8</v>
      </c>
      <c r="C336" s="3">
        <v>42</v>
      </c>
      <c r="D336" s="3">
        <v>6</v>
      </c>
      <c r="E336" s="3">
        <v>63.914</v>
      </c>
      <c r="F336" s="4" t="str">
        <f>HYPERLINK("http://141.218.60.56/~jnz1568/getInfo.php?workbook=16_08.xlsx&amp;sheet=A0&amp;row=336&amp;col=6&amp;number=1494&amp;sourceID=14","1494")</f>
        <v>1494</v>
      </c>
      <c r="G336" s="4" t="str">
        <f>HYPERLINK("http://141.218.60.56/~jnz1568/getInfo.php?workbook=16_08.xlsx&amp;sheet=A0&amp;row=336&amp;col=7&amp;number=0&amp;sourceID=14","0")</f>
        <v>0</v>
      </c>
    </row>
    <row r="337" spans="1:7">
      <c r="A337" s="3">
        <v>16</v>
      </c>
      <c r="B337" s="3">
        <v>8</v>
      </c>
      <c r="C337" s="3">
        <v>42</v>
      </c>
      <c r="D337" s="3">
        <v>11</v>
      </c>
      <c r="E337" s="3">
        <v>394.956</v>
      </c>
      <c r="F337" s="4" t="str">
        <f>HYPERLINK("http://141.218.60.56/~jnz1568/getInfo.php?workbook=16_08.xlsx&amp;sheet=A0&amp;row=337&amp;col=6&amp;number=44320&amp;sourceID=14","44320")</f>
        <v>44320</v>
      </c>
      <c r="G337" s="4" t="str">
        <f>HYPERLINK("http://141.218.60.56/~jnz1568/getInfo.php?workbook=16_08.xlsx&amp;sheet=A0&amp;row=337&amp;col=7&amp;number=0&amp;sourceID=14","0")</f>
        <v>0</v>
      </c>
    </row>
    <row r="338" spans="1:7">
      <c r="A338" s="3">
        <v>16</v>
      </c>
      <c r="B338" s="3">
        <v>8</v>
      </c>
      <c r="C338" s="3">
        <v>42</v>
      </c>
      <c r="D338" s="3">
        <v>19</v>
      </c>
      <c r="E338" s="3">
        <v>714.791</v>
      </c>
      <c r="F338" s="4" t="str">
        <f>HYPERLINK("http://141.218.60.56/~jnz1568/getInfo.php?workbook=16_08.xlsx&amp;sheet=A0&amp;row=338&amp;col=6&amp;number=2278000000&amp;sourceID=14","2278000000")</f>
        <v>2278000000</v>
      </c>
      <c r="G338" s="4" t="str">
        <f>HYPERLINK("http://141.218.60.56/~jnz1568/getInfo.php?workbook=16_08.xlsx&amp;sheet=A0&amp;row=338&amp;col=7&amp;number=0&amp;sourceID=14","0")</f>
        <v>0</v>
      </c>
    </row>
    <row r="339" spans="1:7">
      <c r="A339" s="3">
        <v>16</v>
      </c>
      <c r="B339" s="3">
        <v>8</v>
      </c>
      <c r="C339" s="3">
        <v>42</v>
      </c>
      <c r="D339" s="3">
        <v>33</v>
      </c>
      <c r="E339" s="3">
        <v>2002.122</v>
      </c>
      <c r="F339" s="4" t="str">
        <f>HYPERLINK("http://141.218.60.56/~jnz1568/getInfo.php?workbook=16_08.xlsx&amp;sheet=A0&amp;row=339&amp;col=6&amp;number=1420&amp;sourceID=14","1420")</f>
        <v>1420</v>
      </c>
      <c r="G339" s="4" t="str">
        <f>HYPERLINK("http://141.218.60.56/~jnz1568/getInfo.php?workbook=16_08.xlsx&amp;sheet=A0&amp;row=339&amp;col=7&amp;number=0&amp;sourceID=14","0")</f>
        <v>0</v>
      </c>
    </row>
    <row r="340" spans="1:7">
      <c r="A340" s="3">
        <v>16</v>
      </c>
      <c r="B340" s="3">
        <v>8</v>
      </c>
      <c r="C340" s="3">
        <v>43</v>
      </c>
      <c r="D340" s="3">
        <v>1</v>
      </c>
      <c r="E340" s="3">
        <v>-50.466</v>
      </c>
      <c r="F340" s="4" t="str">
        <f>HYPERLINK("http://141.218.60.56/~jnz1568/getInfo.php?workbook=16_08.xlsx&amp;sheet=A0&amp;row=340&amp;col=6&amp;number=3356000&amp;sourceID=14","3356000")</f>
        <v>3356000</v>
      </c>
      <c r="G340" s="4" t="str">
        <f>HYPERLINK("http://141.218.60.56/~jnz1568/getInfo.php?workbook=16_08.xlsx&amp;sheet=A0&amp;row=340&amp;col=7&amp;number=0&amp;sourceID=14","0")</f>
        <v>0</v>
      </c>
    </row>
    <row r="341" spans="1:7">
      <c r="A341" s="3">
        <v>16</v>
      </c>
      <c r="B341" s="3">
        <v>8</v>
      </c>
      <c r="C341" s="3">
        <v>43</v>
      </c>
      <c r="D341" s="3">
        <v>2</v>
      </c>
      <c r="E341" s="3">
        <v>-50.678</v>
      </c>
      <c r="F341" s="4" t="str">
        <f>HYPERLINK("http://141.218.60.56/~jnz1568/getInfo.php?workbook=16_08.xlsx&amp;sheet=A0&amp;row=341&amp;col=6&amp;number=1164000&amp;sourceID=14","1164000")</f>
        <v>1164000</v>
      </c>
      <c r="G341" s="4" t="str">
        <f>HYPERLINK("http://141.218.60.56/~jnz1568/getInfo.php?workbook=16_08.xlsx&amp;sheet=A0&amp;row=341&amp;col=7&amp;number=0&amp;sourceID=14","0")</f>
        <v>0</v>
      </c>
    </row>
    <row r="342" spans="1:7">
      <c r="A342" s="3">
        <v>16</v>
      </c>
      <c r="B342" s="3">
        <v>8</v>
      </c>
      <c r="C342" s="3">
        <v>43</v>
      </c>
      <c r="D342" s="3">
        <v>4</v>
      </c>
      <c r="E342" s="3">
        <v>-52.089</v>
      </c>
      <c r="F342" s="4" t="str">
        <f>HYPERLINK("http://141.218.60.56/~jnz1568/getInfo.php?workbook=16_08.xlsx&amp;sheet=A0&amp;row=342&amp;col=6&amp;number=1051000&amp;sourceID=14","1051000")</f>
        <v>1051000</v>
      </c>
      <c r="G342" s="4" t="str">
        <f>HYPERLINK("http://141.218.60.56/~jnz1568/getInfo.php?workbook=16_08.xlsx&amp;sheet=A0&amp;row=342&amp;col=7&amp;number=0&amp;sourceID=14","0")</f>
        <v>0</v>
      </c>
    </row>
    <row r="343" spans="1:7">
      <c r="A343" s="3">
        <v>16</v>
      </c>
      <c r="B343" s="3">
        <v>8</v>
      </c>
      <c r="C343" s="3">
        <v>43</v>
      </c>
      <c r="D343" s="3">
        <v>6</v>
      </c>
      <c r="E343" s="3">
        <v>-65.528</v>
      </c>
      <c r="F343" s="4" t="str">
        <f>HYPERLINK("http://141.218.60.56/~jnz1568/getInfo.php?workbook=16_08.xlsx&amp;sheet=A0&amp;row=343&amp;col=6&amp;number=10920000000&amp;sourceID=14","10920000000")</f>
        <v>10920000000</v>
      </c>
      <c r="G343" s="4" t="str">
        <f>HYPERLINK("http://141.218.60.56/~jnz1568/getInfo.php?workbook=16_08.xlsx&amp;sheet=A0&amp;row=343&amp;col=7&amp;number=0&amp;sourceID=14","0")</f>
        <v>0</v>
      </c>
    </row>
    <row r="344" spans="1:7">
      <c r="A344" s="3">
        <v>16</v>
      </c>
      <c r="B344" s="3">
        <v>8</v>
      </c>
      <c r="C344" s="3">
        <v>43</v>
      </c>
      <c r="D344" s="3">
        <v>7</v>
      </c>
      <c r="E344" s="3">
        <v>-65.841</v>
      </c>
      <c r="F344" s="4" t="str">
        <f>HYPERLINK("http://141.218.60.56/~jnz1568/getInfo.php?workbook=16_08.xlsx&amp;sheet=A0&amp;row=344&amp;col=6&amp;number=997500000&amp;sourceID=14","997500000")</f>
        <v>997500000</v>
      </c>
      <c r="G344" s="4" t="str">
        <f>HYPERLINK("http://141.218.60.56/~jnz1568/getInfo.php?workbook=16_08.xlsx&amp;sheet=A0&amp;row=344&amp;col=7&amp;number=0&amp;sourceID=14","0")</f>
        <v>0</v>
      </c>
    </row>
    <row r="345" spans="1:7">
      <c r="A345" s="3">
        <v>16</v>
      </c>
      <c r="B345" s="3">
        <v>8</v>
      </c>
      <c r="C345" s="3">
        <v>43</v>
      </c>
      <c r="D345" s="3">
        <v>8</v>
      </c>
      <c r="E345" s="3">
        <v>-66.015</v>
      </c>
      <c r="F345" s="4" t="str">
        <f>HYPERLINK("http://141.218.60.56/~jnz1568/getInfo.php?workbook=16_08.xlsx&amp;sheet=A0&amp;row=345&amp;col=6&amp;number=33400000&amp;sourceID=14","33400000")</f>
        <v>33400000</v>
      </c>
      <c r="G345" s="4" t="str">
        <f>HYPERLINK("http://141.218.60.56/~jnz1568/getInfo.php?workbook=16_08.xlsx&amp;sheet=A0&amp;row=345&amp;col=7&amp;number=0&amp;sourceID=14","0")</f>
        <v>0</v>
      </c>
    </row>
    <row r="346" spans="1:7">
      <c r="A346" s="3">
        <v>16</v>
      </c>
      <c r="B346" s="3">
        <v>8</v>
      </c>
      <c r="C346" s="3">
        <v>43</v>
      </c>
      <c r="D346" s="3">
        <v>9</v>
      </c>
      <c r="E346" s="3">
        <v>-74.337</v>
      </c>
      <c r="F346" s="4" t="str">
        <f>HYPERLINK("http://141.218.60.56/~jnz1568/getInfo.php?workbook=16_08.xlsx&amp;sheet=A0&amp;row=346&amp;col=6&amp;number=4319000&amp;sourceID=14","4319000")</f>
        <v>4319000</v>
      </c>
      <c r="G346" s="4" t="str">
        <f>HYPERLINK("http://141.218.60.56/~jnz1568/getInfo.php?workbook=16_08.xlsx&amp;sheet=A0&amp;row=346&amp;col=7&amp;number=0&amp;sourceID=14","0")</f>
        <v>0</v>
      </c>
    </row>
    <row r="347" spans="1:7">
      <c r="A347" s="3">
        <v>16</v>
      </c>
      <c r="B347" s="3">
        <v>8</v>
      </c>
      <c r="C347" s="3">
        <v>43</v>
      </c>
      <c r="D347" s="3">
        <v>11</v>
      </c>
      <c r="E347" s="3">
        <v>-426.2</v>
      </c>
      <c r="F347" s="4" t="str">
        <f>HYPERLINK("http://141.218.60.56/~jnz1568/getInfo.php?workbook=16_08.xlsx&amp;sheet=A0&amp;row=347&amp;col=6&amp;number=179600&amp;sourceID=14","179600")</f>
        <v>179600</v>
      </c>
      <c r="G347" s="4" t="str">
        <f>HYPERLINK("http://141.218.60.56/~jnz1568/getInfo.php?workbook=16_08.xlsx&amp;sheet=A0&amp;row=347&amp;col=7&amp;number=0&amp;sourceID=14","0")</f>
        <v>0</v>
      </c>
    </row>
    <row r="348" spans="1:7">
      <c r="A348" s="3">
        <v>16</v>
      </c>
      <c r="B348" s="3">
        <v>8</v>
      </c>
      <c r="C348" s="3">
        <v>43</v>
      </c>
      <c r="D348" s="3">
        <v>12</v>
      </c>
      <c r="E348" s="3">
        <v>-488.108</v>
      </c>
      <c r="F348" s="4" t="str">
        <f>HYPERLINK("http://141.218.60.56/~jnz1568/getInfo.php?workbook=16_08.xlsx&amp;sheet=A0&amp;row=348&amp;col=6&amp;number=233800000&amp;sourceID=14","233800000")</f>
        <v>233800000</v>
      </c>
      <c r="G348" s="4" t="str">
        <f>HYPERLINK("http://141.218.60.56/~jnz1568/getInfo.php?workbook=16_08.xlsx&amp;sheet=A0&amp;row=348&amp;col=7&amp;number=0&amp;sourceID=14","0")</f>
        <v>0</v>
      </c>
    </row>
    <row r="349" spans="1:7">
      <c r="A349" s="3">
        <v>16</v>
      </c>
      <c r="B349" s="3">
        <v>8</v>
      </c>
      <c r="C349" s="3">
        <v>43</v>
      </c>
      <c r="D349" s="3">
        <v>13</v>
      </c>
      <c r="E349" s="3">
        <v>-705.681</v>
      </c>
      <c r="F349" s="4" t="str">
        <f>HYPERLINK("http://141.218.60.56/~jnz1568/getInfo.php?workbook=16_08.xlsx&amp;sheet=A0&amp;row=349&amp;col=6&amp;number=555800000&amp;sourceID=14","555800000")</f>
        <v>555800000</v>
      </c>
      <c r="G349" s="4" t="str">
        <f>HYPERLINK("http://141.218.60.56/~jnz1568/getInfo.php?workbook=16_08.xlsx&amp;sheet=A0&amp;row=349&amp;col=7&amp;number=0&amp;sourceID=14","0")</f>
        <v>0</v>
      </c>
    </row>
    <row r="350" spans="1:7">
      <c r="A350" s="3">
        <v>16</v>
      </c>
      <c r="B350" s="3">
        <v>8</v>
      </c>
      <c r="C350" s="3">
        <v>43</v>
      </c>
      <c r="D350" s="3">
        <v>14</v>
      </c>
      <c r="E350" s="3">
        <v>-704.023</v>
      </c>
      <c r="F350" s="4" t="str">
        <f>HYPERLINK("http://141.218.60.56/~jnz1568/getInfo.php?workbook=16_08.xlsx&amp;sheet=A0&amp;row=350&amp;col=6&amp;number=196600000&amp;sourceID=14","196600000")</f>
        <v>196600000</v>
      </c>
      <c r="G350" s="4" t="str">
        <f>HYPERLINK("http://141.218.60.56/~jnz1568/getInfo.php?workbook=16_08.xlsx&amp;sheet=A0&amp;row=350&amp;col=7&amp;number=0&amp;sourceID=14","0")</f>
        <v>0</v>
      </c>
    </row>
    <row r="351" spans="1:7">
      <c r="A351" s="3">
        <v>16</v>
      </c>
      <c r="B351" s="3">
        <v>8</v>
      </c>
      <c r="C351" s="3">
        <v>43</v>
      </c>
      <c r="D351" s="3">
        <v>16</v>
      </c>
      <c r="E351" s="3">
        <v>-789.327</v>
      </c>
      <c r="F351" s="4" t="str">
        <f>HYPERLINK("http://141.218.60.56/~jnz1568/getInfo.php?workbook=16_08.xlsx&amp;sheet=A0&amp;row=351&amp;col=6&amp;number=3386000&amp;sourceID=14","3386000")</f>
        <v>3386000</v>
      </c>
      <c r="G351" s="4" t="str">
        <f>HYPERLINK("http://141.218.60.56/~jnz1568/getInfo.php?workbook=16_08.xlsx&amp;sheet=A0&amp;row=351&amp;col=7&amp;number=0&amp;sourceID=14","0")</f>
        <v>0</v>
      </c>
    </row>
    <row r="352" spans="1:7">
      <c r="A352" s="3">
        <v>16</v>
      </c>
      <c r="B352" s="3">
        <v>8</v>
      </c>
      <c r="C352" s="3">
        <v>43</v>
      </c>
      <c r="D352" s="3">
        <v>23</v>
      </c>
      <c r="E352" s="3">
        <v>-984.942</v>
      </c>
      <c r="F352" s="4" t="str">
        <f>HYPERLINK("http://141.218.60.56/~jnz1568/getInfo.php?workbook=16_08.xlsx&amp;sheet=A0&amp;row=352&amp;col=6&amp;number=32830000&amp;sourceID=14","32830000")</f>
        <v>32830000</v>
      </c>
      <c r="G352" s="4" t="str">
        <f>HYPERLINK("http://141.218.60.56/~jnz1568/getInfo.php?workbook=16_08.xlsx&amp;sheet=A0&amp;row=352&amp;col=7&amp;number=0&amp;sourceID=14","0")</f>
        <v>0</v>
      </c>
    </row>
    <row r="353" spans="1:7">
      <c r="A353" s="3">
        <v>16</v>
      </c>
      <c r="B353" s="3">
        <v>8</v>
      </c>
      <c r="C353" s="3">
        <v>43</v>
      </c>
      <c r="D353" s="3">
        <v>24</v>
      </c>
      <c r="E353" s="3">
        <v>-991.484</v>
      </c>
      <c r="F353" s="4" t="str">
        <f>HYPERLINK("http://141.218.60.56/~jnz1568/getInfo.php?workbook=16_08.xlsx&amp;sheet=A0&amp;row=353&amp;col=6&amp;number=113700000&amp;sourceID=14","113700000")</f>
        <v>113700000</v>
      </c>
      <c r="G353" s="4" t="str">
        <f>HYPERLINK("http://141.218.60.56/~jnz1568/getInfo.php?workbook=16_08.xlsx&amp;sheet=A0&amp;row=353&amp;col=7&amp;number=0&amp;sourceID=14","0")</f>
        <v>0</v>
      </c>
    </row>
    <row r="354" spans="1:7">
      <c r="A354" s="3">
        <v>16</v>
      </c>
      <c r="B354" s="3">
        <v>8</v>
      </c>
      <c r="C354" s="3">
        <v>43</v>
      </c>
      <c r="D354" s="3">
        <v>25</v>
      </c>
      <c r="E354" s="3">
        <v>-1008.859</v>
      </c>
      <c r="F354" s="4" t="str">
        <f>HYPERLINK("http://141.218.60.56/~jnz1568/getInfo.php?workbook=16_08.xlsx&amp;sheet=A0&amp;row=354&amp;col=6&amp;number=345600000&amp;sourceID=14","345600000")</f>
        <v>345600000</v>
      </c>
      <c r="G354" s="4" t="str">
        <f>HYPERLINK("http://141.218.60.56/~jnz1568/getInfo.php?workbook=16_08.xlsx&amp;sheet=A0&amp;row=354&amp;col=7&amp;number=0&amp;sourceID=14","0")</f>
        <v>0</v>
      </c>
    </row>
    <row r="355" spans="1:7">
      <c r="A355" s="3">
        <v>16</v>
      </c>
      <c r="B355" s="3">
        <v>8</v>
      </c>
      <c r="C355" s="3">
        <v>43</v>
      </c>
      <c r="D355" s="3">
        <v>26</v>
      </c>
      <c r="E355" s="3">
        <v>-1171.116</v>
      </c>
      <c r="F355" s="4" t="str">
        <f>HYPERLINK("http://141.218.60.56/~jnz1568/getInfo.php?workbook=16_08.xlsx&amp;sheet=A0&amp;row=355&amp;col=6&amp;number=5765000&amp;sourceID=14","5765000")</f>
        <v>5765000</v>
      </c>
      <c r="G355" s="4" t="str">
        <f>HYPERLINK("http://141.218.60.56/~jnz1568/getInfo.php?workbook=16_08.xlsx&amp;sheet=A0&amp;row=355&amp;col=7&amp;number=0&amp;sourceID=14","0")</f>
        <v>0</v>
      </c>
    </row>
    <row r="356" spans="1:7">
      <c r="A356" s="3">
        <v>16</v>
      </c>
      <c r="B356" s="3">
        <v>8</v>
      </c>
      <c r="C356" s="3">
        <v>44</v>
      </c>
      <c r="D356" s="3">
        <v>1</v>
      </c>
      <c r="E356" s="3">
        <v>50.196</v>
      </c>
      <c r="F356" s="4" t="str">
        <f>HYPERLINK("http://141.218.60.56/~jnz1568/getInfo.php?workbook=16_08.xlsx&amp;sheet=A0&amp;row=356&amp;col=6&amp;number=3848000&amp;sourceID=14","3848000")</f>
        <v>3848000</v>
      </c>
      <c r="G356" s="4" t="str">
        <f>HYPERLINK("http://141.218.60.56/~jnz1568/getInfo.php?workbook=16_08.xlsx&amp;sheet=A0&amp;row=356&amp;col=7&amp;number=0&amp;sourceID=14","0")</f>
        <v>0</v>
      </c>
    </row>
    <row r="357" spans="1:7">
      <c r="A357" s="3">
        <v>16</v>
      </c>
      <c r="B357" s="3">
        <v>8</v>
      </c>
      <c r="C357" s="3">
        <v>44</v>
      </c>
      <c r="D357" s="3">
        <v>2</v>
      </c>
      <c r="E357" s="3">
        <v>50.398</v>
      </c>
      <c r="F357" s="4" t="str">
        <f>HYPERLINK("http://141.218.60.56/~jnz1568/getInfo.php?workbook=16_08.xlsx&amp;sheet=A0&amp;row=357&amp;col=6&amp;number=1845000&amp;sourceID=14","1845000")</f>
        <v>1845000</v>
      </c>
      <c r="G357" s="4" t="str">
        <f>HYPERLINK("http://141.218.60.56/~jnz1568/getInfo.php?workbook=16_08.xlsx&amp;sheet=A0&amp;row=357&amp;col=7&amp;number=0&amp;sourceID=14","0")</f>
        <v>0</v>
      </c>
    </row>
    <row r="358" spans="1:7">
      <c r="A358" s="3">
        <v>16</v>
      </c>
      <c r="B358" s="3">
        <v>8</v>
      </c>
      <c r="C358" s="3">
        <v>44</v>
      </c>
      <c r="D358" s="3">
        <v>3</v>
      </c>
      <c r="E358" s="3">
        <v>50.465</v>
      </c>
      <c r="F358" s="4" t="str">
        <f>HYPERLINK("http://141.218.60.56/~jnz1568/getInfo.php?workbook=16_08.xlsx&amp;sheet=A0&amp;row=358&amp;col=6&amp;number=9188000&amp;sourceID=14","9188000")</f>
        <v>9188000</v>
      </c>
      <c r="G358" s="4" t="str">
        <f>HYPERLINK("http://141.218.60.56/~jnz1568/getInfo.php?workbook=16_08.xlsx&amp;sheet=A0&amp;row=358&amp;col=7&amp;number=0&amp;sourceID=14","0")</f>
        <v>0</v>
      </c>
    </row>
    <row r="359" spans="1:7">
      <c r="A359" s="3">
        <v>16</v>
      </c>
      <c r="B359" s="3">
        <v>8</v>
      </c>
      <c r="C359" s="3">
        <v>44</v>
      </c>
      <c r="D359" s="3">
        <v>4</v>
      </c>
      <c r="E359" s="3">
        <v>51.709</v>
      </c>
      <c r="F359" s="4" t="str">
        <f>HYPERLINK("http://141.218.60.56/~jnz1568/getInfo.php?workbook=16_08.xlsx&amp;sheet=A0&amp;row=359&amp;col=6&amp;number=1927000&amp;sourceID=14","1927000")</f>
        <v>1927000</v>
      </c>
      <c r="G359" s="4" t="str">
        <f>HYPERLINK("http://141.218.60.56/~jnz1568/getInfo.php?workbook=16_08.xlsx&amp;sheet=A0&amp;row=359&amp;col=7&amp;number=0&amp;sourceID=14","0")</f>
        <v>0</v>
      </c>
    </row>
    <row r="360" spans="1:7">
      <c r="A360" s="3">
        <v>16</v>
      </c>
      <c r="B360" s="3">
        <v>8</v>
      </c>
      <c r="C360" s="3">
        <v>44</v>
      </c>
      <c r="D360" s="3">
        <v>5</v>
      </c>
      <c r="E360" s="3">
        <v>53.49</v>
      </c>
      <c r="F360" s="4" t="str">
        <f>HYPERLINK("http://141.218.60.56/~jnz1568/getInfo.php?workbook=16_08.xlsx&amp;sheet=A0&amp;row=360&amp;col=6&amp;number=911800&amp;sourceID=14","911800")</f>
        <v>911800</v>
      </c>
      <c r="G360" s="4" t="str">
        <f>HYPERLINK("http://141.218.60.56/~jnz1568/getInfo.php?workbook=16_08.xlsx&amp;sheet=A0&amp;row=360&amp;col=7&amp;number=0&amp;sourceID=14","0")</f>
        <v>0</v>
      </c>
    </row>
    <row r="361" spans="1:7">
      <c r="A361" s="3">
        <v>16</v>
      </c>
      <c r="B361" s="3">
        <v>8</v>
      </c>
      <c r="C361" s="3">
        <v>44</v>
      </c>
      <c r="D361" s="3">
        <v>6</v>
      </c>
      <c r="E361" s="3">
        <v>64.632</v>
      </c>
      <c r="F361" s="4" t="str">
        <f>HYPERLINK("http://141.218.60.56/~jnz1568/getInfo.php?workbook=16_08.xlsx&amp;sheet=A0&amp;row=361&amp;col=6&amp;number=34590000&amp;sourceID=14","34590000")</f>
        <v>34590000</v>
      </c>
      <c r="G361" s="4" t="str">
        <f>HYPERLINK("http://141.218.60.56/~jnz1568/getInfo.php?workbook=16_08.xlsx&amp;sheet=A0&amp;row=361&amp;col=7&amp;number=0&amp;sourceID=14","0")</f>
        <v>0</v>
      </c>
    </row>
    <row r="362" spans="1:7">
      <c r="A362" s="3">
        <v>16</v>
      </c>
      <c r="B362" s="3">
        <v>8</v>
      </c>
      <c r="C362" s="3">
        <v>44</v>
      </c>
      <c r="D362" s="3">
        <v>7</v>
      </c>
      <c r="E362" s="3">
        <v>64.926</v>
      </c>
      <c r="F362" s="4" t="str">
        <f>HYPERLINK("http://141.218.60.56/~jnz1568/getInfo.php?workbook=16_08.xlsx&amp;sheet=A0&amp;row=362&amp;col=6&amp;number=3715000000&amp;sourceID=14","3715000000")</f>
        <v>3715000000</v>
      </c>
      <c r="G362" s="4" t="str">
        <f>HYPERLINK("http://141.218.60.56/~jnz1568/getInfo.php?workbook=16_08.xlsx&amp;sheet=A0&amp;row=362&amp;col=7&amp;number=0&amp;sourceID=14","0")</f>
        <v>0</v>
      </c>
    </row>
    <row r="363" spans="1:7">
      <c r="A363" s="3">
        <v>16</v>
      </c>
      <c r="B363" s="3">
        <v>8</v>
      </c>
      <c r="C363" s="3">
        <v>44</v>
      </c>
      <c r="D363" s="3">
        <v>9</v>
      </c>
      <c r="E363" s="3">
        <v>72.667</v>
      </c>
      <c r="F363" s="4" t="str">
        <f>HYPERLINK("http://141.218.60.56/~jnz1568/getInfo.php?workbook=16_08.xlsx&amp;sheet=A0&amp;row=363&amp;col=6&amp;number=112100000&amp;sourceID=14","112100000")</f>
        <v>112100000</v>
      </c>
      <c r="G363" s="4" t="str">
        <f>HYPERLINK("http://141.218.60.56/~jnz1568/getInfo.php?workbook=16_08.xlsx&amp;sheet=A0&amp;row=363&amp;col=7&amp;number=0&amp;sourceID=14","0")</f>
        <v>0</v>
      </c>
    </row>
    <row r="364" spans="1:7">
      <c r="A364" s="3">
        <v>16</v>
      </c>
      <c r="B364" s="3">
        <v>8</v>
      </c>
      <c r="C364" s="3">
        <v>44</v>
      </c>
      <c r="D364" s="3">
        <v>11</v>
      </c>
      <c r="E364" s="3">
        <v>424.056</v>
      </c>
      <c r="F364" s="4" t="str">
        <f>HYPERLINK("http://141.218.60.56/~jnz1568/getInfo.php?workbook=16_08.xlsx&amp;sheet=A0&amp;row=364&amp;col=6&amp;number=64010&amp;sourceID=14","64010")</f>
        <v>64010</v>
      </c>
      <c r="G364" s="4" t="str">
        <f>HYPERLINK("http://141.218.60.56/~jnz1568/getInfo.php?workbook=16_08.xlsx&amp;sheet=A0&amp;row=364&amp;col=7&amp;number=0&amp;sourceID=14","0")</f>
        <v>0</v>
      </c>
    </row>
    <row r="365" spans="1:7">
      <c r="A365" s="3">
        <v>16</v>
      </c>
      <c r="B365" s="3">
        <v>8</v>
      </c>
      <c r="C365" s="3">
        <v>44</v>
      </c>
      <c r="D365" s="3">
        <v>12</v>
      </c>
      <c r="E365" s="3">
        <v>478.325</v>
      </c>
      <c r="F365" s="4" t="str">
        <f>HYPERLINK("http://141.218.60.56/~jnz1568/getInfo.php?workbook=16_08.xlsx&amp;sheet=A0&amp;row=365&amp;col=6&amp;number=67170000&amp;sourceID=14","67170000")</f>
        <v>67170000</v>
      </c>
      <c r="G365" s="4" t="str">
        <f>HYPERLINK("http://141.218.60.56/~jnz1568/getInfo.php?workbook=16_08.xlsx&amp;sheet=A0&amp;row=365&amp;col=7&amp;number=0&amp;sourceID=14","0")</f>
        <v>0</v>
      </c>
    </row>
    <row r="366" spans="1:7">
      <c r="A366" s="3">
        <v>16</v>
      </c>
      <c r="B366" s="3">
        <v>8</v>
      </c>
      <c r="C366" s="3">
        <v>44</v>
      </c>
      <c r="D366" s="3">
        <v>13</v>
      </c>
      <c r="E366" s="3">
        <v>679.172</v>
      </c>
      <c r="F366" s="4" t="str">
        <f>HYPERLINK("http://141.218.60.56/~jnz1568/getInfo.php?workbook=16_08.xlsx&amp;sheet=A0&amp;row=366&amp;col=6&amp;number=14050000&amp;sourceID=14","14050000")</f>
        <v>14050000</v>
      </c>
      <c r="G366" s="4" t="str">
        <f>HYPERLINK("http://141.218.60.56/~jnz1568/getInfo.php?workbook=16_08.xlsx&amp;sheet=A0&amp;row=366&amp;col=7&amp;number=0&amp;sourceID=14","0")</f>
        <v>0</v>
      </c>
    </row>
    <row r="367" spans="1:7">
      <c r="A367" s="3">
        <v>16</v>
      </c>
      <c r="B367" s="3">
        <v>8</v>
      </c>
      <c r="C367" s="3">
        <v>44</v>
      </c>
      <c r="D367" s="3">
        <v>14</v>
      </c>
      <c r="E367" s="3">
        <v>680.226</v>
      </c>
      <c r="F367" s="4" t="str">
        <f>HYPERLINK("http://141.218.60.56/~jnz1568/getInfo.php?workbook=16_08.xlsx&amp;sheet=A0&amp;row=367&amp;col=6&amp;number=7794000&amp;sourceID=14","7794000")</f>
        <v>7794000</v>
      </c>
      <c r="G367" s="4" t="str">
        <f>HYPERLINK("http://141.218.60.56/~jnz1568/getInfo.php?workbook=16_08.xlsx&amp;sheet=A0&amp;row=367&amp;col=7&amp;number=0&amp;sourceID=14","0")</f>
        <v>0</v>
      </c>
    </row>
    <row r="368" spans="1:7">
      <c r="A368" s="3">
        <v>16</v>
      </c>
      <c r="B368" s="3">
        <v>8</v>
      </c>
      <c r="C368" s="3">
        <v>44</v>
      </c>
      <c r="D368" s="3">
        <v>15</v>
      </c>
      <c r="E368" s="3">
        <v>683.261</v>
      </c>
      <c r="F368" s="4" t="str">
        <f>HYPERLINK("http://141.218.60.56/~jnz1568/getInfo.php?workbook=16_08.xlsx&amp;sheet=A0&amp;row=368&amp;col=6&amp;number=259300000&amp;sourceID=14","259300000")</f>
        <v>259300000</v>
      </c>
      <c r="G368" s="4" t="str">
        <f>HYPERLINK("http://141.218.60.56/~jnz1568/getInfo.php?workbook=16_08.xlsx&amp;sheet=A0&amp;row=368&amp;col=7&amp;number=0&amp;sourceID=14","0")</f>
        <v>0</v>
      </c>
    </row>
    <row r="369" spans="1:7">
      <c r="A369" s="3">
        <v>16</v>
      </c>
      <c r="B369" s="3">
        <v>8</v>
      </c>
      <c r="C369" s="3">
        <v>44</v>
      </c>
      <c r="D369" s="3">
        <v>16</v>
      </c>
      <c r="E369" s="3">
        <v>748.856</v>
      </c>
      <c r="F369" s="4" t="str">
        <f>HYPERLINK("http://141.218.60.56/~jnz1568/getInfo.php?workbook=16_08.xlsx&amp;sheet=A0&amp;row=369&amp;col=6&amp;number=152400000&amp;sourceID=14","152400000")</f>
        <v>152400000</v>
      </c>
      <c r="G369" s="4" t="str">
        <f>HYPERLINK("http://141.218.60.56/~jnz1568/getInfo.php?workbook=16_08.xlsx&amp;sheet=A0&amp;row=369&amp;col=7&amp;number=0&amp;sourceID=14","0")</f>
        <v>0</v>
      </c>
    </row>
    <row r="370" spans="1:7">
      <c r="A370" s="3">
        <v>16</v>
      </c>
      <c r="B370" s="3">
        <v>8</v>
      </c>
      <c r="C370" s="3">
        <v>44</v>
      </c>
      <c r="D370" s="3">
        <v>24</v>
      </c>
      <c r="E370" s="3">
        <v>981.152</v>
      </c>
      <c r="F370" s="4" t="str">
        <f>HYPERLINK("http://141.218.60.56/~jnz1568/getInfo.php?workbook=16_08.xlsx&amp;sheet=A0&amp;row=370&amp;col=6&amp;number=819500000&amp;sourceID=14","819500000")</f>
        <v>819500000</v>
      </c>
      <c r="G370" s="4" t="str">
        <f>HYPERLINK("http://141.218.60.56/~jnz1568/getInfo.php?workbook=16_08.xlsx&amp;sheet=A0&amp;row=370&amp;col=7&amp;number=0&amp;sourceID=14","0")</f>
        <v>0</v>
      </c>
    </row>
    <row r="371" spans="1:7">
      <c r="A371" s="3">
        <v>16</v>
      </c>
      <c r="B371" s="3">
        <v>8</v>
      </c>
      <c r="C371" s="3">
        <v>44</v>
      </c>
      <c r="D371" s="3">
        <v>25</v>
      </c>
      <c r="E371" s="3">
        <v>995.659</v>
      </c>
      <c r="F371" s="4" t="str">
        <f>HYPERLINK("http://141.218.60.56/~jnz1568/getInfo.php?workbook=16_08.xlsx&amp;sheet=A0&amp;row=371&amp;col=6&amp;number=175100000&amp;sourceID=14","175100000")</f>
        <v>175100000</v>
      </c>
      <c r="G371" s="4" t="str">
        <f>HYPERLINK("http://141.218.60.56/~jnz1568/getInfo.php?workbook=16_08.xlsx&amp;sheet=A0&amp;row=371&amp;col=7&amp;number=0&amp;sourceID=14","0")</f>
        <v>0</v>
      </c>
    </row>
    <row r="372" spans="1:7">
      <c r="A372" s="3">
        <v>16</v>
      </c>
      <c r="B372" s="3">
        <v>8</v>
      </c>
      <c r="C372" s="3">
        <v>44</v>
      </c>
      <c r="D372" s="3">
        <v>26</v>
      </c>
      <c r="E372" s="3">
        <v>1138.991</v>
      </c>
      <c r="F372" s="4" t="str">
        <f>HYPERLINK("http://141.218.60.56/~jnz1568/getInfo.php?workbook=16_08.xlsx&amp;sheet=A0&amp;row=372&amp;col=6&amp;number=23350000&amp;sourceID=14","23350000")</f>
        <v>23350000</v>
      </c>
      <c r="G372" s="4" t="str">
        <f>HYPERLINK("http://141.218.60.56/~jnz1568/getInfo.php?workbook=16_08.xlsx&amp;sheet=A0&amp;row=372&amp;col=7&amp;number=0&amp;sourceID=14","0")</f>
        <v>0</v>
      </c>
    </row>
    <row r="373" spans="1:7">
      <c r="A373" s="3">
        <v>16</v>
      </c>
      <c r="B373" s="3">
        <v>8</v>
      </c>
      <c r="C373" s="3">
        <v>45</v>
      </c>
      <c r="D373" s="3">
        <v>1</v>
      </c>
      <c r="E373" s="3">
        <v>-50.164</v>
      </c>
      <c r="F373" s="4" t="str">
        <f>HYPERLINK("http://141.218.60.56/~jnz1568/getInfo.php?workbook=16_08.xlsx&amp;sheet=A0&amp;row=373&amp;col=6&amp;number=1799000&amp;sourceID=14","1799000")</f>
        <v>1799000</v>
      </c>
      <c r="G373" s="4" t="str">
        <f>HYPERLINK("http://141.218.60.56/~jnz1568/getInfo.php?workbook=16_08.xlsx&amp;sheet=A0&amp;row=373&amp;col=7&amp;number=0&amp;sourceID=14","0")</f>
        <v>0</v>
      </c>
    </row>
    <row r="374" spans="1:7">
      <c r="A374" s="3">
        <v>16</v>
      </c>
      <c r="B374" s="3">
        <v>8</v>
      </c>
      <c r="C374" s="3">
        <v>45</v>
      </c>
      <c r="D374" s="3">
        <v>2</v>
      </c>
      <c r="E374" s="3">
        <v>-50.373</v>
      </c>
      <c r="F374" s="4" t="str">
        <f>HYPERLINK("http://141.218.60.56/~jnz1568/getInfo.php?workbook=16_08.xlsx&amp;sheet=A0&amp;row=374&amp;col=6&amp;number=11120000&amp;sourceID=14","11120000")</f>
        <v>11120000</v>
      </c>
      <c r="G374" s="4" t="str">
        <f>HYPERLINK("http://141.218.60.56/~jnz1568/getInfo.php?workbook=16_08.xlsx&amp;sheet=A0&amp;row=374&amp;col=7&amp;number=0&amp;sourceID=14","0")</f>
        <v>0</v>
      </c>
    </row>
    <row r="375" spans="1:7">
      <c r="A375" s="3">
        <v>16</v>
      </c>
      <c r="B375" s="3">
        <v>8</v>
      </c>
      <c r="C375" s="3">
        <v>45</v>
      </c>
      <c r="D375" s="3">
        <v>4</v>
      </c>
      <c r="E375" s="3">
        <v>-51.767</v>
      </c>
      <c r="F375" s="4" t="str">
        <f>HYPERLINK("http://141.218.60.56/~jnz1568/getInfo.php?workbook=16_08.xlsx&amp;sheet=A0&amp;row=375&amp;col=6&amp;number=730200&amp;sourceID=14","730200")</f>
        <v>730200</v>
      </c>
      <c r="G375" s="4" t="str">
        <f>HYPERLINK("http://141.218.60.56/~jnz1568/getInfo.php?workbook=16_08.xlsx&amp;sheet=A0&amp;row=375&amp;col=7&amp;number=0&amp;sourceID=14","0")</f>
        <v>0</v>
      </c>
    </row>
    <row r="376" spans="1:7">
      <c r="A376" s="3">
        <v>16</v>
      </c>
      <c r="B376" s="3">
        <v>8</v>
      </c>
      <c r="C376" s="3">
        <v>45</v>
      </c>
      <c r="D376" s="3">
        <v>6</v>
      </c>
      <c r="E376" s="3">
        <v>-65.019</v>
      </c>
      <c r="F376" s="4" t="str">
        <f>HYPERLINK("http://141.218.60.56/~jnz1568/getInfo.php?workbook=16_08.xlsx&amp;sheet=A0&amp;row=376&amp;col=6&amp;number=45590000&amp;sourceID=14","45590000")</f>
        <v>45590000</v>
      </c>
      <c r="G376" s="4" t="str">
        <f>HYPERLINK("http://141.218.60.56/~jnz1568/getInfo.php?workbook=16_08.xlsx&amp;sheet=A0&amp;row=376&amp;col=7&amp;number=0&amp;sourceID=14","0")</f>
        <v>0</v>
      </c>
    </row>
    <row r="377" spans="1:7">
      <c r="A377" s="3">
        <v>16</v>
      </c>
      <c r="B377" s="3">
        <v>8</v>
      </c>
      <c r="C377" s="3">
        <v>45</v>
      </c>
      <c r="D377" s="3">
        <v>7</v>
      </c>
      <c r="E377" s="3">
        <v>-65.327</v>
      </c>
      <c r="F377" s="4" t="str">
        <f>HYPERLINK("http://141.218.60.56/~jnz1568/getInfo.php?workbook=16_08.xlsx&amp;sheet=A0&amp;row=377&amp;col=6&amp;number=1093000000&amp;sourceID=14","1093000000")</f>
        <v>1093000000</v>
      </c>
      <c r="G377" s="4" t="str">
        <f>HYPERLINK("http://141.218.60.56/~jnz1568/getInfo.php?workbook=16_08.xlsx&amp;sheet=A0&amp;row=377&amp;col=7&amp;number=0&amp;sourceID=14","0")</f>
        <v>0</v>
      </c>
    </row>
    <row r="378" spans="1:7">
      <c r="A378" s="3">
        <v>16</v>
      </c>
      <c r="B378" s="3">
        <v>8</v>
      </c>
      <c r="C378" s="3">
        <v>45</v>
      </c>
      <c r="D378" s="3">
        <v>8</v>
      </c>
      <c r="E378" s="3">
        <v>-65.498</v>
      </c>
      <c r="F378" s="4" t="str">
        <f>HYPERLINK("http://141.218.60.56/~jnz1568/getInfo.php?workbook=16_08.xlsx&amp;sheet=A0&amp;row=378&amp;col=6&amp;number=2254000000&amp;sourceID=14","2254000000")</f>
        <v>2254000000</v>
      </c>
      <c r="G378" s="4" t="str">
        <f>HYPERLINK("http://141.218.60.56/~jnz1568/getInfo.php?workbook=16_08.xlsx&amp;sheet=A0&amp;row=378&amp;col=7&amp;number=0&amp;sourceID=14","0")</f>
        <v>0</v>
      </c>
    </row>
    <row r="379" spans="1:7">
      <c r="A379" s="3">
        <v>16</v>
      </c>
      <c r="B379" s="3">
        <v>8</v>
      </c>
      <c r="C379" s="3">
        <v>45</v>
      </c>
      <c r="D379" s="3">
        <v>9</v>
      </c>
      <c r="E379" s="3">
        <v>-73.682</v>
      </c>
      <c r="F379" s="4" t="str">
        <f>HYPERLINK("http://141.218.60.56/~jnz1568/getInfo.php?workbook=16_08.xlsx&amp;sheet=A0&amp;row=379&amp;col=6&amp;number=154000000&amp;sourceID=14","154000000")</f>
        <v>154000000</v>
      </c>
      <c r="G379" s="4" t="str">
        <f>HYPERLINK("http://141.218.60.56/~jnz1568/getInfo.php?workbook=16_08.xlsx&amp;sheet=A0&amp;row=379&amp;col=7&amp;number=0&amp;sourceID=14","0")</f>
        <v>0</v>
      </c>
    </row>
    <row r="380" spans="1:7">
      <c r="A380" s="3">
        <v>16</v>
      </c>
      <c r="B380" s="3">
        <v>8</v>
      </c>
      <c r="C380" s="3">
        <v>45</v>
      </c>
      <c r="D380" s="3">
        <v>12</v>
      </c>
      <c r="E380" s="3">
        <v>-461.188</v>
      </c>
      <c r="F380" s="4" t="str">
        <f>HYPERLINK("http://141.218.60.56/~jnz1568/getInfo.php?workbook=16_08.xlsx&amp;sheet=A0&amp;row=380&amp;col=6&amp;number=1983000&amp;sourceID=14","1983000")</f>
        <v>1983000</v>
      </c>
      <c r="G380" s="4" t="str">
        <f>HYPERLINK("http://141.218.60.56/~jnz1568/getInfo.php?workbook=16_08.xlsx&amp;sheet=A0&amp;row=380&amp;col=7&amp;number=0&amp;sourceID=14","0")</f>
        <v>0</v>
      </c>
    </row>
    <row r="381" spans="1:7">
      <c r="A381" s="3">
        <v>16</v>
      </c>
      <c r="B381" s="3">
        <v>8</v>
      </c>
      <c r="C381" s="3">
        <v>45</v>
      </c>
      <c r="D381" s="3">
        <v>13</v>
      </c>
      <c r="E381" s="3">
        <v>-650.764</v>
      </c>
      <c r="F381" s="4" t="str">
        <f>HYPERLINK("http://141.218.60.56/~jnz1568/getInfo.php?workbook=16_08.xlsx&amp;sheet=A0&amp;row=381&amp;col=6&amp;number=74050000&amp;sourceID=14","74050000")</f>
        <v>74050000</v>
      </c>
      <c r="G381" s="4" t="str">
        <f>HYPERLINK("http://141.218.60.56/~jnz1568/getInfo.php?workbook=16_08.xlsx&amp;sheet=A0&amp;row=381&amp;col=7&amp;number=0&amp;sourceID=14","0")</f>
        <v>0</v>
      </c>
    </row>
    <row r="382" spans="1:7">
      <c r="A382" s="3">
        <v>16</v>
      </c>
      <c r="B382" s="3">
        <v>8</v>
      </c>
      <c r="C382" s="3">
        <v>45</v>
      </c>
      <c r="D382" s="3">
        <v>14</v>
      </c>
      <c r="E382" s="3">
        <v>-649.354</v>
      </c>
      <c r="F382" s="4" t="str">
        <f>HYPERLINK("http://141.218.60.56/~jnz1568/getInfo.php?workbook=16_08.xlsx&amp;sheet=A0&amp;row=382&amp;col=6&amp;number=60630000&amp;sourceID=14","60630000")</f>
        <v>60630000</v>
      </c>
      <c r="G382" s="4" t="str">
        <f>HYPERLINK("http://141.218.60.56/~jnz1568/getInfo.php?workbook=16_08.xlsx&amp;sheet=A0&amp;row=382&amp;col=7&amp;number=0&amp;sourceID=14","0")</f>
        <v>0</v>
      </c>
    </row>
    <row r="383" spans="1:7">
      <c r="A383" s="3">
        <v>16</v>
      </c>
      <c r="B383" s="3">
        <v>8</v>
      </c>
      <c r="C383" s="3">
        <v>45</v>
      </c>
      <c r="D383" s="3">
        <v>16</v>
      </c>
      <c r="E383" s="3">
        <v>-721.248</v>
      </c>
      <c r="F383" s="4" t="str">
        <f>HYPERLINK("http://141.218.60.56/~jnz1568/getInfo.php?workbook=16_08.xlsx&amp;sheet=A0&amp;row=383&amp;col=6&amp;number=38910000&amp;sourceID=14","38910000")</f>
        <v>38910000</v>
      </c>
      <c r="G383" s="4" t="str">
        <f>HYPERLINK("http://141.218.60.56/~jnz1568/getInfo.php?workbook=16_08.xlsx&amp;sheet=A0&amp;row=383&amp;col=7&amp;number=0&amp;sourceID=14","0")</f>
        <v>0</v>
      </c>
    </row>
    <row r="384" spans="1:7">
      <c r="A384" s="3">
        <v>16</v>
      </c>
      <c r="B384" s="3">
        <v>8</v>
      </c>
      <c r="C384" s="3">
        <v>45</v>
      </c>
      <c r="D384" s="3">
        <v>23</v>
      </c>
      <c r="E384" s="3">
        <v>-881.157</v>
      </c>
      <c r="F384" s="4" t="str">
        <f>HYPERLINK("http://141.218.60.56/~jnz1568/getInfo.php?workbook=16_08.xlsx&amp;sheet=A0&amp;row=384&amp;col=6&amp;number=679600000&amp;sourceID=14","679600000")</f>
        <v>679600000</v>
      </c>
      <c r="G384" s="4" t="str">
        <f>HYPERLINK("http://141.218.60.56/~jnz1568/getInfo.php?workbook=16_08.xlsx&amp;sheet=A0&amp;row=384&amp;col=7&amp;number=0&amp;sourceID=14","0")</f>
        <v>0</v>
      </c>
    </row>
    <row r="385" spans="1:7">
      <c r="A385" s="3">
        <v>16</v>
      </c>
      <c r="B385" s="3">
        <v>8</v>
      </c>
      <c r="C385" s="3">
        <v>45</v>
      </c>
      <c r="D385" s="3">
        <v>24</v>
      </c>
      <c r="E385" s="3">
        <v>-886.389</v>
      </c>
      <c r="F385" s="4" t="str">
        <f>HYPERLINK("http://141.218.60.56/~jnz1568/getInfo.php?workbook=16_08.xlsx&amp;sheet=A0&amp;row=385&amp;col=6&amp;number=431200000&amp;sourceID=14","431200000")</f>
        <v>431200000</v>
      </c>
      <c r="G385" s="4" t="str">
        <f>HYPERLINK("http://141.218.60.56/~jnz1568/getInfo.php?workbook=16_08.xlsx&amp;sheet=A0&amp;row=385&amp;col=7&amp;number=0&amp;sourceID=14","0")</f>
        <v>0</v>
      </c>
    </row>
    <row r="386" spans="1:7">
      <c r="A386" s="3">
        <v>16</v>
      </c>
      <c r="B386" s="3">
        <v>8</v>
      </c>
      <c r="C386" s="3">
        <v>45</v>
      </c>
      <c r="D386" s="3">
        <v>25</v>
      </c>
      <c r="E386" s="3">
        <v>-900.25</v>
      </c>
      <c r="F386" s="4" t="str">
        <f>HYPERLINK("http://141.218.60.56/~jnz1568/getInfo.php?workbook=16_08.xlsx&amp;sheet=A0&amp;row=386&amp;col=6&amp;number=19920000&amp;sourceID=14","19920000")</f>
        <v>19920000</v>
      </c>
      <c r="G386" s="4" t="str">
        <f>HYPERLINK("http://141.218.60.56/~jnz1568/getInfo.php?workbook=16_08.xlsx&amp;sheet=A0&amp;row=386&amp;col=7&amp;number=0&amp;sourceID=14","0")</f>
        <v>0</v>
      </c>
    </row>
    <row r="387" spans="1:7">
      <c r="A387" s="3">
        <v>16</v>
      </c>
      <c r="B387" s="3">
        <v>8</v>
      </c>
      <c r="C387" s="3">
        <v>45</v>
      </c>
      <c r="D387" s="3">
        <v>26</v>
      </c>
      <c r="E387" s="3">
        <v>-1027.253</v>
      </c>
      <c r="F387" s="4" t="str">
        <f>HYPERLINK("http://141.218.60.56/~jnz1568/getInfo.php?workbook=16_08.xlsx&amp;sheet=A0&amp;row=387&amp;col=6&amp;number=16610000&amp;sourceID=14","16610000")</f>
        <v>16610000</v>
      </c>
      <c r="G387" s="4" t="str">
        <f>HYPERLINK("http://141.218.60.56/~jnz1568/getInfo.php?workbook=16_08.xlsx&amp;sheet=A0&amp;row=387&amp;col=7&amp;number=0&amp;sourceID=14","0")</f>
        <v>0</v>
      </c>
    </row>
    <row r="388" spans="1:7">
      <c r="A388" s="3">
        <v>16</v>
      </c>
      <c r="B388" s="3">
        <v>8</v>
      </c>
      <c r="C388" s="3">
        <v>46</v>
      </c>
      <c r="D388" s="3">
        <v>1</v>
      </c>
      <c r="E388" s="3">
        <v>49.886</v>
      </c>
      <c r="F388" s="4" t="str">
        <f>HYPERLINK("http://141.218.60.56/~jnz1568/getInfo.php?workbook=16_08.xlsx&amp;sheet=A0&amp;row=388&amp;col=6&amp;number=7113000&amp;sourceID=14","7113000")</f>
        <v>7113000</v>
      </c>
      <c r="G388" s="4" t="str">
        <f>HYPERLINK("http://141.218.60.56/~jnz1568/getInfo.php?workbook=16_08.xlsx&amp;sheet=A0&amp;row=388&amp;col=7&amp;number=0&amp;sourceID=14","0")</f>
        <v>0</v>
      </c>
    </row>
    <row r="389" spans="1:7">
      <c r="A389" s="3">
        <v>16</v>
      </c>
      <c r="B389" s="3">
        <v>8</v>
      </c>
      <c r="C389" s="3">
        <v>46</v>
      </c>
      <c r="D389" s="3">
        <v>2</v>
      </c>
      <c r="E389" s="3">
        <v>50.086</v>
      </c>
      <c r="F389" s="4" t="str">
        <f>HYPERLINK("http://141.218.60.56/~jnz1568/getInfo.php?workbook=16_08.xlsx&amp;sheet=A0&amp;row=389&amp;col=6&amp;number=8490000&amp;sourceID=14","8490000")</f>
        <v>8490000</v>
      </c>
      <c r="G389" s="4" t="str">
        <f>HYPERLINK("http://141.218.60.56/~jnz1568/getInfo.php?workbook=16_08.xlsx&amp;sheet=A0&amp;row=389&amp;col=7&amp;number=0&amp;sourceID=14","0")</f>
        <v>0</v>
      </c>
    </row>
    <row r="390" spans="1:7">
      <c r="A390" s="3">
        <v>16</v>
      </c>
      <c r="B390" s="3">
        <v>8</v>
      </c>
      <c r="C390" s="3">
        <v>46</v>
      </c>
      <c r="D390" s="3">
        <v>4</v>
      </c>
      <c r="E390" s="3">
        <v>51.38</v>
      </c>
      <c r="F390" s="4" t="str">
        <f>HYPERLINK("http://141.218.60.56/~jnz1568/getInfo.php?workbook=16_08.xlsx&amp;sheet=A0&amp;row=390&amp;col=6&amp;number=1849000&amp;sourceID=14","1849000")</f>
        <v>1849000</v>
      </c>
      <c r="G390" s="4" t="str">
        <f>HYPERLINK("http://141.218.60.56/~jnz1568/getInfo.php?workbook=16_08.xlsx&amp;sheet=A0&amp;row=390&amp;col=7&amp;number=0&amp;sourceID=14","0")</f>
        <v>0</v>
      </c>
    </row>
    <row r="391" spans="1:7">
      <c r="A391" s="3">
        <v>16</v>
      </c>
      <c r="B391" s="3">
        <v>8</v>
      </c>
      <c r="C391" s="3">
        <v>46</v>
      </c>
      <c r="D391" s="3">
        <v>6</v>
      </c>
      <c r="E391" s="3">
        <v>64.12</v>
      </c>
      <c r="F391" s="4" t="str">
        <f>HYPERLINK("http://141.218.60.56/~jnz1568/getInfo.php?workbook=16_08.xlsx&amp;sheet=A0&amp;row=391&amp;col=6&amp;number=3333000000&amp;sourceID=14","3333000000")</f>
        <v>3333000000</v>
      </c>
      <c r="G391" s="4" t="str">
        <f>HYPERLINK("http://141.218.60.56/~jnz1568/getInfo.php?workbook=16_08.xlsx&amp;sheet=A0&amp;row=391&amp;col=7&amp;number=0&amp;sourceID=14","0")</f>
        <v>0</v>
      </c>
    </row>
    <row r="392" spans="1:7">
      <c r="A392" s="3">
        <v>16</v>
      </c>
      <c r="B392" s="3">
        <v>8</v>
      </c>
      <c r="C392" s="3">
        <v>46</v>
      </c>
      <c r="D392" s="3">
        <v>11</v>
      </c>
      <c r="E392" s="3">
        <v>402.946</v>
      </c>
      <c r="F392" s="4" t="str">
        <f>HYPERLINK("http://141.218.60.56/~jnz1568/getInfo.php?workbook=16_08.xlsx&amp;sheet=A0&amp;row=392&amp;col=6&amp;number=184200&amp;sourceID=14","184200")</f>
        <v>184200</v>
      </c>
      <c r="G392" s="4" t="str">
        <f>HYPERLINK("http://141.218.60.56/~jnz1568/getInfo.php?workbook=16_08.xlsx&amp;sheet=A0&amp;row=392&amp;col=7&amp;number=0&amp;sourceID=14","0")</f>
        <v>0</v>
      </c>
    </row>
    <row r="393" spans="1:7">
      <c r="A393" s="3">
        <v>16</v>
      </c>
      <c r="B393" s="3">
        <v>8</v>
      </c>
      <c r="C393" s="3">
        <v>46</v>
      </c>
      <c r="D393" s="3">
        <v>13</v>
      </c>
      <c r="E393" s="3">
        <v>626.598</v>
      </c>
      <c r="F393" s="4" t="str">
        <f>HYPERLINK("http://141.218.60.56/~jnz1568/getInfo.php?workbook=16_08.xlsx&amp;sheet=A0&amp;row=393&amp;col=6&amp;number=19170000&amp;sourceID=14","19170000")</f>
        <v>19170000</v>
      </c>
      <c r="G393" s="4" t="str">
        <f>HYPERLINK("http://141.218.60.56/~jnz1568/getInfo.php?workbook=16_08.xlsx&amp;sheet=A0&amp;row=393&amp;col=7&amp;number=0&amp;sourceID=14","0")</f>
        <v>0</v>
      </c>
    </row>
    <row r="394" spans="1:7">
      <c r="A394" s="3">
        <v>16</v>
      </c>
      <c r="B394" s="3">
        <v>8</v>
      </c>
      <c r="C394" s="3">
        <v>46</v>
      </c>
      <c r="D394" s="3">
        <v>15</v>
      </c>
      <c r="E394" s="3">
        <v>630.076</v>
      </c>
      <c r="F394" s="4" t="str">
        <f>HYPERLINK("http://141.218.60.56/~jnz1568/getInfo.php?workbook=16_08.xlsx&amp;sheet=A0&amp;row=394&amp;col=6&amp;number=156700000&amp;sourceID=14","156700000")</f>
        <v>156700000</v>
      </c>
      <c r="G394" s="4" t="str">
        <f>HYPERLINK("http://141.218.60.56/~jnz1568/getInfo.php?workbook=16_08.xlsx&amp;sheet=A0&amp;row=394&amp;col=7&amp;number=0&amp;sourceID=14","0")</f>
        <v>0</v>
      </c>
    </row>
    <row r="395" spans="1:7">
      <c r="A395" s="3">
        <v>16</v>
      </c>
      <c r="B395" s="3">
        <v>8</v>
      </c>
      <c r="C395" s="3">
        <v>46</v>
      </c>
      <c r="D395" s="3">
        <v>16</v>
      </c>
      <c r="E395" s="3">
        <v>685.443</v>
      </c>
      <c r="F395" s="4" t="str">
        <f>HYPERLINK("http://141.218.60.56/~jnz1568/getInfo.php?workbook=16_08.xlsx&amp;sheet=A0&amp;row=395&amp;col=6&amp;number=3156000&amp;sourceID=14","3156000")</f>
        <v>3156000</v>
      </c>
      <c r="G395" s="4" t="str">
        <f>HYPERLINK("http://141.218.60.56/~jnz1568/getInfo.php?workbook=16_08.xlsx&amp;sheet=A0&amp;row=395&amp;col=7&amp;number=0&amp;sourceID=14","0")</f>
        <v>0</v>
      </c>
    </row>
    <row r="396" spans="1:7">
      <c r="A396" s="3">
        <v>16</v>
      </c>
      <c r="B396" s="3">
        <v>8</v>
      </c>
      <c r="C396" s="3">
        <v>46</v>
      </c>
      <c r="D396" s="3">
        <v>25</v>
      </c>
      <c r="E396" s="3">
        <v>886.603</v>
      </c>
      <c r="F396" s="4" t="str">
        <f>HYPERLINK("http://141.218.60.56/~jnz1568/getInfo.php?workbook=16_08.xlsx&amp;sheet=A0&amp;row=396&amp;col=6&amp;number=1154000000&amp;sourceID=14","1154000000")</f>
        <v>1154000000</v>
      </c>
      <c r="G396" s="4" t="str">
        <f>HYPERLINK("http://141.218.60.56/~jnz1568/getInfo.php?workbook=16_08.xlsx&amp;sheet=A0&amp;row=396&amp;col=7&amp;number=0&amp;sourceID=14","0")</f>
        <v>0</v>
      </c>
    </row>
    <row r="397" spans="1:7">
      <c r="A397" s="3">
        <v>16</v>
      </c>
      <c r="B397" s="3">
        <v>8</v>
      </c>
      <c r="C397" s="3">
        <v>47</v>
      </c>
      <c r="D397" s="3">
        <v>1</v>
      </c>
      <c r="E397" s="3">
        <v>-49.962</v>
      </c>
      <c r="F397" s="4" t="str">
        <f>HYPERLINK("http://141.218.60.56/~jnz1568/getInfo.php?workbook=16_08.xlsx&amp;sheet=A0&amp;row=397&amp;col=6&amp;number=86680&amp;sourceID=14","86680")</f>
        <v>86680</v>
      </c>
      <c r="G397" s="4" t="str">
        <f>HYPERLINK("http://141.218.60.56/~jnz1568/getInfo.php?workbook=16_08.xlsx&amp;sheet=A0&amp;row=397&amp;col=7&amp;number=0&amp;sourceID=14","0")</f>
        <v>0</v>
      </c>
    </row>
    <row r="398" spans="1:7">
      <c r="A398" s="3">
        <v>16</v>
      </c>
      <c r="B398" s="3">
        <v>8</v>
      </c>
      <c r="C398" s="3">
        <v>47</v>
      </c>
      <c r="D398" s="3">
        <v>2</v>
      </c>
      <c r="E398" s="3">
        <v>-50.17</v>
      </c>
      <c r="F398" s="4" t="str">
        <f>HYPERLINK("http://141.218.60.56/~jnz1568/getInfo.php?workbook=16_08.xlsx&amp;sheet=A0&amp;row=398&amp;col=6&amp;number=148000&amp;sourceID=14","148000")</f>
        <v>148000</v>
      </c>
      <c r="G398" s="4" t="str">
        <f>HYPERLINK("http://141.218.60.56/~jnz1568/getInfo.php?workbook=16_08.xlsx&amp;sheet=A0&amp;row=398&amp;col=7&amp;number=0&amp;sourceID=14","0")</f>
        <v>0</v>
      </c>
    </row>
    <row r="399" spans="1:7">
      <c r="A399" s="3">
        <v>16</v>
      </c>
      <c r="B399" s="3">
        <v>8</v>
      </c>
      <c r="C399" s="3">
        <v>47</v>
      </c>
      <c r="D399" s="3">
        <v>3</v>
      </c>
      <c r="E399" s="3">
        <v>-50.239</v>
      </c>
      <c r="F399" s="4" t="str">
        <f>HYPERLINK("http://141.218.60.56/~jnz1568/getInfo.php?workbook=16_08.xlsx&amp;sheet=A0&amp;row=399&amp;col=6&amp;number=260800&amp;sourceID=14","260800")</f>
        <v>260800</v>
      </c>
      <c r="G399" s="4" t="str">
        <f>HYPERLINK("http://141.218.60.56/~jnz1568/getInfo.php?workbook=16_08.xlsx&amp;sheet=A0&amp;row=399&amp;col=7&amp;number=0&amp;sourceID=14","0")</f>
        <v>0</v>
      </c>
    </row>
    <row r="400" spans="1:7">
      <c r="A400" s="3">
        <v>16</v>
      </c>
      <c r="B400" s="3">
        <v>8</v>
      </c>
      <c r="C400" s="3">
        <v>47</v>
      </c>
      <c r="D400" s="3">
        <v>4</v>
      </c>
      <c r="E400" s="3">
        <v>-51.552</v>
      </c>
      <c r="F400" s="4" t="str">
        <f>HYPERLINK("http://141.218.60.56/~jnz1568/getInfo.php?workbook=16_08.xlsx&amp;sheet=A0&amp;row=400&amp;col=6&amp;number=46750000&amp;sourceID=14","46750000")</f>
        <v>46750000</v>
      </c>
      <c r="G400" s="4" t="str">
        <f>HYPERLINK("http://141.218.60.56/~jnz1568/getInfo.php?workbook=16_08.xlsx&amp;sheet=A0&amp;row=400&amp;col=7&amp;number=0&amp;sourceID=14","0")</f>
        <v>0</v>
      </c>
    </row>
    <row r="401" spans="1:7">
      <c r="A401" s="3">
        <v>16</v>
      </c>
      <c r="B401" s="3">
        <v>8</v>
      </c>
      <c r="C401" s="3">
        <v>47</v>
      </c>
      <c r="D401" s="3">
        <v>5</v>
      </c>
      <c r="E401" s="3">
        <v>-53.268</v>
      </c>
      <c r="F401" s="4" t="str">
        <f>HYPERLINK("http://141.218.60.56/~jnz1568/getInfo.php?workbook=16_08.xlsx&amp;sheet=A0&amp;row=401&amp;col=6&amp;number=13240000&amp;sourceID=14","13240000")</f>
        <v>13240000</v>
      </c>
      <c r="G401" s="4" t="str">
        <f>HYPERLINK("http://141.218.60.56/~jnz1568/getInfo.php?workbook=16_08.xlsx&amp;sheet=A0&amp;row=401&amp;col=7&amp;number=0&amp;sourceID=14","0")</f>
        <v>0</v>
      </c>
    </row>
    <row r="402" spans="1:7">
      <c r="A402" s="3">
        <v>16</v>
      </c>
      <c r="B402" s="3">
        <v>8</v>
      </c>
      <c r="C402" s="3">
        <v>47</v>
      </c>
      <c r="D402" s="3">
        <v>6</v>
      </c>
      <c r="E402" s="3">
        <v>-64.681</v>
      </c>
      <c r="F402" s="4" t="str">
        <f>HYPERLINK("http://141.218.60.56/~jnz1568/getInfo.php?workbook=16_08.xlsx&amp;sheet=A0&amp;row=402&amp;col=6&amp;number=936900000&amp;sourceID=14","936900000")</f>
        <v>936900000</v>
      </c>
      <c r="G402" s="4" t="str">
        <f>HYPERLINK("http://141.218.60.56/~jnz1568/getInfo.php?workbook=16_08.xlsx&amp;sheet=A0&amp;row=402&amp;col=7&amp;number=0&amp;sourceID=14","0")</f>
        <v>0</v>
      </c>
    </row>
    <row r="403" spans="1:7">
      <c r="A403" s="3">
        <v>16</v>
      </c>
      <c r="B403" s="3">
        <v>8</v>
      </c>
      <c r="C403" s="3">
        <v>47</v>
      </c>
      <c r="D403" s="3">
        <v>7</v>
      </c>
      <c r="E403" s="3">
        <v>-64.986</v>
      </c>
      <c r="F403" s="4" t="str">
        <f>HYPERLINK("http://141.218.60.56/~jnz1568/getInfo.php?workbook=16_08.xlsx&amp;sheet=A0&amp;row=403&amp;col=6&amp;number=9970000&amp;sourceID=14","9970000")</f>
        <v>9970000</v>
      </c>
      <c r="G403" s="4" t="str">
        <f>HYPERLINK("http://141.218.60.56/~jnz1568/getInfo.php?workbook=16_08.xlsx&amp;sheet=A0&amp;row=403&amp;col=7&amp;number=0&amp;sourceID=14","0")</f>
        <v>0</v>
      </c>
    </row>
    <row r="404" spans="1:7">
      <c r="A404" s="3">
        <v>16</v>
      </c>
      <c r="B404" s="3">
        <v>8</v>
      </c>
      <c r="C404" s="3">
        <v>47</v>
      </c>
      <c r="D404" s="3">
        <v>9</v>
      </c>
      <c r="E404" s="3">
        <v>-73.248</v>
      </c>
      <c r="F404" s="4" t="str">
        <f>HYPERLINK("http://141.218.60.56/~jnz1568/getInfo.php?workbook=16_08.xlsx&amp;sheet=A0&amp;row=404&amp;col=6&amp;number=2929000000&amp;sourceID=14","2929000000")</f>
        <v>2929000000</v>
      </c>
      <c r="G404" s="4" t="str">
        <f>HYPERLINK("http://141.218.60.56/~jnz1568/getInfo.php?workbook=16_08.xlsx&amp;sheet=A0&amp;row=404&amp;col=7&amp;number=0&amp;sourceID=14","0")</f>
        <v>0</v>
      </c>
    </row>
    <row r="405" spans="1:7">
      <c r="A405" s="3">
        <v>16</v>
      </c>
      <c r="B405" s="3">
        <v>8</v>
      </c>
      <c r="C405" s="3">
        <v>47</v>
      </c>
      <c r="D405" s="3">
        <v>11</v>
      </c>
      <c r="E405" s="3">
        <v>-392.743</v>
      </c>
      <c r="F405" s="4" t="str">
        <f>HYPERLINK("http://141.218.60.56/~jnz1568/getInfo.php?workbook=16_08.xlsx&amp;sheet=A0&amp;row=405&amp;col=6&amp;number=251600&amp;sourceID=14","251600")</f>
        <v>251600</v>
      </c>
      <c r="G405" s="4" t="str">
        <f>HYPERLINK("http://141.218.60.56/~jnz1568/getInfo.php?workbook=16_08.xlsx&amp;sheet=A0&amp;row=405&amp;col=7&amp;number=0&amp;sourceID=14","0")</f>
        <v>0</v>
      </c>
    </row>
    <row r="406" spans="1:7">
      <c r="A406" s="3">
        <v>16</v>
      </c>
      <c r="B406" s="3">
        <v>8</v>
      </c>
      <c r="C406" s="3">
        <v>47</v>
      </c>
      <c r="D406" s="3">
        <v>12</v>
      </c>
      <c r="E406" s="3">
        <v>-444.72</v>
      </c>
      <c r="F406" s="4" t="str">
        <f>HYPERLINK("http://141.218.60.56/~jnz1568/getInfo.php?workbook=16_08.xlsx&amp;sheet=A0&amp;row=406&amp;col=6&amp;number=182000000&amp;sourceID=14","182000000")</f>
        <v>182000000</v>
      </c>
      <c r="G406" s="4" t="str">
        <f>HYPERLINK("http://141.218.60.56/~jnz1568/getInfo.php?workbook=16_08.xlsx&amp;sheet=A0&amp;row=406&amp;col=7&amp;number=0&amp;sourceID=14","0")</f>
        <v>0</v>
      </c>
    </row>
    <row r="407" spans="1:7">
      <c r="A407" s="3">
        <v>16</v>
      </c>
      <c r="B407" s="3">
        <v>8</v>
      </c>
      <c r="C407" s="3">
        <v>47</v>
      </c>
      <c r="D407" s="3">
        <v>13</v>
      </c>
      <c r="E407" s="3">
        <v>-618.448</v>
      </c>
      <c r="F407" s="4" t="str">
        <f>HYPERLINK("http://141.218.60.56/~jnz1568/getInfo.php?workbook=16_08.xlsx&amp;sheet=A0&amp;row=407&amp;col=6&amp;number=69680000&amp;sourceID=14","69680000")</f>
        <v>69680000</v>
      </c>
      <c r="G407" s="4" t="str">
        <f>HYPERLINK("http://141.218.60.56/~jnz1568/getInfo.php?workbook=16_08.xlsx&amp;sheet=A0&amp;row=407&amp;col=7&amp;number=0&amp;sourceID=14","0")</f>
        <v>0</v>
      </c>
    </row>
    <row r="408" spans="1:7">
      <c r="A408" s="3">
        <v>16</v>
      </c>
      <c r="B408" s="3">
        <v>8</v>
      </c>
      <c r="C408" s="3">
        <v>47</v>
      </c>
      <c r="D408" s="3">
        <v>14</v>
      </c>
      <c r="E408" s="3">
        <v>-617.174</v>
      </c>
      <c r="F408" s="4" t="str">
        <f>HYPERLINK("http://141.218.60.56/~jnz1568/getInfo.php?workbook=16_08.xlsx&amp;sheet=A0&amp;row=408&amp;col=6&amp;number=12980000&amp;sourceID=14","12980000")</f>
        <v>12980000</v>
      </c>
      <c r="G408" s="4" t="str">
        <f>HYPERLINK("http://141.218.60.56/~jnz1568/getInfo.php?workbook=16_08.xlsx&amp;sheet=A0&amp;row=408&amp;col=7&amp;number=0&amp;sourceID=14","0")</f>
        <v>0</v>
      </c>
    </row>
    <row r="409" spans="1:7">
      <c r="A409" s="3">
        <v>16</v>
      </c>
      <c r="B409" s="3">
        <v>8</v>
      </c>
      <c r="C409" s="3">
        <v>47</v>
      </c>
      <c r="D409" s="3">
        <v>15</v>
      </c>
      <c r="E409" s="3">
        <v>-622.894</v>
      </c>
      <c r="F409" s="4" t="str">
        <f>HYPERLINK("http://141.218.60.56/~jnz1568/getInfo.php?workbook=16_08.xlsx&amp;sheet=A0&amp;row=409&amp;col=6&amp;number=49320000&amp;sourceID=14","49320000")</f>
        <v>49320000</v>
      </c>
      <c r="G409" s="4" t="str">
        <f>HYPERLINK("http://141.218.60.56/~jnz1568/getInfo.php?workbook=16_08.xlsx&amp;sheet=A0&amp;row=409&amp;col=7&amp;number=0&amp;sourceID=14","0")</f>
        <v>0</v>
      </c>
    </row>
    <row r="410" spans="1:7">
      <c r="A410" s="3">
        <v>16</v>
      </c>
      <c r="B410" s="3">
        <v>8</v>
      </c>
      <c r="C410" s="3">
        <v>47</v>
      </c>
      <c r="D410" s="3">
        <v>16</v>
      </c>
      <c r="E410" s="3">
        <v>-681.765</v>
      </c>
      <c r="F410" s="4" t="str">
        <f>HYPERLINK("http://141.218.60.56/~jnz1568/getInfo.php?workbook=16_08.xlsx&amp;sheet=A0&amp;row=410&amp;col=6&amp;number=1241000000&amp;sourceID=14","1241000000")</f>
        <v>1241000000</v>
      </c>
      <c r="G410" s="4" t="str">
        <f>HYPERLINK("http://141.218.60.56/~jnz1568/getInfo.php?workbook=16_08.xlsx&amp;sheet=A0&amp;row=410&amp;col=7&amp;number=0&amp;sourceID=14","0")</f>
        <v>0</v>
      </c>
    </row>
    <row r="411" spans="1:7">
      <c r="A411" s="3">
        <v>16</v>
      </c>
      <c r="B411" s="3">
        <v>8</v>
      </c>
      <c r="C411" s="3">
        <v>47</v>
      </c>
      <c r="D411" s="3">
        <v>24</v>
      </c>
      <c r="E411" s="3">
        <v>-827.494</v>
      </c>
      <c r="F411" s="4" t="str">
        <f>HYPERLINK("http://141.218.60.56/~jnz1568/getInfo.php?workbook=16_08.xlsx&amp;sheet=A0&amp;row=411&amp;col=6&amp;number=196200000&amp;sourceID=14","196200000")</f>
        <v>196200000</v>
      </c>
      <c r="G411" s="4" t="str">
        <f>HYPERLINK("http://141.218.60.56/~jnz1568/getInfo.php?workbook=16_08.xlsx&amp;sheet=A0&amp;row=411&amp;col=7&amp;number=0&amp;sourceID=14","0")</f>
        <v>0</v>
      </c>
    </row>
    <row r="412" spans="1:7">
      <c r="A412" s="3">
        <v>16</v>
      </c>
      <c r="B412" s="3">
        <v>8</v>
      </c>
      <c r="C412" s="3">
        <v>47</v>
      </c>
      <c r="D412" s="3">
        <v>25</v>
      </c>
      <c r="E412" s="3">
        <v>-839.562</v>
      </c>
      <c r="F412" s="4" t="str">
        <f>HYPERLINK("http://141.218.60.56/~jnz1568/getInfo.php?workbook=16_08.xlsx&amp;sheet=A0&amp;row=412&amp;col=6&amp;number=389700&amp;sourceID=14","389700")</f>
        <v>389700</v>
      </c>
      <c r="G412" s="4" t="str">
        <f>HYPERLINK("http://141.218.60.56/~jnz1568/getInfo.php?workbook=16_08.xlsx&amp;sheet=A0&amp;row=412&amp;col=7&amp;number=0&amp;sourceID=14","0")</f>
        <v>0</v>
      </c>
    </row>
    <row r="413" spans="1:7">
      <c r="A413" s="3">
        <v>16</v>
      </c>
      <c r="B413" s="3">
        <v>8</v>
      </c>
      <c r="C413" s="3">
        <v>47</v>
      </c>
      <c r="D413" s="3">
        <v>26</v>
      </c>
      <c r="E413" s="3">
        <v>-948.978</v>
      </c>
      <c r="F413" s="4" t="str">
        <f>HYPERLINK("http://141.218.60.56/~jnz1568/getInfo.php?workbook=16_08.xlsx&amp;sheet=A0&amp;row=413&amp;col=6&amp;number=412200000&amp;sourceID=14","412200000")</f>
        <v>412200000</v>
      </c>
      <c r="G413" s="4" t="str">
        <f>HYPERLINK("http://141.218.60.56/~jnz1568/getInfo.php?workbook=16_08.xlsx&amp;sheet=A0&amp;row=413&amp;col=7&amp;number=0&amp;sourceID=14","0")</f>
        <v>0</v>
      </c>
    </row>
    <row r="414" spans="1:7">
      <c r="A414" s="3">
        <v>16</v>
      </c>
      <c r="B414" s="3">
        <v>8</v>
      </c>
      <c r="C414" s="3">
        <v>48</v>
      </c>
      <c r="D414" s="3">
        <v>1</v>
      </c>
      <c r="E414" s="3">
        <v>-49.901</v>
      </c>
      <c r="F414" s="4" t="str">
        <f>HYPERLINK("http://141.218.60.56/~jnz1568/getInfo.php?workbook=16_08.xlsx&amp;sheet=A0&amp;row=414&amp;col=6&amp;number=281600&amp;sourceID=14","281600")</f>
        <v>281600</v>
      </c>
      <c r="G414" s="4" t="str">
        <f>HYPERLINK("http://141.218.60.56/~jnz1568/getInfo.php?workbook=16_08.xlsx&amp;sheet=A0&amp;row=414&amp;col=7&amp;number=0&amp;sourceID=14","0")</f>
        <v>0</v>
      </c>
    </row>
    <row r="415" spans="1:7">
      <c r="A415" s="3">
        <v>16</v>
      </c>
      <c r="B415" s="3">
        <v>8</v>
      </c>
      <c r="C415" s="3">
        <v>48</v>
      </c>
      <c r="D415" s="3">
        <v>2</v>
      </c>
      <c r="E415" s="3">
        <v>-50.108</v>
      </c>
      <c r="F415" s="4" t="str">
        <f>HYPERLINK("http://141.218.60.56/~jnz1568/getInfo.php?workbook=16_08.xlsx&amp;sheet=A0&amp;row=415&amp;col=6&amp;number=240500&amp;sourceID=14","240500")</f>
        <v>240500</v>
      </c>
      <c r="G415" s="4" t="str">
        <f>HYPERLINK("http://141.218.60.56/~jnz1568/getInfo.php?workbook=16_08.xlsx&amp;sheet=A0&amp;row=415&amp;col=7&amp;number=0&amp;sourceID=14","0")</f>
        <v>0</v>
      </c>
    </row>
    <row r="416" spans="1:7">
      <c r="A416" s="3">
        <v>16</v>
      </c>
      <c r="B416" s="3">
        <v>8</v>
      </c>
      <c r="C416" s="3">
        <v>48</v>
      </c>
      <c r="D416" s="3">
        <v>4</v>
      </c>
      <c r="E416" s="3">
        <v>-51.487</v>
      </c>
      <c r="F416" s="4" t="str">
        <f>HYPERLINK("http://141.218.60.56/~jnz1568/getInfo.php?workbook=16_08.xlsx&amp;sheet=A0&amp;row=416&amp;col=6&amp;number=11390000&amp;sourceID=14","11390000")</f>
        <v>11390000</v>
      </c>
      <c r="G416" s="4" t="str">
        <f>HYPERLINK("http://141.218.60.56/~jnz1568/getInfo.php?workbook=16_08.xlsx&amp;sheet=A0&amp;row=416&amp;col=7&amp;number=0&amp;sourceID=14","0")</f>
        <v>0</v>
      </c>
    </row>
    <row r="417" spans="1:7">
      <c r="A417" s="3">
        <v>16</v>
      </c>
      <c r="B417" s="3">
        <v>8</v>
      </c>
      <c r="C417" s="3">
        <v>48</v>
      </c>
      <c r="D417" s="3">
        <v>6</v>
      </c>
      <c r="E417" s="3">
        <v>-64.578</v>
      </c>
      <c r="F417" s="4" t="str">
        <f>HYPERLINK("http://141.218.60.56/~jnz1568/getInfo.php?workbook=16_08.xlsx&amp;sheet=A0&amp;row=417&amp;col=6&amp;number=426400000&amp;sourceID=14","426400000")</f>
        <v>426400000</v>
      </c>
      <c r="G417" s="4" t="str">
        <f>HYPERLINK("http://141.218.60.56/~jnz1568/getInfo.php?workbook=16_08.xlsx&amp;sheet=A0&amp;row=417&amp;col=7&amp;number=0&amp;sourceID=14","0")</f>
        <v>0</v>
      </c>
    </row>
    <row r="418" spans="1:7">
      <c r="A418" s="3">
        <v>16</v>
      </c>
      <c r="B418" s="3">
        <v>8</v>
      </c>
      <c r="C418" s="3">
        <v>48</v>
      </c>
      <c r="D418" s="3">
        <v>7</v>
      </c>
      <c r="E418" s="3">
        <v>-64.881</v>
      </c>
      <c r="F418" s="4" t="str">
        <f>HYPERLINK("http://141.218.60.56/~jnz1568/getInfo.php?workbook=16_08.xlsx&amp;sheet=A0&amp;row=418&amp;col=6&amp;number=625200000&amp;sourceID=14","625200000")</f>
        <v>625200000</v>
      </c>
      <c r="G418" s="4" t="str">
        <f>HYPERLINK("http://141.218.60.56/~jnz1568/getInfo.php?workbook=16_08.xlsx&amp;sheet=A0&amp;row=418&amp;col=7&amp;number=0&amp;sourceID=14","0")</f>
        <v>0</v>
      </c>
    </row>
    <row r="419" spans="1:7">
      <c r="A419" s="3">
        <v>16</v>
      </c>
      <c r="B419" s="3">
        <v>8</v>
      </c>
      <c r="C419" s="3">
        <v>48</v>
      </c>
      <c r="D419" s="3">
        <v>8</v>
      </c>
      <c r="E419" s="3">
        <v>-65.051</v>
      </c>
      <c r="F419" s="4" t="str">
        <f>HYPERLINK("http://141.218.60.56/~jnz1568/getInfo.php?workbook=16_08.xlsx&amp;sheet=A0&amp;row=419&amp;col=6&amp;number=16000000&amp;sourceID=14","16000000")</f>
        <v>16000000</v>
      </c>
      <c r="G419" s="4" t="str">
        <f>HYPERLINK("http://141.218.60.56/~jnz1568/getInfo.php?workbook=16_08.xlsx&amp;sheet=A0&amp;row=419&amp;col=7&amp;number=0&amp;sourceID=14","0")</f>
        <v>0</v>
      </c>
    </row>
    <row r="420" spans="1:7">
      <c r="A420" s="3">
        <v>16</v>
      </c>
      <c r="B420" s="3">
        <v>8</v>
      </c>
      <c r="C420" s="3">
        <v>48</v>
      </c>
      <c r="D420" s="3">
        <v>9</v>
      </c>
      <c r="E420" s="3">
        <v>-73.116</v>
      </c>
      <c r="F420" s="4" t="str">
        <f>HYPERLINK("http://141.218.60.56/~jnz1568/getInfo.php?workbook=16_08.xlsx&amp;sheet=A0&amp;row=420&amp;col=6&amp;number=2248000000&amp;sourceID=14","2248000000")</f>
        <v>2248000000</v>
      </c>
      <c r="G420" s="4" t="str">
        <f>HYPERLINK("http://141.218.60.56/~jnz1568/getInfo.php?workbook=16_08.xlsx&amp;sheet=A0&amp;row=420&amp;col=7&amp;number=0&amp;sourceID=14","0")</f>
        <v>0</v>
      </c>
    </row>
    <row r="421" spans="1:7">
      <c r="A421" s="3">
        <v>16</v>
      </c>
      <c r="B421" s="3">
        <v>8</v>
      </c>
      <c r="C421" s="3">
        <v>48</v>
      </c>
      <c r="D421" s="3">
        <v>11</v>
      </c>
      <c r="E421" s="3">
        <v>-388.96</v>
      </c>
      <c r="F421" s="4" t="str">
        <f>HYPERLINK("http://141.218.60.56/~jnz1568/getInfo.php?workbook=16_08.xlsx&amp;sheet=A0&amp;row=421&amp;col=6&amp;number=16510&amp;sourceID=14","16510")</f>
        <v>16510</v>
      </c>
      <c r="G421" s="4" t="str">
        <f>HYPERLINK("http://141.218.60.56/~jnz1568/getInfo.php?workbook=16_08.xlsx&amp;sheet=A0&amp;row=421&amp;col=7&amp;number=0&amp;sourceID=14","0")</f>
        <v>0</v>
      </c>
    </row>
    <row r="422" spans="1:7">
      <c r="A422" s="3">
        <v>16</v>
      </c>
      <c r="B422" s="3">
        <v>8</v>
      </c>
      <c r="C422" s="3">
        <v>48</v>
      </c>
      <c r="D422" s="3">
        <v>12</v>
      </c>
      <c r="E422" s="3">
        <v>-439.875</v>
      </c>
      <c r="F422" s="4" t="str">
        <f>HYPERLINK("http://141.218.60.56/~jnz1568/getInfo.php?workbook=16_08.xlsx&amp;sheet=A0&amp;row=422&amp;col=6&amp;number=102200000&amp;sourceID=14","102200000")</f>
        <v>102200000</v>
      </c>
      <c r="G422" s="4" t="str">
        <f>HYPERLINK("http://141.218.60.56/~jnz1568/getInfo.php?workbook=16_08.xlsx&amp;sheet=A0&amp;row=422&amp;col=7&amp;number=0&amp;sourceID=14","0")</f>
        <v>0</v>
      </c>
    </row>
    <row r="423" spans="1:7">
      <c r="A423" s="3">
        <v>16</v>
      </c>
      <c r="B423" s="3">
        <v>8</v>
      </c>
      <c r="C423" s="3">
        <v>48</v>
      </c>
      <c r="D423" s="3">
        <v>13</v>
      </c>
      <c r="E423" s="3">
        <v>-609.119</v>
      </c>
      <c r="F423" s="4" t="str">
        <f>HYPERLINK("http://141.218.60.56/~jnz1568/getInfo.php?workbook=16_08.xlsx&amp;sheet=A0&amp;row=423&amp;col=6&amp;number=19070000&amp;sourceID=14","19070000")</f>
        <v>19070000</v>
      </c>
      <c r="G423" s="4" t="str">
        <f>HYPERLINK("http://141.218.60.56/~jnz1568/getInfo.php?workbook=16_08.xlsx&amp;sheet=A0&amp;row=423&amp;col=7&amp;number=0&amp;sourceID=14","0")</f>
        <v>0</v>
      </c>
    </row>
    <row r="424" spans="1:7">
      <c r="A424" s="3">
        <v>16</v>
      </c>
      <c r="B424" s="3">
        <v>8</v>
      </c>
      <c r="C424" s="3">
        <v>48</v>
      </c>
      <c r="D424" s="3">
        <v>14</v>
      </c>
      <c r="E424" s="3">
        <v>-607.883</v>
      </c>
      <c r="F424" s="4" t="str">
        <f>HYPERLINK("http://141.218.60.56/~jnz1568/getInfo.php?workbook=16_08.xlsx&amp;sheet=A0&amp;row=424&amp;col=6&amp;number=28370000&amp;sourceID=14","28370000")</f>
        <v>28370000</v>
      </c>
      <c r="G424" s="4" t="str">
        <f>HYPERLINK("http://141.218.60.56/~jnz1568/getInfo.php?workbook=16_08.xlsx&amp;sheet=A0&amp;row=424&amp;col=7&amp;number=0&amp;sourceID=14","0")</f>
        <v>0</v>
      </c>
    </row>
    <row r="425" spans="1:7">
      <c r="A425" s="3">
        <v>16</v>
      </c>
      <c r="B425" s="3">
        <v>8</v>
      </c>
      <c r="C425" s="3">
        <v>48</v>
      </c>
      <c r="D425" s="3">
        <v>16</v>
      </c>
      <c r="E425" s="3">
        <v>-670.445</v>
      </c>
      <c r="F425" s="4" t="str">
        <f>HYPERLINK("http://141.218.60.56/~jnz1568/getInfo.php?workbook=16_08.xlsx&amp;sheet=A0&amp;row=425&amp;col=6&amp;number=389600000&amp;sourceID=14","389600000")</f>
        <v>389600000</v>
      </c>
      <c r="G425" s="4" t="str">
        <f>HYPERLINK("http://141.218.60.56/~jnz1568/getInfo.php?workbook=16_08.xlsx&amp;sheet=A0&amp;row=425&amp;col=7&amp;number=0&amp;sourceID=14","0")</f>
        <v>0</v>
      </c>
    </row>
    <row r="426" spans="1:7">
      <c r="A426" s="3">
        <v>16</v>
      </c>
      <c r="B426" s="3">
        <v>8</v>
      </c>
      <c r="C426" s="3">
        <v>48</v>
      </c>
      <c r="D426" s="3">
        <v>23</v>
      </c>
      <c r="E426" s="3">
        <v>-806.496</v>
      </c>
      <c r="F426" s="4" t="str">
        <f>HYPERLINK("http://141.218.60.56/~jnz1568/getInfo.php?workbook=16_08.xlsx&amp;sheet=A0&amp;row=426&amp;col=6&amp;number=81610000&amp;sourceID=14","81610000")</f>
        <v>81610000</v>
      </c>
      <c r="G426" s="4" t="str">
        <f>HYPERLINK("http://141.218.60.56/~jnz1568/getInfo.php?workbook=16_08.xlsx&amp;sheet=A0&amp;row=426&amp;col=7&amp;number=0&amp;sourceID=14","0")</f>
        <v>0</v>
      </c>
    </row>
    <row r="427" spans="1:7">
      <c r="A427" s="3">
        <v>16</v>
      </c>
      <c r="B427" s="3">
        <v>8</v>
      </c>
      <c r="C427" s="3">
        <v>48</v>
      </c>
      <c r="D427" s="3">
        <v>24</v>
      </c>
      <c r="E427" s="3">
        <v>-810.877</v>
      </c>
      <c r="F427" s="4" t="str">
        <f>HYPERLINK("http://141.218.60.56/~jnz1568/getInfo.php?workbook=16_08.xlsx&amp;sheet=A0&amp;row=427&amp;col=6&amp;number=647500&amp;sourceID=14","647500")</f>
        <v>647500</v>
      </c>
      <c r="G427" s="4" t="str">
        <f>HYPERLINK("http://141.218.60.56/~jnz1568/getInfo.php?workbook=16_08.xlsx&amp;sheet=A0&amp;row=427&amp;col=7&amp;number=0&amp;sourceID=14","0")</f>
        <v>0</v>
      </c>
    </row>
    <row r="428" spans="1:7">
      <c r="A428" s="3">
        <v>16</v>
      </c>
      <c r="B428" s="3">
        <v>8</v>
      </c>
      <c r="C428" s="3">
        <v>48</v>
      </c>
      <c r="D428" s="3">
        <v>25</v>
      </c>
      <c r="E428" s="3">
        <v>-822.461</v>
      </c>
      <c r="F428" s="4" t="str">
        <f>HYPERLINK("http://141.218.60.56/~jnz1568/getInfo.php?workbook=16_08.xlsx&amp;sheet=A0&amp;row=428&amp;col=6&amp;number=18210&amp;sourceID=14","18210")</f>
        <v>18210</v>
      </c>
      <c r="G428" s="4" t="str">
        <f>HYPERLINK("http://141.218.60.56/~jnz1568/getInfo.php?workbook=16_08.xlsx&amp;sheet=A0&amp;row=428&amp;col=7&amp;number=0&amp;sourceID=14","0")</f>
        <v>0</v>
      </c>
    </row>
    <row r="429" spans="1:7">
      <c r="A429" s="3">
        <v>16</v>
      </c>
      <c r="B429" s="3">
        <v>8</v>
      </c>
      <c r="C429" s="3">
        <v>48</v>
      </c>
      <c r="D429" s="3">
        <v>26</v>
      </c>
      <c r="E429" s="3">
        <v>-927.187</v>
      </c>
      <c r="F429" s="4" t="str">
        <f>HYPERLINK("http://141.218.60.56/~jnz1568/getInfo.php?workbook=16_08.xlsx&amp;sheet=A0&amp;row=429&amp;col=6&amp;number=843000000&amp;sourceID=14","843000000")</f>
        <v>843000000</v>
      </c>
      <c r="G429" s="4" t="str">
        <f>HYPERLINK("http://141.218.60.56/~jnz1568/getInfo.php?workbook=16_08.xlsx&amp;sheet=A0&amp;row=429&amp;col=7&amp;number=0&amp;sourceID=14","0")</f>
        <v>0</v>
      </c>
    </row>
    <row r="430" spans="1:7">
      <c r="A430" s="3">
        <v>16</v>
      </c>
      <c r="B430" s="3">
        <v>8</v>
      </c>
      <c r="C430" s="3">
        <v>49</v>
      </c>
      <c r="D430" s="3">
        <v>1</v>
      </c>
      <c r="E430" s="3">
        <v>49.134</v>
      </c>
      <c r="F430" s="4" t="str">
        <f>HYPERLINK("http://141.218.60.56/~jnz1568/getInfo.php?workbook=16_08.xlsx&amp;sheet=A0&amp;row=430&amp;col=6&amp;number=133100000000&amp;sourceID=14","133100000000")</f>
        <v>133100000000</v>
      </c>
      <c r="G430" s="4" t="str">
        <f>HYPERLINK("http://141.218.60.56/~jnz1568/getInfo.php?workbook=16_08.xlsx&amp;sheet=A0&amp;row=430&amp;col=7&amp;number=0&amp;sourceID=14","0")</f>
        <v>0</v>
      </c>
    </row>
    <row r="431" spans="1:7">
      <c r="A431" s="3">
        <v>16</v>
      </c>
      <c r="B431" s="3">
        <v>8</v>
      </c>
      <c r="C431" s="3">
        <v>49</v>
      </c>
      <c r="D431" s="3">
        <v>2</v>
      </c>
      <c r="E431" s="3">
        <v>49.327</v>
      </c>
      <c r="F431" s="4" t="str">
        <f>HYPERLINK("http://141.218.60.56/~jnz1568/getInfo.php?workbook=16_08.xlsx&amp;sheet=A0&amp;row=431&amp;col=6&amp;number=340000000000&amp;sourceID=14","340000000000")</f>
        <v>340000000000</v>
      </c>
      <c r="G431" s="4" t="str">
        <f>HYPERLINK("http://141.218.60.56/~jnz1568/getInfo.php?workbook=16_08.xlsx&amp;sheet=A0&amp;row=431&amp;col=7&amp;number=0&amp;sourceID=14","0")</f>
        <v>0</v>
      </c>
    </row>
    <row r="432" spans="1:7">
      <c r="A432" s="3">
        <v>16</v>
      </c>
      <c r="B432" s="3">
        <v>8</v>
      </c>
      <c r="C432" s="3">
        <v>49</v>
      </c>
      <c r="D432" s="3">
        <v>4</v>
      </c>
      <c r="E432" s="3">
        <v>50.583</v>
      </c>
      <c r="F432" s="4" t="str">
        <f>HYPERLINK("http://141.218.60.56/~jnz1568/getInfo.php?workbook=16_08.xlsx&amp;sheet=A0&amp;row=432&amp;col=6&amp;number=703600000&amp;sourceID=14","703600000")</f>
        <v>703600000</v>
      </c>
      <c r="G432" s="4" t="str">
        <f>HYPERLINK("http://141.218.60.56/~jnz1568/getInfo.php?workbook=16_08.xlsx&amp;sheet=A0&amp;row=432&amp;col=7&amp;number=0&amp;sourceID=14","0")</f>
        <v>0</v>
      </c>
    </row>
    <row r="433" spans="1:7">
      <c r="A433" s="3">
        <v>16</v>
      </c>
      <c r="B433" s="3">
        <v>8</v>
      </c>
      <c r="C433" s="3">
        <v>49</v>
      </c>
      <c r="D433" s="3">
        <v>6</v>
      </c>
      <c r="E433" s="3">
        <v>62.882</v>
      </c>
      <c r="F433" s="4" t="str">
        <f>HYPERLINK("http://141.218.60.56/~jnz1568/getInfo.php?workbook=16_08.xlsx&amp;sheet=A0&amp;row=433&amp;col=6&amp;number=75750&amp;sourceID=14","75750")</f>
        <v>75750</v>
      </c>
      <c r="G433" s="4" t="str">
        <f>HYPERLINK("http://141.218.60.56/~jnz1568/getInfo.php?workbook=16_08.xlsx&amp;sheet=A0&amp;row=433&amp;col=7&amp;number=0&amp;sourceID=14","0")</f>
        <v>0</v>
      </c>
    </row>
    <row r="434" spans="1:7">
      <c r="A434" s="3">
        <v>16</v>
      </c>
      <c r="B434" s="3">
        <v>8</v>
      </c>
      <c r="C434" s="3">
        <v>49</v>
      </c>
      <c r="D434" s="3">
        <v>7</v>
      </c>
      <c r="E434" s="3">
        <v>63.161</v>
      </c>
      <c r="F434" s="4" t="str">
        <f>HYPERLINK("http://141.218.60.56/~jnz1568/getInfo.php?workbook=16_08.xlsx&amp;sheet=A0&amp;row=434&amp;col=6&amp;number=2365&amp;sourceID=14","2365")</f>
        <v>2365</v>
      </c>
      <c r="G434" s="4" t="str">
        <f>HYPERLINK("http://141.218.60.56/~jnz1568/getInfo.php?workbook=16_08.xlsx&amp;sheet=A0&amp;row=434&amp;col=7&amp;number=0&amp;sourceID=14","0")</f>
        <v>0</v>
      </c>
    </row>
    <row r="435" spans="1:7">
      <c r="A435" s="3">
        <v>16</v>
      </c>
      <c r="B435" s="3">
        <v>8</v>
      </c>
      <c r="C435" s="3">
        <v>49</v>
      </c>
      <c r="D435" s="3">
        <v>8</v>
      </c>
      <c r="E435" s="3">
        <v>63.316</v>
      </c>
      <c r="F435" s="4" t="str">
        <f>HYPERLINK("http://141.218.60.56/~jnz1568/getInfo.php?workbook=16_08.xlsx&amp;sheet=A0&amp;row=435&amp;col=6&amp;number=32230&amp;sourceID=14","32230")</f>
        <v>32230</v>
      </c>
      <c r="G435" s="4" t="str">
        <f>HYPERLINK("http://141.218.60.56/~jnz1568/getInfo.php?workbook=16_08.xlsx&amp;sheet=A0&amp;row=435&amp;col=7&amp;number=0&amp;sourceID=14","0")</f>
        <v>0</v>
      </c>
    </row>
    <row r="436" spans="1:7">
      <c r="A436" s="3">
        <v>16</v>
      </c>
      <c r="B436" s="3">
        <v>8</v>
      </c>
      <c r="C436" s="3">
        <v>49</v>
      </c>
      <c r="D436" s="3">
        <v>12</v>
      </c>
      <c r="E436" s="3">
        <v>396.646</v>
      </c>
      <c r="F436" s="4" t="str">
        <f>HYPERLINK("http://141.218.60.56/~jnz1568/getInfo.php?workbook=16_08.xlsx&amp;sheet=A0&amp;row=436&amp;col=6&amp;number=42630&amp;sourceID=14","42630")</f>
        <v>42630</v>
      </c>
      <c r="G436" s="4" t="str">
        <f>HYPERLINK("http://141.218.60.56/~jnz1568/getInfo.php?workbook=16_08.xlsx&amp;sheet=A0&amp;row=436&amp;col=7&amp;number=0&amp;sourceID=14","0")</f>
        <v>0</v>
      </c>
    </row>
    <row r="437" spans="1:7">
      <c r="A437" s="3">
        <v>16</v>
      </c>
      <c r="B437" s="3">
        <v>8</v>
      </c>
      <c r="C437" s="3">
        <v>49</v>
      </c>
      <c r="D437" s="3">
        <v>17</v>
      </c>
      <c r="E437" s="3">
        <v>597.261</v>
      </c>
      <c r="F437" s="4" t="str">
        <f>HYPERLINK("http://141.218.60.56/~jnz1568/getInfo.php?workbook=16_08.xlsx&amp;sheet=A0&amp;row=437&amp;col=6&amp;number=2197000&amp;sourceID=14","2197000")</f>
        <v>2197000</v>
      </c>
      <c r="G437" s="4" t="str">
        <f>HYPERLINK("http://141.218.60.56/~jnz1568/getInfo.php?workbook=16_08.xlsx&amp;sheet=A0&amp;row=437&amp;col=7&amp;number=0&amp;sourceID=14","0")</f>
        <v>0</v>
      </c>
    </row>
    <row r="438" spans="1:7">
      <c r="A438" s="3">
        <v>16</v>
      </c>
      <c r="B438" s="3">
        <v>8</v>
      </c>
      <c r="C438" s="3">
        <v>49</v>
      </c>
      <c r="D438" s="3">
        <v>18</v>
      </c>
      <c r="E438" s="3">
        <v>599.513</v>
      </c>
      <c r="F438" s="4" t="str">
        <f>HYPERLINK("http://141.218.60.56/~jnz1568/getInfo.php?workbook=16_08.xlsx&amp;sheet=A0&amp;row=438&amp;col=6&amp;number=596400&amp;sourceID=14","596400")</f>
        <v>596400</v>
      </c>
      <c r="G438" s="4" t="str">
        <f>HYPERLINK("http://141.218.60.56/~jnz1568/getInfo.php?workbook=16_08.xlsx&amp;sheet=A0&amp;row=438&amp;col=7&amp;number=0&amp;sourceID=14","0")</f>
        <v>0</v>
      </c>
    </row>
    <row r="439" spans="1:7">
      <c r="A439" s="3">
        <v>16</v>
      </c>
      <c r="B439" s="3">
        <v>8</v>
      </c>
      <c r="C439" s="3">
        <v>49</v>
      </c>
      <c r="D439" s="3">
        <v>19</v>
      </c>
      <c r="E439" s="3">
        <v>603.949</v>
      </c>
      <c r="F439" s="4" t="str">
        <f>HYPERLINK("http://141.218.60.56/~jnz1568/getInfo.php?workbook=16_08.xlsx&amp;sheet=A0&amp;row=439&amp;col=6&amp;number=247200&amp;sourceID=14","247200")</f>
        <v>247200</v>
      </c>
      <c r="G439" s="4" t="str">
        <f>HYPERLINK("http://141.218.60.56/~jnz1568/getInfo.php?workbook=16_08.xlsx&amp;sheet=A0&amp;row=439&amp;col=7&amp;number=0&amp;sourceID=14","0")</f>
        <v>0</v>
      </c>
    </row>
    <row r="440" spans="1:7">
      <c r="A440" s="3">
        <v>16</v>
      </c>
      <c r="B440" s="3">
        <v>8</v>
      </c>
      <c r="C440" s="3">
        <v>49</v>
      </c>
      <c r="D440" s="3">
        <v>20</v>
      </c>
      <c r="E440" s="3">
        <v>701.927</v>
      </c>
      <c r="F440" s="4" t="str">
        <f>HYPERLINK("http://141.218.60.56/~jnz1568/getInfo.php?workbook=16_08.xlsx&amp;sheet=A0&amp;row=440&amp;col=6&amp;number=1717000000&amp;sourceID=14","1717000000")</f>
        <v>1717000000</v>
      </c>
      <c r="G440" s="4" t="str">
        <f>HYPERLINK("http://141.218.60.56/~jnz1568/getInfo.php?workbook=16_08.xlsx&amp;sheet=A0&amp;row=440&amp;col=7&amp;number=0&amp;sourceID=14","0")</f>
        <v>0</v>
      </c>
    </row>
    <row r="441" spans="1:7">
      <c r="A441" s="3">
        <v>16</v>
      </c>
      <c r="B441" s="3">
        <v>8</v>
      </c>
      <c r="C441" s="3">
        <v>49</v>
      </c>
      <c r="D441" s="3">
        <v>21</v>
      </c>
      <c r="E441" s="3">
        <v>703.779</v>
      </c>
      <c r="F441" s="4" t="str">
        <f>HYPERLINK("http://141.218.60.56/~jnz1568/getInfo.php?workbook=16_08.xlsx&amp;sheet=A0&amp;row=441&amp;col=6&amp;number=556300000&amp;sourceID=14","556300000")</f>
        <v>556300000</v>
      </c>
      <c r="G441" s="4" t="str">
        <f>HYPERLINK("http://141.218.60.56/~jnz1568/getInfo.php?workbook=16_08.xlsx&amp;sheet=A0&amp;row=441&amp;col=7&amp;number=0&amp;sourceID=14","0")</f>
        <v>0</v>
      </c>
    </row>
    <row r="442" spans="1:7">
      <c r="A442" s="3">
        <v>16</v>
      </c>
      <c r="B442" s="3">
        <v>8</v>
      </c>
      <c r="C442" s="3">
        <v>49</v>
      </c>
      <c r="D442" s="3">
        <v>27</v>
      </c>
      <c r="E442" s="3">
        <v>-1148.151</v>
      </c>
      <c r="F442" s="4" t="str">
        <f>HYPERLINK("http://141.218.60.56/~jnz1568/getInfo.php?workbook=16_08.xlsx&amp;sheet=A0&amp;row=442&amp;col=6&amp;number=10990000&amp;sourceID=14","10990000")</f>
        <v>10990000</v>
      </c>
      <c r="G442" s="4" t="str">
        <f>HYPERLINK("http://141.218.60.56/~jnz1568/getInfo.php?workbook=16_08.xlsx&amp;sheet=A0&amp;row=442&amp;col=7&amp;number=0&amp;sourceID=14","0")</f>
        <v>0</v>
      </c>
    </row>
    <row r="443" spans="1:7">
      <c r="A443" s="3">
        <v>16</v>
      </c>
      <c r="B443" s="3">
        <v>8</v>
      </c>
      <c r="C443" s="3">
        <v>49</v>
      </c>
      <c r="D443" s="3">
        <v>28</v>
      </c>
      <c r="E443" s="3">
        <v>1161.697</v>
      </c>
      <c r="F443" s="4" t="str">
        <f>HYPERLINK("http://141.218.60.56/~jnz1568/getInfo.php?workbook=16_08.xlsx&amp;sheet=A0&amp;row=443&amp;col=6&amp;number=2307000&amp;sourceID=14","2307000")</f>
        <v>2307000</v>
      </c>
      <c r="G443" s="4" t="str">
        <f>HYPERLINK("http://141.218.60.56/~jnz1568/getInfo.php?workbook=16_08.xlsx&amp;sheet=A0&amp;row=443&amp;col=7&amp;number=0&amp;sourceID=14","0")</f>
        <v>0</v>
      </c>
    </row>
    <row r="444" spans="1:7">
      <c r="A444" s="3">
        <v>16</v>
      </c>
      <c r="B444" s="3">
        <v>8</v>
      </c>
      <c r="C444" s="3">
        <v>49</v>
      </c>
      <c r="D444" s="3">
        <v>29</v>
      </c>
      <c r="E444" s="3">
        <v>1185.579</v>
      </c>
      <c r="F444" s="4" t="str">
        <f>HYPERLINK("http://141.218.60.56/~jnz1568/getInfo.php?workbook=16_08.xlsx&amp;sheet=A0&amp;row=444&amp;col=6&amp;number=3724000&amp;sourceID=14","3724000")</f>
        <v>3724000</v>
      </c>
      <c r="G444" s="4" t="str">
        <f>HYPERLINK("http://141.218.60.56/~jnz1568/getInfo.php?workbook=16_08.xlsx&amp;sheet=A0&amp;row=444&amp;col=7&amp;number=0&amp;sourceID=14","0")</f>
        <v>0</v>
      </c>
    </row>
    <row r="445" spans="1:7">
      <c r="A445" s="3">
        <v>16</v>
      </c>
      <c r="B445" s="3">
        <v>8</v>
      </c>
      <c r="C445" s="3">
        <v>49</v>
      </c>
      <c r="D445" s="3">
        <v>30</v>
      </c>
      <c r="E445" s="3">
        <v>-1076.839</v>
      </c>
      <c r="F445" s="4" t="str">
        <f>HYPERLINK("http://141.218.60.56/~jnz1568/getInfo.php?workbook=16_08.xlsx&amp;sheet=A0&amp;row=445&amp;col=6&amp;number=688300&amp;sourceID=14","688300")</f>
        <v>688300</v>
      </c>
      <c r="G445" s="4" t="str">
        <f>HYPERLINK("http://141.218.60.56/~jnz1568/getInfo.php?workbook=16_08.xlsx&amp;sheet=A0&amp;row=445&amp;col=7&amp;number=0&amp;sourceID=14","0")</f>
        <v>0</v>
      </c>
    </row>
    <row r="446" spans="1:7">
      <c r="A446" s="3">
        <v>16</v>
      </c>
      <c r="B446" s="3">
        <v>8</v>
      </c>
      <c r="C446" s="3">
        <v>49</v>
      </c>
      <c r="D446" s="3">
        <v>31</v>
      </c>
      <c r="E446" s="3">
        <v>1285.05</v>
      </c>
      <c r="F446" s="4" t="str">
        <f>HYPERLINK("http://141.218.60.56/~jnz1568/getInfo.php?workbook=16_08.xlsx&amp;sheet=A0&amp;row=446&amp;col=6&amp;number=2221000&amp;sourceID=14","2221000")</f>
        <v>2221000</v>
      </c>
      <c r="G446" s="4" t="str">
        <f>HYPERLINK("http://141.218.60.56/~jnz1568/getInfo.php?workbook=16_08.xlsx&amp;sheet=A0&amp;row=446&amp;col=7&amp;number=0&amp;sourceID=14","0")</f>
        <v>0</v>
      </c>
    </row>
    <row r="447" spans="1:7">
      <c r="A447" s="3">
        <v>16</v>
      </c>
      <c r="B447" s="3">
        <v>8</v>
      </c>
      <c r="C447" s="3">
        <v>49</v>
      </c>
      <c r="D447" s="3">
        <v>32</v>
      </c>
      <c r="E447" s="3">
        <v>1302.966</v>
      </c>
      <c r="F447" s="4" t="str">
        <f>HYPERLINK("http://141.218.60.56/~jnz1568/getInfo.php?workbook=16_08.xlsx&amp;sheet=A0&amp;row=447&amp;col=6&amp;number=717100&amp;sourceID=14","717100")</f>
        <v>717100</v>
      </c>
      <c r="G447" s="4" t="str">
        <f>HYPERLINK("http://141.218.60.56/~jnz1568/getInfo.php?workbook=16_08.xlsx&amp;sheet=A0&amp;row=447&amp;col=7&amp;number=0&amp;sourceID=14","0")</f>
        <v>0</v>
      </c>
    </row>
    <row r="448" spans="1:7">
      <c r="A448" s="3">
        <v>16</v>
      </c>
      <c r="B448" s="3">
        <v>8</v>
      </c>
      <c r="C448" s="3">
        <v>49</v>
      </c>
      <c r="D448" s="3">
        <v>34</v>
      </c>
      <c r="E448" s="3">
        <v>1384.255</v>
      </c>
      <c r="F448" s="4" t="str">
        <f>HYPERLINK("http://141.218.60.56/~jnz1568/getInfo.php?workbook=16_08.xlsx&amp;sheet=A0&amp;row=448&amp;col=6&amp;number=13800&amp;sourceID=14","13800")</f>
        <v>13800</v>
      </c>
      <c r="G448" s="4" t="str">
        <f>HYPERLINK("http://141.218.60.56/~jnz1568/getInfo.php?workbook=16_08.xlsx&amp;sheet=A0&amp;row=448&amp;col=7&amp;number=0&amp;sourceID=14","0")</f>
        <v>0</v>
      </c>
    </row>
    <row r="449" spans="1:7">
      <c r="A449" s="3">
        <v>16</v>
      </c>
      <c r="B449" s="3">
        <v>8</v>
      </c>
      <c r="C449" s="3">
        <v>49</v>
      </c>
      <c r="D449" s="3">
        <v>36</v>
      </c>
      <c r="E449" s="3">
        <v>2322.826</v>
      </c>
      <c r="F449" s="4" t="str">
        <f>HYPERLINK("http://141.218.60.56/~jnz1568/getInfo.php?workbook=16_08.xlsx&amp;sheet=A0&amp;row=449&amp;col=6&amp;number=499900&amp;sourceID=14","499900")</f>
        <v>499900</v>
      </c>
      <c r="G449" s="4" t="str">
        <f>HYPERLINK("http://141.218.60.56/~jnz1568/getInfo.php?workbook=16_08.xlsx&amp;sheet=A0&amp;row=449&amp;col=7&amp;number=0&amp;sourceID=14","0")</f>
        <v>0</v>
      </c>
    </row>
    <row r="450" spans="1:7">
      <c r="A450" s="3">
        <v>16</v>
      </c>
      <c r="B450" s="3">
        <v>8</v>
      </c>
      <c r="C450" s="3">
        <v>49</v>
      </c>
      <c r="D450" s="3">
        <v>37</v>
      </c>
      <c r="E450" s="3">
        <v>2241.801</v>
      </c>
      <c r="F450" s="4" t="str">
        <f>HYPERLINK("http://141.218.60.56/~jnz1568/getInfo.php?workbook=16_08.xlsx&amp;sheet=A0&amp;row=450&amp;col=6&amp;number=540000&amp;sourceID=14","540000")</f>
        <v>540000</v>
      </c>
      <c r="G450" s="4" t="str">
        <f>HYPERLINK("http://141.218.60.56/~jnz1568/getInfo.php?workbook=16_08.xlsx&amp;sheet=A0&amp;row=450&amp;col=7&amp;number=0&amp;sourceID=14","0")</f>
        <v>0</v>
      </c>
    </row>
    <row r="451" spans="1:7">
      <c r="A451" s="3">
        <v>16</v>
      </c>
      <c r="B451" s="3">
        <v>8</v>
      </c>
      <c r="C451" s="3">
        <v>49</v>
      </c>
      <c r="D451" s="3">
        <v>43</v>
      </c>
      <c r="E451" s="3">
        <v>-2035.663</v>
      </c>
      <c r="F451" s="4" t="str">
        <f>HYPERLINK("http://141.218.60.56/~jnz1568/getInfo.php?workbook=16_08.xlsx&amp;sheet=A0&amp;row=451&amp;col=6&amp;number=476300&amp;sourceID=14","476300")</f>
        <v>476300</v>
      </c>
      <c r="G451" s="4" t="str">
        <f>HYPERLINK("http://141.218.60.56/~jnz1568/getInfo.php?workbook=16_08.xlsx&amp;sheet=A0&amp;row=451&amp;col=7&amp;number=0&amp;sourceID=14","0")</f>
        <v>0</v>
      </c>
    </row>
    <row r="452" spans="1:7">
      <c r="A452" s="3">
        <v>16</v>
      </c>
      <c r="B452" s="3">
        <v>8</v>
      </c>
      <c r="C452" s="3">
        <v>49</v>
      </c>
      <c r="D452" s="3">
        <v>44</v>
      </c>
      <c r="E452" s="3">
        <v>2322.826</v>
      </c>
      <c r="F452" s="4" t="str">
        <f>HYPERLINK("http://141.218.60.56/~jnz1568/getInfo.php?workbook=16_08.xlsx&amp;sheet=A0&amp;row=452&amp;col=6&amp;number=145800&amp;sourceID=14","145800")</f>
        <v>145800</v>
      </c>
      <c r="G452" s="4" t="str">
        <f>HYPERLINK("http://141.218.60.56/~jnz1568/getInfo.php?workbook=16_08.xlsx&amp;sheet=A0&amp;row=452&amp;col=7&amp;number=0&amp;sourceID=14","0")</f>
        <v>0</v>
      </c>
    </row>
    <row r="453" spans="1:7">
      <c r="A453" s="3">
        <v>16</v>
      </c>
      <c r="B453" s="3">
        <v>8</v>
      </c>
      <c r="C453" s="3">
        <v>49</v>
      </c>
      <c r="D453" s="3">
        <v>45</v>
      </c>
      <c r="E453" s="3">
        <v>-2690.653</v>
      </c>
      <c r="F453" s="4" t="str">
        <f>HYPERLINK("http://141.218.60.56/~jnz1568/getInfo.php?workbook=16_08.xlsx&amp;sheet=A0&amp;row=453&amp;col=6&amp;number=91940&amp;sourceID=14","91940")</f>
        <v>91940</v>
      </c>
      <c r="G453" s="4" t="str">
        <f>HYPERLINK("http://141.218.60.56/~jnz1568/getInfo.php?workbook=16_08.xlsx&amp;sheet=A0&amp;row=453&amp;col=7&amp;number=0&amp;sourceID=14","0")</f>
        <v>0</v>
      </c>
    </row>
    <row r="454" spans="1:7">
      <c r="A454" s="3">
        <v>16</v>
      </c>
      <c r="B454" s="3">
        <v>8</v>
      </c>
      <c r="C454" s="3">
        <v>49</v>
      </c>
      <c r="D454" s="3">
        <v>46</v>
      </c>
      <c r="E454" s="3">
        <v>3257.647</v>
      </c>
      <c r="F454" s="4" t="str">
        <f>HYPERLINK("http://141.218.60.56/~jnz1568/getInfo.php?workbook=16_08.xlsx&amp;sheet=A0&amp;row=454&amp;col=6&amp;number=47610&amp;sourceID=14","47610")</f>
        <v>47610</v>
      </c>
      <c r="G454" s="4" t="str">
        <f>HYPERLINK("http://141.218.60.56/~jnz1568/getInfo.php?workbook=16_08.xlsx&amp;sheet=A0&amp;row=454&amp;col=7&amp;number=0&amp;sourceID=14","0")</f>
        <v>0</v>
      </c>
    </row>
    <row r="455" spans="1:7">
      <c r="A455" s="3">
        <v>16</v>
      </c>
      <c r="B455" s="3">
        <v>8</v>
      </c>
      <c r="C455" s="3">
        <v>49</v>
      </c>
      <c r="D455" s="3">
        <v>47</v>
      </c>
      <c r="E455" s="3">
        <v>-3432.163</v>
      </c>
      <c r="F455" s="4" t="str">
        <f>HYPERLINK("http://141.218.60.56/~jnz1568/getInfo.php?workbook=16_08.xlsx&amp;sheet=A0&amp;row=455&amp;col=6&amp;number=18500&amp;sourceID=14","18500")</f>
        <v>18500</v>
      </c>
      <c r="G455" s="4" t="str">
        <f>HYPERLINK("http://141.218.60.56/~jnz1568/getInfo.php?workbook=16_08.xlsx&amp;sheet=A0&amp;row=455&amp;col=7&amp;number=0&amp;sourceID=14","0")</f>
        <v>0</v>
      </c>
    </row>
    <row r="456" spans="1:7">
      <c r="A456" s="3">
        <v>16</v>
      </c>
      <c r="B456" s="3">
        <v>8</v>
      </c>
      <c r="C456" s="3">
        <v>49</v>
      </c>
      <c r="D456" s="3">
        <v>48</v>
      </c>
      <c r="E456" s="3">
        <v>-3750.993</v>
      </c>
      <c r="F456" s="4" t="str">
        <f>HYPERLINK("http://141.218.60.56/~jnz1568/getInfo.php?workbook=16_08.xlsx&amp;sheet=A0&amp;row=456&amp;col=6&amp;number=10220&amp;sourceID=14","10220")</f>
        <v>10220</v>
      </c>
      <c r="G456" s="4" t="str">
        <f>HYPERLINK("http://141.218.60.56/~jnz1568/getInfo.php?workbook=16_08.xlsx&amp;sheet=A0&amp;row=456&amp;col=7&amp;number=0&amp;sourceID=14","0")</f>
        <v>0</v>
      </c>
    </row>
    <row r="457" spans="1:7">
      <c r="A457" s="3">
        <v>16</v>
      </c>
      <c r="B457" s="3">
        <v>8</v>
      </c>
      <c r="C457" s="3">
        <v>50</v>
      </c>
      <c r="D457" s="3">
        <v>1</v>
      </c>
      <c r="E457" s="3">
        <v>49.132</v>
      </c>
      <c r="F457" s="4" t="str">
        <f>HYPERLINK("http://141.218.60.56/~jnz1568/getInfo.php?workbook=16_08.xlsx&amp;sheet=A0&amp;row=457&amp;col=6&amp;number=15580000000&amp;sourceID=14","15580000000")</f>
        <v>15580000000</v>
      </c>
      <c r="G457" s="4" t="str">
        <f>HYPERLINK("http://141.218.60.56/~jnz1568/getInfo.php?workbook=16_08.xlsx&amp;sheet=A0&amp;row=457&amp;col=7&amp;number=0&amp;sourceID=14","0")</f>
        <v>0</v>
      </c>
    </row>
    <row r="458" spans="1:7">
      <c r="A458" s="3">
        <v>16</v>
      </c>
      <c r="B458" s="3">
        <v>8</v>
      </c>
      <c r="C458" s="3">
        <v>50</v>
      </c>
      <c r="D458" s="3">
        <v>2</v>
      </c>
      <c r="E458" s="3">
        <v>49.325</v>
      </c>
      <c r="F458" s="4" t="str">
        <f>HYPERLINK("http://141.218.60.56/~jnz1568/getInfo.php?workbook=16_08.xlsx&amp;sheet=A0&amp;row=458&amp;col=6&amp;number=203100000000&amp;sourceID=14","203100000000")</f>
        <v>203100000000</v>
      </c>
      <c r="G458" s="4" t="str">
        <f>HYPERLINK("http://141.218.60.56/~jnz1568/getInfo.php?workbook=16_08.xlsx&amp;sheet=A0&amp;row=458&amp;col=7&amp;number=0&amp;sourceID=14","0")</f>
        <v>0</v>
      </c>
    </row>
    <row r="459" spans="1:7">
      <c r="A459" s="3">
        <v>16</v>
      </c>
      <c r="B459" s="3">
        <v>8</v>
      </c>
      <c r="C459" s="3">
        <v>50</v>
      </c>
      <c r="D459" s="3">
        <v>3</v>
      </c>
      <c r="E459" s="3">
        <v>49.39</v>
      </c>
      <c r="F459" s="4" t="str">
        <f>HYPERLINK("http://141.218.60.56/~jnz1568/getInfo.php?workbook=16_08.xlsx&amp;sheet=A0&amp;row=459&amp;col=6&amp;number=261100000000&amp;sourceID=14","261100000000")</f>
        <v>261100000000</v>
      </c>
      <c r="G459" s="4" t="str">
        <f>HYPERLINK("http://141.218.60.56/~jnz1568/getInfo.php?workbook=16_08.xlsx&amp;sheet=A0&amp;row=459&amp;col=7&amp;number=0&amp;sourceID=14","0")</f>
        <v>0</v>
      </c>
    </row>
    <row r="460" spans="1:7">
      <c r="A460" s="3">
        <v>16</v>
      </c>
      <c r="B460" s="3">
        <v>8</v>
      </c>
      <c r="C460" s="3">
        <v>50</v>
      </c>
      <c r="D460" s="3">
        <v>4</v>
      </c>
      <c r="E460" s="3">
        <v>50.58</v>
      </c>
      <c r="F460" s="4" t="str">
        <f>HYPERLINK("http://141.218.60.56/~jnz1568/getInfo.php?workbook=16_08.xlsx&amp;sheet=A0&amp;row=460&amp;col=6&amp;number=244600000&amp;sourceID=14","244600000")</f>
        <v>244600000</v>
      </c>
      <c r="G460" s="4" t="str">
        <f>HYPERLINK("http://141.218.60.56/~jnz1568/getInfo.php?workbook=16_08.xlsx&amp;sheet=A0&amp;row=460&amp;col=7&amp;number=0&amp;sourceID=14","0")</f>
        <v>0</v>
      </c>
    </row>
    <row r="461" spans="1:7">
      <c r="A461" s="3">
        <v>16</v>
      </c>
      <c r="B461" s="3">
        <v>8</v>
      </c>
      <c r="C461" s="3">
        <v>50</v>
      </c>
      <c r="D461" s="3">
        <v>5</v>
      </c>
      <c r="E461" s="3">
        <v>52.283</v>
      </c>
      <c r="F461" s="4" t="str">
        <f>HYPERLINK("http://141.218.60.56/~jnz1568/getInfo.php?workbook=16_08.xlsx&amp;sheet=A0&amp;row=461&amp;col=6&amp;number=45770&amp;sourceID=14","45770")</f>
        <v>45770</v>
      </c>
      <c r="G461" s="4" t="str">
        <f>HYPERLINK("http://141.218.60.56/~jnz1568/getInfo.php?workbook=16_08.xlsx&amp;sheet=A0&amp;row=461&amp;col=7&amp;number=0&amp;sourceID=14","0")</f>
        <v>0</v>
      </c>
    </row>
    <row r="462" spans="1:7">
      <c r="A462" s="3">
        <v>16</v>
      </c>
      <c r="B462" s="3">
        <v>8</v>
      </c>
      <c r="C462" s="3">
        <v>50</v>
      </c>
      <c r="D462" s="3">
        <v>6</v>
      </c>
      <c r="E462" s="3">
        <v>62.879</v>
      </c>
      <c r="F462" s="4" t="str">
        <f>HYPERLINK("http://141.218.60.56/~jnz1568/getInfo.php?workbook=16_08.xlsx&amp;sheet=A0&amp;row=462&amp;col=6&amp;number=35710&amp;sourceID=14","35710")</f>
        <v>35710</v>
      </c>
      <c r="G462" s="4" t="str">
        <f>HYPERLINK("http://141.218.60.56/~jnz1568/getInfo.php?workbook=16_08.xlsx&amp;sheet=A0&amp;row=462&amp;col=7&amp;number=0&amp;sourceID=14","0")</f>
        <v>0</v>
      </c>
    </row>
    <row r="463" spans="1:7">
      <c r="A463" s="3">
        <v>16</v>
      </c>
      <c r="B463" s="3">
        <v>8</v>
      </c>
      <c r="C463" s="3">
        <v>50</v>
      </c>
      <c r="D463" s="3">
        <v>7</v>
      </c>
      <c r="E463" s="3">
        <v>63.157</v>
      </c>
      <c r="F463" s="4" t="str">
        <f>HYPERLINK("http://141.218.60.56/~jnz1568/getInfo.php?workbook=16_08.xlsx&amp;sheet=A0&amp;row=463&amp;col=6&amp;number=63030&amp;sourceID=14","63030")</f>
        <v>63030</v>
      </c>
      <c r="G463" s="4" t="str">
        <f>HYPERLINK("http://141.218.60.56/~jnz1568/getInfo.php?workbook=16_08.xlsx&amp;sheet=A0&amp;row=463&amp;col=7&amp;number=0&amp;sourceID=14","0")</f>
        <v>0</v>
      </c>
    </row>
    <row r="464" spans="1:7">
      <c r="A464" s="3">
        <v>16</v>
      </c>
      <c r="B464" s="3">
        <v>8</v>
      </c>
      <c r="C464" s="3">
        <v>50</v>
      </c>
      <c r="D464" s="3">
        <v>10</v>
      </c>
      <c r="E464" s="3">
        <v>100.388</v>
      </c>
      <c r="F464" s="4" t="str">
        <f>HYPERLINK("http://141.218.60.56/~jnz1568/getInfo.php?workbook=16_08.xlsx&amp;sheet=A0&amp;row=464&amp;col=6&amp;number=19110&amp;sourceID=14","19110")</f>
        <v>19110</v>
      </c>
      <c r="G464" s="4" t="str">
        <f>HYPERLINK("http://141.218.60.56/~jnz1568/getInfo.php?workbook=16_08.xlsx&amp;sheet=A0&amp;row=464&amp;col=7&amp;number=0&amp;sourceID=14","0")</f>
        <v>0</v>
      </c>
    </row>
    <row r="465" spans="1:7">
      <c r="A465" s="3">
        <v>16</v>
      </c>
      <c r="B465" s="3">
        <v>8</v>
      </c>
      <c r="C465" s="3">
        <v>50</v>
      </c>
      <c r="D465" s="3">
        <v>12</v>
      </c>
      <c r="E465" s="3">
        <v>396.506</v>
      </c>
      <c r="F465" s="4" t="str">
        <f>HYPERLINK("http://141.218.60.56/~jnz1568/getInfo.php?workbook=16_08.xlsx&amp;sheet=A0&amp;row=465&amp;col=6&amp;number=43010&amp;sourceID=14","43010")</f>
        <v>43010</v>
      </c>
      <c r="G465" s="4" t="str">
        <f>HYPERLINK("http://141.218.60.56/~jnz1568/getInfo.php?workbook=16_08.xlsx&amp;sheet=A0&amp;row=465&amp;col=7&amp;number=0&amp;sourceID=14","0")</f>
        <v>0</v>
      </c>
    </row>
    <row r="466" spans="1:7">
      <c r="A466" s="3">
        <v>16</v>
      </c>
      <c r="B466" s="3">
        <v>8</v>
      </c>
      <c r="C466" s="3">
        <v>50</v>
      </c>
      <c r="D466" s="3">
        <v>17</v>
      </c>
      <c r="E466" s="3">
        <v>596.944</v>
      </c>
      <c r="F466" s="4" t="str">
        <f>HYPERLINK("http://141.218.60.56/~jnz1568/getInfo.php?workbook=16_08.xlsx&amp;sheet=A0&amp;row=466&amp;col=6&amp;number=884100&amp;sourceID=14","884100")</f>
        <v>884100</v>
      </c>
      <c r="G466" s="4" t="str">
        <f>HYPERLINK("http://141.218.60.56/~jnz1568/getInfo.php?workbook=16_08.xlsx&amp;sheet=A0&amp;row=466&amp;col=7&amp;number=0&amp;sourceID=14","0")</f>
        <v>0</v>
      </c>
    </row>
    <row r="467" spans="1:7">
      <c r="A467" s="3">
        <v>16</v>
      </c>
      <c r="B467" s="3">
        <v>8</v>
      </c>
      <c r="C467" s="3">
        <v>50</v>
      </c>
      <c r="D467" s="3">
        <v>18</v>
      </c>
      <c r="E467" s="3">
        <v>599.193</v>
      </c>
      <c r="F467" s="4" t="str">
        <f>HYPERLINK("http://141.218.60.56/~jnz1568/getInfo.php?workbook=16_08.xlsx&amp;sheet=A0&amp;row=467&amp;col=6&amp;number=26930&amp;sourceID=14","26930")</f>
        <v>26930</v>
      </c>
      <c r="G467" s="4" t="str">
        <f>HYPERLINK("http://141.218.60.56/~jnz1568/getInfo.php?workbook=16_08.xlsx&amp;sheet=A0&amp;row=467&amp;col=7&amp;number=0&amp;sourceID=14","0")</f>
        <v>0</v>
      </c>
    </row>
    <row r="468" spans="1:7">
      <c r="A468" s="3">
        <v>16</v>
      </c>
      <c r="B468" s="3">
        <v>8</v>
      </c>
      <c r="C468" s="3">
        <v>50</v>
      </c>
      <c r="D468" s="3">
        <v>20</v>
      </c>
      <c r="E468" s="3">
        <v>701.489</v>
      </c>
      <c r="F468" s="4" t="str">
        <f>HYPERLINK("http://141.218.60.56/~jnz1568/getInfo.php?workbook=16_08.xlsx&amp;sheet=A0&amp;row=468&amp;col=6&amp;number=943600000&amp;sourceID=14","943600000")</f>
        <v>943600000</v>
      </c>
      <c r="G468" s="4" t="str">
        <f>HYPERLINK("http://141.218.60.56/~jnz1568/getInfo.php?workbook=16_08.xlsx&amp;sheet=A0&amp;row=468&amp;col=7&amp;number=0&amp;sourceID=14","0")</f>
        <v>0</v>
      </c>
    </row>
    <row r="469" spans="1:7">
      <c r="A469" s="3">
        <v>16</v>
      </c>
      <c r="B469" s="3">
        <v>8</v>
      </c>
      <c r="C469" s="3">
        <v>50</v>
      </c>
      <c r="D469" s="3">
        <v>21</v>
      </c>
      <c r="E469" s="3">
        <v>703.339</v>
      </c>
      <c r="F469" s="4" t="str">
        <f>HYPERLINK("http://141.218.60.56/~jnz1568/getInfo.php?workbook=16_08.xlsx&amp;sheet=A0&amp;row=469&amp;col=6&amp;number=61210000&amp;sourceID=14","61210000")</f>
        <v>61210000</v>
      </c>
      <c r="G469" s="4" t="str">
        <f>HYPERLINK("http://141.218.60.56/~jnz1568/getInfo.php?workbook=16_08.xlsx&amp;sheet=A0&amp;row=469&amp;col=7&amp;number=0&amp;sourceID=14","0")</f>
        <v>0</v>
      </c>
    </row>
    <row r="470" spans="1:7">
      <c r="A470" s="3">
        <v>16</v>
      </c>
      <c r="B470" s="3">
        <v>8</v>
      </c>
      <c r="C470" s="3">
        <v>50</v>
      </c>
      <c r="D470" s="3">
        <v>22</v>
      </c>
      <c r="E470" s="3">
        <v>-697.468</v>
      </c>
      <c r="F470" s="4" t="str">
        <f>HYPERLINK("http://141.218.60.56/~jnz1568/getInfo.php?workbook=16_08.xlsx&amp;sheet=A0&amp;row=470&amp;col=6&amp;number=1296000000&amp;sourceID=14","1296000000")</f>
        <v>1296000000</v>
      </c>
      <c r="G470" s="4" t="str">
        <f>HYPERLINK("http://141.218.60.56/~jnz1568/getInfo.php?workbook=16_08.xlsx&amp;sheet=A0&amp;row=470&amp;col=7&amp;number=0&amp;sourceID=14","0")</f>
        <v>0</v>
      </c>
    </row>
    <row r="471" spans="1:7">
      <c r="A471" s="3">
        <v>16</v>
      </c>
      <c r="B471" s="3">
        <v>8</v>
      </c>
      <c r="C471" s="3">
        <v>50</v>
      </c>
      <c r="D471" s="3">
        <v>27</v>
      </c>
      <c r="E471" s="3">
        <v>-1145.366</v>
      </c>
      <c r="F471" s="4" t="str">
        <f>HYPERLINK("http://141.218.60.56/~jnz1568/getInfo.php?workbook=16_08.xlsx&amp;sheet=A0&amp;row=471&amp;col=6&amp;number=6019000&amp;sourceID=14","6019000")</f>
        <v>6019000</v>
      </c>
      <c r="G471" s="4" t="str">
        <f>HYPERLINK("http://141.218.60.56/~jnz1568/getInfo.php?workbook=16_08.xlsx&amp;sheet=A0&amp;row=471&amp;col=7&amp;number=0&amp;sourceID=14","0")</f>
        <v>0</v>
      </c>
    </row>
    <row r="472" spans="1:7">
      <c r="A472" s="3">
        <v>16</v>
      </c>
      <c r="B472" s="3">
        <v>8</v>
      </c>
      <c r="C472" s="3">
        <v>50</v>
      </c>
      <c r="D472" s="3">
        <v>28</v>
      </c>
      <c r="E472" s="3">
        <v>1160.497</v>
      </c>
      <c r="F472" s="4" t="str">
        <f>HYPERLINK("http://141.218.60.56/~jnz1568/getInfo.php?workbook=16_08.xlsx&amp;sheet=A0&amp;row=472&amp;col=6&amp;number=7882000&amp;sourceID=14","7882000")</f>
        <v>7882000</v>
      </c>
      <c r="G472" s="4" t="str">
        <f>HYPERLINK("http://141.218.60.56/~jnz1568/getInfo.php?workbook=16_08.xlsx&amp;sheet=A0&amp;row=472&amp;col=7&amp;number=0&amp;sourceID=14","0")</f>
        <v>0</v>
      </c>
    </row>
    <row r="473" spans="1:7">
      <c r="A473" s="3">
        <v>16</v>
      </c>
      <c r="B473" s="3">
        <v>8</v>
      </c>
      <c r="C473" s="3">
        <v>50</v>
      </c>
      <c r="D473" s="3">
        <v>30</v>
      </c>
      <c r="E473" s="3">
        <v>-1074.388</v>
      </c>
      <c r="F473" s="4" t="str">
        <f>HYPERLINK("http://141.218.60.56/~jnz1568/getInfo.php?workbook=16_08.xlsx&amp;sheet=A0&amp;row=473&amp;col=6&amp;number=8088000&amp;sourceID=14","8088000")</f>
        <v>8088000</v>
      </c>
      <c r="G473" s="4" t="str">
        <f>HYPERLINK("http://141.218.60.56/~jnz1568/getInfo.php?workbook=16_08.xlsx&amp;sheet=A0&amp;row=473&amp;col=7&amp;number=0&amp;sourceID=14","0")</f>
        <v>0</v>
      </c>
    </row>
    <row r="474" spans="1:7">
      <c r="A474" s="3">
        <v>16</v>
      </c>
      <c r="B474" s="3">
        <v>8</v>
      </c>
      <c r="C474" s="3">
        <v>50</v>
      </c>
      <c r="D474" s="3">
        <v>31</v>
      </c>
      <c r="E474" s="3">
        <v>1283.582</v>
      </c>
      <c r="F474" s="4" t="str">
        <f>HYPERLINK("http://141.218.60.56/~jnz1568/getInfo.php?workbook=16_08.xlsx&amp;sheet=A0&amp;row=474&amp;col=6&amp;number=944000&amp;sourceID=14","944000")</f>
        <v>944000</v>
      </c>
      <c r="G474" s="4" t="str">
        <f>HYPERLINK("http://141.218.60.56/~jnz1568/getInfo.php?workbook=16_08.xlsx&amp;sheet=A0&amp;row=474&amp;col=7&amp;number=0&amp;sourceID=14","0")</f>
        <v>0</v>
      </c>
    </row>
    <row r="475" spans="1:7">
      <c r="A475" s="3">
        <v>16</v>
      </c>
      <c r="B475" s="3">
        <v>8</v>
      </c>
      <c r="C475" s="3">
        <v>50</v>
      </c>
      <c r="D475" s="3">
        <v>35</v>
      </c>
      <c r="E475" s="3">
        <v>-2320.512</v>
      </c>
      <c r="F475" s="4" t="str">
        <f>HYPERLINK("http://141.218.60.56/~jnz1568/getInfo.php?workbook=16_08.xlsx&amp;sheet=A0&amp;row=475&amp;col=6&amp;number=846300&amp;sourceID=14","846300")</f>
        <v>846300</v>
      </c>
      <c r="G475" s="4" t="str">
        <f>HYPERLINK("http://141.218.60.56/~jnz1568/getInfo.php?workbook=16_08.xlsx&amp;sheet=A0&amp;row=475&amp;col=7&amp;number=0&amp;sourceID=14","0")</f>
        <v>0</v>
      </c>
    </row>
    <row r="476" spans="1:7">
      <c r="A476" s="3">
        <v>16</v>
      </c>
      <c r="B476" s="3">
        <v>8</v>
      </c>
      <c r="C476" s="3">
        <v>50</v>
      </c>
      <c r="D476" s="3">
        <v>36</v>
      </c>
      <c r="E476" s="3">
        <v>2318.034</v>
      </c>
      <c r="F476" s="4" t="str">
        <f>HYPERLINK("http://141.218.60.56/~jnz1568/getInfo.php?workbook=16_08.xlsx&amp;sheet=A0&amp;row=476&amp;col=6&amp;number=388600&amp;sourceID=14","388600")</f>
        <v>388600</v>
      </c>
      <c r="G476" s="4" t="str">
        <f>HYPERLINK("http://141.218.60.56/~jnz1568/getInfo.php?workbook=16_08.xlsx&amp;sheet=A0&amp;row=476&amp;col=7&amp;number=0&amp;sourceID=14","0")</f>
        <v>0</v>
      </c>
    </row>
    <row r="477" spans="1:7">
      <c r="A477" s="3">
        <v>16</v>
      </c>
      <c r="B477" s="3">
        <v>8</v>
      </c>
      <c r="C477" s="3">
        <v>50</v>
      </c>
      <c r="D477" s="3">
        <v>37</v>
      </c>
      <c r="E477" s="3">
        <v>2237.337</v>
      </c>
      <c r="F477" s="4" t="str">
        <f>HYPERLINK("http://141.218.60.56/~jnz1568/getInfo.php?workbook=16_08.xlsx&amp;sheet=A0&amp;row=477&amp;col=6&amp;number=92500&amp;sourceID=14","92500")</f>
        <v>92500</v>
      </c>
      <c r="G477" s="4" t="str">
        <f>HYPERLINK("http://141.218.60.56/~jnz1568/getInfo.php?workbook=16_08.xlsx&amp;sheet=A0&amp;row=477&amp;col=7&amp;number=0&amp;sourceID=14","0")</f>
        <v>0</v>
      </c>
    </row>
    <row r="478" spans="1:7">
      <c r="A478" s="3">
        <v>16</v>
      </c>
      <c r="B478" s="3">
        <v>8</v>
      </c>
      <c r="C478" s="3">
        <v>50</v>
      </c>
      <c r="D478" s="3">
        <v>43</v>
      </c>
      <c r="E478" s="3">
        <v>-2026.924</v>
      </c>
      <c r="F478" s="4" t="str">
        <f>HYPERLINK("http://141.218.60.56/~jnz1568/getInfo.php?workbook=16_08.xlsx&amp;sheet=A0&amp;row=478&amp;col=6&amp;number=332300&amp;sourceID=14","332300")</f>
        <v>332300</v>
      </c>
      <c r="G478" s="4" t="str">
        <f>HYPERLINK("http://141.218.60.56/~jnz1568/getInfo.php?workbook=16_08.xlsx&amp;sheet=A0&amp;row=478&amp;col=7&amp;number=0&amp;sourceID=14","0")</f>
        <v>0</v>
      </c>
    </row>
    <row r="479" spans="1:7">
      <c r="A479" s="3">
        <v>16</v>
      </c>
      <c r="B479" s="3">
        <v>8</v>
      </c>
      <c r="C479" s="3">
        <v>50</v>
      </c>
      <c r="D479" s="3">
        <v>44</v>
      </c>
      <c r="E479" s="3">
        <v>2318.034</v>
      </c>
      <c r="F479" s="4" t="str">
        <f>HYPERLINK("http://141.218.60.56/~jnz1568/getInfo.php?workbook=16_08.xlsx&amp;sheet=A0&amp;row=479&amp;col=6&amp;number=98270&amp;sourceID=14","98270")</f>
        <v>98270</v>
      </c>
      <c r="G479" s="4" t="str">
        <f>HYPERLINK("http://141.218.60.56/~jnz1568/getInfo.php?workbook=16_08.xlsx&amp;sheet=A0&amp;row=479&amp;col=7&amp;number=0&amp;sourceID=14","0")</f>
        <v>0</v>
      </c>
    </row>
    <row r="480" spans="1:7">
      <c r="A480" s="3">
        <v>16</v>
      </c>
      <c r="B480" s="3">
        <v>8</v>
      </c>
      <c r="C480" s="3">
        <v>50</v>
      </c>
      <c r="D480" s="3">
        <v>45</v>
      </c>
      <c r="E480" s="3">
        <v>-2675.407</v>
      </c>
      <c r="F480" s="4" t="str">
        <f>HYPERLINK("http://141.218.60.56/~jnz1568/getInfo.php?workbook=16_08.xlsx&amp;sheet=A0&amp;row=480&amp;col=6&amp;number=293800&amp;sourceID=14","293800")</f>
        <v>293800</v>
      </c>
      <c r="G480" s="4" t="str">
        <f>HYPERLINK("http://141.218.60.56/~jnz1568/getInfo.php?workbook=16_08.xlsx&amp;sheet=A0&amp;row=480&amp;col=7&amp;number=0&amp;sourceID=14","0")</f>
        <v>0</v>
      </c>
    </row>
    <row r="481" spans="1:7">
      <c r="A481" s="3">
        <v>16</v>
      </c>
      <c r="B481" s="3">
        <v>8</v>
      </c>
      <c r="C481" s="3">
        <v>50</v>
      </c>
      <c r="D481" s="3">
        <v>47</v>
      </c>
      <c r="E481" s="3">
        <v>-3407.395</v>
      </c>
      <c r="F481" s="4" t="str">
        <f>HYPERLINK("http://141.218.60.56/~jnz1568/getInfo.php?workbook=16_08.xlsx&amp;sheet=A0&amp;row=481&amp;col=6&amp;number=5001&amp;sourceID=14","5001")</f>
        <v>5001</v>
      </c>
      <c r="G481" s="4" t="str">
        <f>HYPERLINK("http://141.218.60.56/~jnz1568/getInfo.php?workbook=16_08.xlsx&amp;sheet=A0&amp;row=481&amp;col=7&amp;number=0&amp;sourceID=14","0")</f>
        <v>0</v>
      </c>
    </row>
    <row r="482" spans="1:7">
      <c r="A482" s="3">
        <v>16</v>
      </c>
      <c r="B482" s="3">
        <v>8</v>
      </c>
      <c r="C482" s="3">
        <v>50</v>
      </c>
      <c r="D482" s="3">
        <v>48</v>
      </c>
      <c r="E482" s="3">
        <v>-3721.429</v>
      </c>
      <c r="F482" s="4" t="str">
        <f>HYPERLINK("http://141.218.60.56/~jnz1568/getInfo.php?workbook=16_08.xlsx&amp;sheet=A0&amp;row=482&amp;col=6&amp;number=24210&amp;sourceID=14","24210")</f>
        <v>24210</v>
      </c>
      <c r="G482" s="4" t="str">
        <f>HYPERLINK("http://141.218.60.56/~jnz1568/getInfo.php?workbook=16_08.xlsx&amp;sheet=A0&amp;row=482&amp;col=7&amp;number=0&amp;sourceID=14","0")</f>
        <v>0</v>
      </c>
    </row>
    <row r="483" spans="1:7">
      <c r="A483" s="3">
        <v>16</v>
      </c>
      <c r="B483" s="3">
        <v>8</v>
      </c>
      <c r="C483" s="3">
        <v>51</v>
      </c>
      <c r="D483" s="3">
        <v>1</v>
      </c>
      <c r="E483" s="3">
        <v>49.119</v>
      </c>
      <c r="F483" s="4" t="str">
        <f>HYPERLINK("http://141.218.60.56/~jnz1568/getInfo.php?workbook=16_08.xlsx&amp;sheet=A0&amp;row=483&amp;col=6&amp;number=494500000000&amp;sourceID=14","494500000000")</f>
        <v>494500000000</v>
      </c>
      <c r="G483" s="4" t="str">
        <f>HYPERLINK("http://141.218.60.56/~jnz1568/getInfo.php?workbook=16_08.xlsx&amp;sheet=A0&amp;row=483&amp;col=7&amp;number=0&amp;sourceID=14","0")</f>
        <v>0</v>
      </c>
    </row>
    <row r="484" spans="1:7">
      <c r="A484" s="3">
        <v>16</v>
      </c>
      <c r="B484" s="3">
        <v>8</v>
      </c>
      <c r="C484" s="3">
        <v>51</v>
      </c>
      <c r="D484" s="3">
        <v>4</v>
      </c>
      <c r="E484" s="3">
        <v>50.567</v>
      </c>
      <c r="F484" s="4" t="str">
        <f>HYPERLINK("http://141.218.60.56/~jnz1568/getInfo.php?workbook=16_08.xlsx&amp;sheet=A0&amp;row=484&amp;col=6&amp;number=988300000&amp;sourceID=14","988300000")</f>
        <v>988300000</v>
      </c>
      <c r="G484" s="4" t="str">
        <f>HYPERLINK("http://141.218.60.56/~jnz1568/getInfo.php?workbook=16_08.xlsx&amp;sheet=A0&amp;row=484&amp;col=7&amp;number=0&amp;sourceID=14","0")</f>
        <v>0</v>
      </c>
    </row>
    <row r="485" spans="1:7">
      <c r="A485" s="3">
        <v>16</v>
      </c>
      <c r="B485" s="3">
        <v>8</v>
      </c>
      <c r="C485" s="3">
        <v>51</v>
      </c>
      <c r="D485" s="3">
        <v>6</v>
      </c>
      <c r="E485" s="3">
        <v>62.858</v>
      </c>
      <c r="F485" s="4" t="str">
        <f>HYPERLINK("http://141.218.60.56/~jnz1568/getInfo.php?workbook=16_08.xlsx&amp;sheet=A0&amp;row=485&amp;col=6&amp;number=75960&amp;sourceID=14","75960")</f>
        <v>75960</v>
      </c>
      <c r="G485" s="4" t="str">
        <f>HYPERLINK("http://141.218.60.56/~jnz1568/getInfo.php?workbook=16_08.xlsx&amp;sheet=A0&amp;row=485&amp;col=7&amp;number=0&amp;sourceID=14","0")</f>
        <v>0</v>
      </c>
    </row>
    <row r="486" spans="1:7">
      <c r="A486" s="3">
        <v>16</v>
      </c>
      <c r="B486" s="3">
        <v>8</v>
      </c>
      <c r="C486" s="3">
        <v>51</v>
      </c>
      <c r="D486" s="3">
        <v>7</v>
      </c>
      <c r="E486" s="3">
        <v>63.136</v>
      </c>
      <c r="F486" s="4" t="str">
        <f>HYPERLINK("http://141.218.60.56/~jnz1568/getInfo.php?workbook=16_08.xlsx&amp;sheet=A0&amp;row=486&amp;col=6&amp;number=51110&amp;sourceID=14","51110")</f>
        <v>51110</v>
      </c>
      <c r="G486" s="4" t="str">
        <f>HYPERLINK("http://141.218.60.56/~jnz1568/getInfo.php?workbook=16_08.xlsx&amp;sheet=A0&amp;row=486&amp;col=7&amp;number=0&amp;sourceID=14","0")</f>
        <v>0</v>
      </c>
    </row>
    <row r="487" spans="1:7">
      <c r="A487" s="3">
        <v>16</v>
      </c>
      <c r="B487" s="3">
        <v>8</v>
      </c>
      <c r="C487" s="3">
        <v>51</v>
      </c>
      <c r="D487" s="3">
        <v>9</v>
      </c>
      <c r="E487" s="3">
        <v>70.433</v>
      </c>
      <c r="F487" s="4" t="str">
        <f>HYPERLINK("http://141.218.60.56/~jnz1568/getInfo.php?workbook=16_08.xlsx&amp;sheet=A0&amp;row=487&amp;col=6&amp;number=1209&amp;sourceID=14","1209")</f>
        <v>1209</v>
      </c>
      <c r="G487" s="4" t="str">
        <f>HYPERLINK("http://141.218.60.56/~jnz1568/getInfo.php?workbook=16_08.xlsx&amp;sheet=A0&amp;row=487&amp;col=7&amp;number=0&amp;sourceID=14","0")</f>
        <v>0</v>
      </c>
    </row>
    <row r="488" spans="1:7">
      <c r="A488" s="3">
        <v>16</v>
      </c>
      <c r="B488" s="3">
        <v>8</v>
      </c>
      <c r="C488" s="3">
        <v>51</v>
      </c>
      <c r="D488" s="3">
        <v>12</v>
      </c>
      <c r="E488" s="3">
        <v>395.687</v>
      </c>
      <c r="F488" s="4" t="str">
        <f>HYPERLINK("http://141.218.60.56/~jnz1568/getInfo.php?workbook=16_08.xlsx&amp;sheet=A0&amp;row=488&amp;col=6&amp;number=42690&amp;sourceID=14","42690")</f>
        <v>42690</v>
      </c>
      <c r="G488" s="4" t="str">
        <f>HYPERLINK("http://141.218.60.56/~jnz1568/getInfo.php?workbook=16_08.xlsx&amp;sheet=A0&amp;row=488&amp;col=7&amp;number=0&amp;sourceID=14","0")</f>
        <v>0</v>
      </c>
    </row>
    <row r="489" spans="1:7">
      <c r="A489" s="3">
        <v>16</v>
      </c>
      <c r="B489" s="3">
        <v>8</v>
      </c>
      <c r="C489" s="3">
        <v>51</v>
      </c>
      <c r="D489" s="3">
        <v>18</v>
      </c>
      <c r="E489" s="3">
        <v>597.325</v>
      </c>
      <c r="F489" s="4" t="str">
        <f>HYPERLINK("http://141.218.60.56/~jnz1568/getInfo.php?workbook=16_08.xlsx&amp;sheet=A0&amp;row=489&amp;col=6&amp;number=7332000&amp;sourceID=14","7332000")</f>
        <v>7332000</v>
      </c>
      <c r="G489" s="4" t="str">
        <f>HYPERLINK("http://141.218.60.56/~jnz1568/getInfo.php?workbook=16_08.xlsx&amp;sheet=A0&amp;row=489&amp;col=7&amp;number=0&amp;sourceID=14","0")</f>
        <v>0</v>
      </c>
    </row>
    <row r="490" spans="1:7">
      <c r="A490" s="3">
        <v>16</v>
      </c>
      <c r="B490" s="3">
        <v>8</v>
      </c>
      <c r="C490" s="3">
        <v>51</v>
      </c>
      <c r="D490" s="3">
        <v>19</v>
      </c>
      <c r="E490" s="3">
        <v>601.728</v>
      </c>
      <c r="F490" s="4" t="str">
        <f>HYPERLINK("http://141.218.60.56/~jnz1568/getInfo.php?workbook=16_08.xlsx&amp;sheet=A0&amp;row=490&amp;col=6&amp;number=1665000&amp;sourceID=14","1665000")</f>
        <v>1665000</v>
      </c>
      <c r="G490" s="4" t="str">
        <f>HYPERLINK("http://141.218.60.56/~jnz1568/getInfo.php?workbook=16_08.xlsx&amp;sheet=A0&amp;row=490&amp;col=7&amp;number=0&amp;sourceID=14","0")</f>
        <v>0</v>
      </c>
    </row>
    <row r="491" spans="1:7">
      <c r="A491" s="3">
        <v>16</v>
      </c>
      <c r="B491" s="3">
        <v>8</v>
      </c>
      <c r="C491" s="3">
        <v>51</v>
      </c>
      <c r="D491" s="3">
        <v>21</v>
      </c>
      <c r="E491" s="3">
        <v>700.766</v>
      </c>
      <c r="F491" s="4" t="str">
        <f>HYPERLINK("http://141.218.60.56/~jnz1568/getInfo.php?workbook=16_08.xlsx&amp;sheet=A0&amp;row=491&amp;col=6&amp;number=2279000000&amp;sourceID=14","2279000000")</f>
        <v>2279000000</v>
      </c>
      <c r="G491" s="4" t="str">
        <f>HYPERLINK("http://141.218.60.56/~jnz1568/getInfo.php?workbook=16_08.xlsx&amp;sheet=A0&amp;row=491&amp;col=7&amp;number=0&amp;sourceID=14","0")</f>
        <v>0</v>
      </c>
    </row>
    <row r="492" spans="1:7">
      <c r="A492" s="3">
        <v>16</v>
      </c>
      <c r="B492" s="3">
        <v>8</v>
      </c>
      <c r="C492" s="3">
        <v>51</v>
      </c>
      <c r="D492" s="3">
        <v>27</v>
      </c>
      <c r="E492" s="3">
        <v>-1137.594</v>
      </c>
      <c r="F492" s="4" t="str">
        <f>HYPERLINK("http://141.218.60.56/~jnz1568/getInfo.php?workbook=16_08.xlsx&amp;sheet=A0&amp;row=492&amp;col=6&amp;number=1949000&amp;sourceID=14","1949000")</f>
        <v>1949000</v>
      </c>
      <c r="G492" s="4" t="str">
        <f>HYPERLINK("http://141.218.60.56/~jnz1568/getInfo.php?workbook=16_08.xlsx&amp;sheet=A0&amp;row=492&amp;col=7&amp;number=0&amp;sourceID=14","0")</f>
        <v>0</v>
      </c>
    </row>
    <row r="493" spans="1:7">
      <c r="A493" s="3">
        <v>16</v>
      </c>
      <c r="B493" s="3">
        <v>8</v>
      </c>
      <c r="C493" s="3">
        <v>51</v>
      </c>
      <c r="D493" s="3">
        <v>29</v>
      </c>
      <c r="E493" s="3">
        <v>1177.052</v>
      </c>
      <c r="F493" s="4" t="str">
        <f>HYPERLINK("http://141.218.60.56/~jnz1568/getInfo.php?workbook=16_08.xlsx&amp;sheet=A0&amp;row=493&amp;col=6&amp;number=13160000&amp;sourceID=14","13160000")</f>
        <v>13160000</v>
      </c>
      <c r="G493" s="4" t="str">
        <f>HYPERLINK("http://141.218.60.56/~jnz1568/getInfo.php?workbook=16_08.xlsx&amp;sheet=A0&amp;row=493&amp;col=7&amp;number=0&amp;sourceID=14","0")</f>
        <v>0</v>
      </c>
    </row>
    <row r="494" spans="1:7">
      <c r="A494" s="3">
        <v>16</v>
      </c>
      <c r="B494" s="3">
        <v>8</v>
      </c>
      <c r="C494" s="3">
        <v>51</v>
      </c>
      <c r="D494" s="3">
        <v>31</v>
      </c>
      <c r="E494" s="3">
        <v>1275.039</v>
      </c>
      <c r="F494" s="4" t="str">
        <f>HYPERLINK("http://141.218.60.56/~jnz1568/getInfo.php?workbook=16_08.xlsx&amp;sheet=A0&amp;row=494&amp;col=6&amp;number=150800&amp;sourceID=14","150800")</f>
        <v>150800</v>
      </c>
      <c r="G494" s="4" t="str">
        <f>HYPERLINK("http://141.218.60.56/~jnz1568/getInfo.php?workbook=16_08.xlsx&amp;sheet=A0&amp;row=494&amp;col=7&amp;number=0&amp;sourceID=14","0")</f>
        <v>0</v>
      </c>
    </row>
    <row r="495" spans="1:7">
      <c r="A495" s="3">
        <v>16</v>
      </c>
      <c r="B495" s="3">
        <v>8</v>
      </c>
      <c r="C495" s="3">
        <v>51</v>
      </c>
      <c r="D495" s="3">
        <v>32</v>
      </c>
      <c r="E495" s="3">
        <v>1292.674</v>
      </c>
      <c r="F495" s="4" t="str">
        <f>HYPERLINK("http://141.218.60.56/~jnz1568/getInfo.php?workbook=16_08.xlsx&amp;sheet=A0&amp;row=495&amp;col=6&amp;number=2819000&amp;sourceID=14","2819000")</f>
        <v>2819000</v>
      </c>
      <c r="G495" s="4" t="str">
        <f>HYPERLINK("http://141.218.60.56/~jnz1568/getInfo.php?workbook=16_08.xlsx&amp;sheet=A0&amp;row=495&amp;col=7&amp;number=0&amp;sourceID=14","0")</f>
        <v>0</v>
      </c>
    </row>
    <row r="496" spans="1:7">
      <c r="A496" s="3">
        <v>16</v>
      </c>
      <c r="B496" s="3">
        <v>8</v>
      </c>
      <c r="C496" s="3">
        <v>51</v>
      </c>
      <c r="D496" s="3">
        <v>33</v>
      </c>
      <c r="E496" s="3">
        <v>1311.751</v>
      </c>
      <c r="F496" s="4" t="str">
        <f>HYPERLINK("http://141.218.60.56/~jnz1568/getInfo.php?workbook=16_08.xlsx&amp;sheet=A0&amp;row=496&amp;col=6&amp;number=2052000&amp;sourceID=14","2052000")</f>
        <v>2052000</v>
      </c>
      <c r="G496" s="4" t="str">
        <f>HYPERLINK("http://141.218.60.56/~jnz1568/getInfo.php?workbook=16_08.xlsx&amp;sheet=A0&amp;row=496&amp;col=7&amp;number=0&amp;sourceID=14","0")</f>
        <v>0</v>
      </c>
    </row>
    <row r="497" spans="1:7">
      <c r="A497" s="3">
        <v>16</v>
      </c>
      <c r="B497" s="3">
        <v>8</v>
      </c>
      <c r="C497" s="3">
        <v>51</v>
      </c>
      <c r="D497" s="3">
        <v>34</v>
      </c>
      <c r="E497" s="3">
        <v>1372.646</v>
      </c>
      <c r="F497" s="4" t="str">
        <f>HYPERLINK("http://141.218.60.56/~jnz1568/getInfo.php?workbook=16_08.xlsx&amp;sheet=A0&amp;row=497&amp;col=6&amp;number=211400&amp;sourceID=14","211400")</f>
        <v>211400</v>
      </c>
      <c r="G497" s="4" t="str">
        <f>HYPERLINK("http://141.218.60.56/~jnz1568/getInfo.php?workbook=16_08.xlsx&amp;sheet=A0&amp;row=497&amp;col=7&amp;number=0&amp;sourceID=14","0")</f>
        <v>0</v>
      </c>
    </row>
    <row r="498" spans="1:7">
      <c r="A498" s="3">
        <v>16</v>
      </c>
      <c r="B498" s="3">
        <v>8</v>
      </c>
      <c r="C498" s="3">
        <v>51</v>
      </c>
      <c r="D498" s="3">
        <v>37</v>
      </c>
      <c r="E498" s="3">
        <v>2211.509</v>
      </c>
      <c r="F498" s="4" t="str">
        <f>HYPERLINK("http://141.218.60.56/~jnz1568/getInfo.php?workbook=16_08.xlsx&amp;sheet=A0&amp;row=498&amp;col=6&amp;number=1297000&amp;sourceID=14","1297000")</f>
        <v>1297000</v>
      </c>
      <c r="G498" s="4" t="str">
        <f>HYPERLINK("http://141.218.60.56/~jnz1568/getInfo.php?workbook=16_08.xlsx&amp;sheet=A0&amp;row=498&amp;col=7&amp;number=0&amp;sourceID=14","0")</f>
        <v>0</v>
      </c>
    </row>
    <row r="499" spans="1:7">
      <c r="A499" s="3">
        <v>16</v>
      </c>
      <c r="B499" s="3">
        <v>8</v>
      </c>
      <c r="C499" s="3">
        <v>51</v>
      </c>
      <c r="D499" s="3">
        <v>44</v>
      </c>
      <c r="E499" s="3">
        <v>2290.321</v>
      </c>
      <c r="F499" s="4" t="str">
        <f>HYPERLINK("http://141.218.60.56/~jnz1568/getInfo.php?workbook=16_08.xlsx&amp;sheet=A0&amp;row=499&amp;col=6&amp;number=205900&amp;sourceID=14","205900")</f>
        <v>205900</v>
      </c>
      <c r="G499" s="4" t="str">
        <f>HYPERLINK("http://141.218.60.56/~jnz1568/getInfo.php?workbook=16_08.xlsx&amp;sheet=A0&amp;row=499&amp;col=7&amp;number=0&amp;sourceID=14","0")</f>
        <v>0</v>
      </c>
    </row>
    <row r="500" spans="1:7">
      <c r="A500" s="3">
        <v>16</v>
      </c>
      <c r="B500" s="3">
        <v>8</v>
      </c>
      <c r="C500" s="3">
        <v>51</v>
      </c>
      <c r="D500" s="3">
        <v>46</v>
      </c>
      <c r="E500" s="3">
        <v>3194.072</v>
      </c>
      <c r="F500" s="4" t="str">
        <f>HYPERLINK("http://141.218.60.56/~jnz1568/getInfo.php?workbook=16_08.xlsx&amp;sheet=A0&amp;row=500&amp;col=6&amp;number=191000&amp;sourceID=14","191000")</f>
        <v>191000</v>
      </c>
      <c r="G500" s="4" t="str">
        <f>HYPERLINK("http://141.218.60.56/~jnz1568/getInfo.php?workbook=16_08.xlsx&amp;sheet=A0&amp;row=500&amp;col=7&amp;number=0&amp;sourceID=14","0")</f>
        <v>0</v>
      </c>
    </row>
    <row r="501" spans="1:7">
      <c r="A501" s="3">
        <v>16</v>
      </c>
      <c r="B501" s="3">
        <v>8</v>
      </c>
      <c r="C501" s="3">
        <v>51</v>
      </c>
      <c r="D501" s="3">
        <v>47</v>
      </c>
      <c r="E501" s="3">
        <v>-3339.517</v>
      </c>
      <c r="F501" s="4" t="str">
        <f>HYPERLINK("http://141.218.60.56/~jnz1568/getInfo.php?workbook=16_08.xlsx&amp;sheet=A0&amp;row=501&amp;col=6&amp;number=28050&amp;sourceID=14","28050")</f>
        <v>28050</v>
      </c>
      <c r="G501" s="4" t="str">
        <f>HYPERLINK("http://141.218.60.56/~jnz1568/getInfo.php?workbook=16_08.xlsx&amp;sheet=A0&amp;row=501&amp;col=7&amp;number=0&amp;sourceID=14","0")</f>
        <v>0</v>
      </c>
    </row>
    <row r="502" spans="1:7">
      <c r="A502" s="3">
        <v>16</v>
      </c>
      <c r="B502" s="3">
        <v>8</v>
      </c>
      <c r="C502" s="3">
        <v>52</v>
      </c>
      <c r="D502" s="3">
        <v>1</v>
      </c>
      <c r="E502" s="3">
        <v>-49.692</v>
      </c>
      <c r="F502" s="4" t="str">
        <f>HYPERLINK("http://141.218.60.56/~jnz1568/getInfo.php?workbook=16_08.xlsx&amp;sheet=A0&amp;row=502&amp;col=6&amp;number=1465000&amp;sourceID=14","1465000")</f>
        <v>1465000</v>
      </c>
      <c r="G502" s="4" t="str">
        <f>HYPERLINK("http://141.218.60.56/~jnz1568/getInfo.php?workbook=16_08.xlsx&amp;sheet=A0&amp;row=502&amp;col=7&amp;number=0&amp;sourceID=14","0")</f>
        <v>0</v>
      </c>
    </row>
    <row r="503" spans="1:7">
      <c r="A503" s="3">
        <v>16</v>
      </c>
      <c r="B503" s="3">
        <v>8</v>
      </c>
      <c r="C503" s="3">
        <v>52</v>
      </c>
      <c r="D503" s="3">
        <v>2</v>
      </c>
      <c r="E503" s="3">
        <v>-49.897</v>
      </c>
      <c r="F503" s="4" t="str">
        <f>HYPERLINK("http://141.218.60.56/~jnz1568/getInfo.php?workbook=16_08.xlsx&amp;sheet=A0&amp;row=503&amp;col=6&amp;number=1784000&amp;sourceID=14","1784000")</f>
        <v>1784000</v>
      </c>
      <c r="G503" s="4" t="str">
        <f>HYPERLINK("http://141.218.60.56/~jnz1568/getInfo.php?workbook=16_08.xlsx&amp;sheet=A0&amp;row=503&amp;col=7&amp;number=0&amp;sourceID=14","0")</f>
        <v>0</v>
      </c>
    </row>
    <row r="504" spans="1:7">
      <c r="A504" s="3">
        <v>16</v>
      </c>
      <c r="B504" s="3">
        <v>8</v>
      </c>
      <c r="C504" s="3">
        <v>52</v>
      </c>
      <c r="D504" s="3">
        <v>3</v>
      </c>
      <c r="E504" s="3">
        <v>-49.966</v>
      </c>
      <c r="F504" s="4" t="str">
        <f>HYPERLINK("http://141.218.60.56/~jnz1568/getInfo.php?workbook=16_08.xlsx&amp;sheet=A0&amp;row=504&amp;col=6&amp;number=745700&amp;sourceID=14","745700")</f>
        <v>745700</v>
      </c>
      <c r="G504" s="4" t="str">
        <f>HYPERLINK("http://141.218.60.56/~jnz1568/getInfo.php?workbook=16_08.xlsx&amp;sheet=A0&amp;row=504&amp;col=7&amp;number=0&amp;sourceID=14","0")</f>
        <v>0</v>
      </c>
    </row>
    <row r="505" spans="1:7">
      <c r="A505" s="3">
        <v>16</v>
      </c>
      <c r="B505" s="3">
        <v>8</v>
      </c>
      <c r="C505" s="3">
        <v>52</v>
      </c>
      <c r="D505" s="3">
        <v>4</v>
      </c>
      <c r="E505" s="3">
        <v>-51.264</v>
      </c>
      <c r="F505" s="4" t="str">
        <f>HYPERLINK("http://141.218.60.56/~jnz1568/getInfo.php?workbook=16_08.xlsx&amp;sheet=A0&amp;row=505&amp;col=6&amp;number=3552000&amp;sourceID=14","3552000")</f>
        <v>3552000</v>
      </c>
      <c r="G505" s="4" t="str">
        <f>HYPERLINK("http://141.218.60.56/~jnz1568/getInfo.php?workbook=16_08.xlsx&amp;sheet=A0&amp;row=505&amp;col=7&amp;number=0&amp;sourceID=14","0")</f>
        <v>0</v>
      </c>
    </row>
    <row r="506" spans="1:7">
      <c r="A506" s="3">
        <v>16</v>
      </c>
      <c r="B506" s="3">
        <v>8</v>
      </c>
      <c r="C506" s="3">
        <v>52</v>
      </c>
      <c r="D506" s="3">
        <v>5</v>
      </c>
      <c r="E506" s="3">
        <v>-52.96</v>
      </c>
      <c r="F506" s="4" t="str">
        <f>HYPERLINK("http://141.218.60.56/~jnz1568/getInfo.php?workbook=16_08.xlsx&amp;sheet=A0&amp;row=506&amp;col=6&amp;number=3034000&amp;sourceID=14","3034000")</f>
        <v>3034000</v>
      </c>
      <c r="G506" s="4" t="str">
        <f>HYPERLINK("http://141.218.60.56/~jnz1568/getInfo.php?workbook=16_08.xlsx&amp;sheet=A0&amp;row=506&amp;col=7&amp;number=0&amp;sourceID=14","0")</f>
        <v>0</v>
      </c>
    </row>
    <row r="507" spans="1:7">
      <c r="A507" s="3">
        <v>16</v>
      </c>
      <c r="B507" s="3">
        <v>8</v>
      </c>
      <c r="C507" s="3">
        <v>52</v>
      </c>
      <c r="D507" s="3">
        <v>6</v>
      </c>
      <c r="E507" s="3">
        <v>-64.229</v>
      </c>
      <c r="F507" s="4" t="str">
        <f>HYPERLINK("http://141.218.60.56/~jnz1568/getInfo.php?workbook=16_08.xlsx&amp;sheet=A0&amp;row=507&amp;col=6&amp;number=362700000&amp;sourceID=14","362700000")</f>
        <v>362700000</v>
      </c>
      <c r="G507" s="4" t="str">
        <f>HYPERLINK("http://141.218.60.56/~jnz1568/getInfo.php?workbook=16_08.xlsx&amp;sheet=A0&amp;row=507&amp;col=7&amp;number=0&amp;sourceID=14","0")</f>
        <v>0</v>
      </c>
    </row>
    <row r="508" spans="1:7">
      <c r="A508" s="3">
        <v>16</v>
      </c>
      <c r="B508" s="3">
        <v>8</v>
      </c>
      <c r="C508" s="3">
        <v>52</v>
      </c>
      <c r="D508" s="3">
        <v>7</v>
      </c>
      <c r="E508" s="3">
        <v>-64.529</v>
      </c>
      <c r="F508" s="4" t="str">
        <f>HYPERLINK("http://141.218.60.56/~jnz1568/getInfo.php?workbook=16_08.xlsx&amp;sheet=A0&amp;row=508&amp;col=6&amp;number=421000000&amp;sourceID=14","421000000")</f>
        <v>421000000</v>
      </c>
      <c r="G508" s="4" t="str">
        <f>HYPERLINK("http://141.218.60.56/~jnz1568/getInfo.php?workbook=16_08.xlsx&amp;sheet=A0&amp;row=508&amp;col=7&amp;number=0&amp;sourceID=14","0")</f>
        <v>0</v>
      </c>
    </row>
    <row r="509" spans="1:7">
      <c r="A509" s="3">
        <v>16</v>
      </c>
      <c r="B509" s="3">
        <v>8</v>
      </c>
      <c r="C509" s="3">
        <v>52</v>
      </c>
      <c r="D509" s="3">
        <v>9</v>
      </c>
      <c r="E509" s="3">
        <v>-72.668</v>
      </c>
      <c r="F509" s="4" t="str">
        <f>HYPERLINK("http://141.218.60.56/~jnz1568/getInfo.php?workbook=16_08.xlsx&amp;sheet=A0&amp;row=509&amp;col=6&amp;number=287400000&amp;sourceID=14","287400000")</f>
        <v>287400000</v>
      </c>
      <c r="G509" s="4" t="str">
        <f>HYPERLINK("http://141.218.60.56/~jnz1568/getInfo.php?workbook=16_08.xlsx&amp;sheet=A0&amp;row=509&amp;col=7&amp;number=0&amp;sourceID=14","0")</f>
        <v>0</v>
      </c>
    </row>
    <row r="510" spans="1:7">
      <c r="A510" s="3">
        <v>16</v>
      </c>
      <c r="B510" s="3">
        <v>8</v>
      </c>
      <c r="C510" s="3">
        <v>52</v>
      </c>
      <c r="D510" s="3">
        <v>11</v>
      </c>
      <c r="E510" s="3">
        <v>-376.625</v>
      </c>
      <c r="F510" s="4" t="str">
        <f>HYPERLINK("http://141.218.60.56/~jnz1568/getInfo.php?workbook=16_08.xlsx&amp;sheet=A0&amp;row=510&amp;col=6&amp;number=1849000&amp;sourceID=14","1849000")</f>
        <v>1849000</v>
      </c>
      <c r="G510" s="4" t="str">
        <f>HYPERLINK("http://141.218.60.56/~jnz1568/getInfo.php?workbook=16_08.xlsx&amp;sheet=A0&amp;row=510&amp;col=7&amp;number=0&amp;sourceID=14","0")</f>
        <v>0</v>
      </c>
    </row>
    <row r="511" spans="1:7">
      <c r="A511" s="3">
        <v>16</v>
      </c>
      <c r="B511" s="3">
        <v>8</v>
      </c>
      <c r="C511" s="3">
        <v>52</v>
      </c>
      <c r="D511" s="3">
        <v>12</v>
      </c>
      <c r="E511" s="3">
        <v>-424.166</v>
      </c>
      <c r="F511" s="4" t="str">
        <f>HYPERLINK("http://141.218.60.56/~jnz1568/getInfo.php?workbook=16_08.xlsx&amp;sheet=A0&amp;row=511&amp;col=6&amp;number=463700000&amp;sourceID=14","463700000")</f>
        <v>463700000</v>
      </c>
      <c r="G511" s="4" t="str">
        <f>HYPERLINK("http://141.218.60.56/~jnz1568/getInfo.php?workbook=16_08.xlsx&amp;sheet=A0&amp;row=511&amp;col=7&amp;number=0&amp;sourceID=14","0")</f>
        <v>0</v>
      </c>
    </row>
    <row r="512" spans="1:7">
      <c r="A512" s="3">
        <v>16</v>
      </c>
      <c r="B512" s="3">
        <v>8</v>
      </c>
      <c r="C512" s="3">
        <v>52</v>
      </c>
      <c r="D512" s="3">
        <v>13</v>
      </c>
      <c r="E512" s="3">
        <v>-579.404</v>
      </c>
      <c r="F512" s="4" t="str">
        <f>HYPERLINK("http://141.218.60.56/~jnz1568/getInfo.php?workbook=16_08.xlsx&amp;sheet=A0&amp;row=512&amp;col=6&amp;number=12650000&amp;sourceID=14","12650000")</f>
        <v>12650000</v>
      </c>
      <c r="G512" s="4" t="str">
        <f>HYPERLINK("http://141.218.60.56/~jnz1568/getInfo.php?workbook=16_08.xlsx&amp;sheet=A0&amp;row=512&amp;col=7&amp;number=0&amp;sourceID=14","0")</f>
        <v>0</v>
      </c>
    </row>
    <row r="513" spans="1:7">
      <c r="A513" s="3">
        <v>16</v>
      </c>
      <c r="B513" s="3">
        <v>8</v>
      </c>
      <c r="C513" s="3">
        <v>52</v>
      </c>
      <c r="D513" s="3">
        <v>14</v>
      </c>
      <c r="E513" s="3">
        <v>-578.286</v>
      </c>
      <c r="F513" s="4" t="str">
        <f>HYPERLINK("http://141.218.60.56/~jnz1568/getInfo.php?workbook=16_08.xlsx&amp;sheet=A0&amp;row=513&amp;col=6&amp;number=835500&amp;sourceID=14","835500")</f>
        <v>835500</v>
      </c>
      <c r="G513" s="4" t="str">
        <f>HYPERLINK("http://141.218.60.56/~jnz1568/getInfo.php?workbook=16_08.xlsx&amp;sheet=A0&amp;row=513&amp;col=7&amp;number=0&amp;sourceID=14","0")</f>
        <v>0</v>
      </c>
    </row>
    <row r="514" spans="1:7">
      <c r="A514" s="3">
        <v>16</v>
      </c>
      <c r="B514" s="3">
        <v>8</v>
      </c>
      <c r="C514" s="3">
        <v>52</v>
      </c>
      <c r="D514" s="3">
        <v>15</v>
      </c>
      <c r="E514" s="3">
        <v>-583.304</v>
      </c>
      <c r="F514" s="4" t="str">
        <f>HYPERLINK("http://141.218.60.56/~jnz1568/getInfo.php?workbook=16_08.xlsx&amp;sheet=A0&amp;row=514&amp;col=6&amp;number=851800&amp;sourceID=14","851800")</f>
        <v>851800</v>
      </c>
      <c r="G514" s="4" t="str">
        <f>HYPERLINK("http://141.218.60.56/~jnz1568/getInfo.php?workbook=16_08.xlsx&amp;sheet=A0&amp;row=514&amp;col=7&amp;number=0&amp;sourceID=14","0")</f>
        <v>0</v>
      </c>
    </row>
    <row r="515" spans="1:7">
      <c r="A515" s="3">
        <v>16</v>
      </c>
      <c r="B515" s="3">
        <v>8</v>
      </c>
      <c r="C515" s="3">
        <v>52</v>
      </c>
      <c r="D515" s="3">
        <v>16</v>
      </c>
      <c r="E515" s="3">
        <v>-634.621</v>
      </c>
      <c r="F515" s="4" t="str">
        <f>HYPERLINK("http://141.218.60.56/~jnz1568/getInfo.php?workbook=16_08.xlsx&amp;sheet=A0&amp;row=515&amp;col=6&amp;number=16050000&amp;sourceID=14","16050000")</f>
        <v>16050000</v>
      </c>
      <c r="G515" s="4" t="str">
        <f>HYPERLINK("http://141.218.60.56/~jnz1568/getInfo.php?workbook=16_08.xlsx&amp;sheet=A0&amp;row=515&amp;col=7&amp;number=0&amp;sourceID=14","0")</f>
        <v>0</v>
      </c>
    </row>
    <row r="516" spans="1:7">
      <c r="A516" s="3">
        <v>16</v>
      </c>
      <c r="B516" s="3">
        <v>8</v>
      </c>
      <c r="C516" s="3">
        <v>52</v>
      </c>
      <c r="D516" s="3">
        <v>24</v>
      </c>
      <c r="E516" s="3">
        <v>-759.054</v>
      </c>
      <c r="F516" s="4" t="str">
        <f>HYPERLINK("http://141.218.60.56/~jnz1568/getInfo.php?workbook=16_08.xlsx&amp;sheet=A0&amp;row=516&amp;col=6&amp;number=291300000&amp;sourceID=14","291300000")</f>
        <v>291300000</v>
      </c>
      <c r="G516" s="4" t="str">
        <f>HYPERLINK("http://141.218.60.56/~jnz1568/getInfo.php?workbook=16_08.xlsx&amp;sheet=A0&amp;row=516&amp;col=7&amp;number=0&amp;sourceID=14","0")</f>
        <v>0</v>
      </c>
    </row>
    <row r="517" spans="1:7">
      <c r="A517" s="3">
        <v>16</v>
      </c>
      <c r="B517" s="3">
        <v>8</v>
      </c>
      <c r="C517" s="3">
        <v>52</v>
      </c>
      <c r="D517" s="3">
        <v>25</v>
      </c>
      <c r="E517" s="3">
        <v>-769.196</v>
      </c>
      <c r="F517" s="4" t="str">
        <f>HYPERLINK("http://141.218.60.56/~jnz1568/getInfo.php?workbook=16_08.xlsx&amp;sheet=A0&amp;row=517&amp;col=6&amp;number=1420000000&amp;sourceID=14","1420000000")</f>
        <v>1420000000</v>
      </c>
      <c r="G517" s="4" t="str">
        <f>HYPERLINK("http://141.218.60.56/~jnz1568/getInfo.php?workbook=16_08.xlsx&amp;sheet=A0&amp;row=517&amp;col=7&amp;number=0&amp;sourceID=14","0")</f>
        <v>0</v>
      </c>
    </row>
    <row r="518" spans="1:7">
      <c r="A518" s="3">
        <v>16</v>
      </c>
      <c r="B518" s="3">
        <v>8</v>
      </c>
      <c r="C518" s="3">
        <v>52</v>
      </c>
      <c r="D518" s="3">
        <v>26</v>
      </c>
      <c r="E518" s="3">
        <v>-860.047</v>
      </c>
      <c r="F518" s="4" t="str">
        <f>HYPERLINK("http://141.218.60.56/~jnz1568/getInfo.php?workbook=16_08.xlsx&amp;sheet=A0&amp;row=518&amp;col=6&amp;number=127600000&amp;sourceID=14","127600000")</f>
        <v>127600000</v>
      </c>
      <c r="G518" s="4" t="str">
        <f>HYPERLINK("http://141.218.60.56/~jnz1568/getInfo.php?workbook=16_08.xlsx&amp;sheet=A0&amp;row=518&amp;col=7&amp;number=0&amp;sourceID=14","0")</f>
        <v>0</v>
      </c>
    </row>
    <row r="519" spans="1:7">
      <c r="A519" s="3">
        <v>16</v>
      </c>
      <c r="B519" s="3">
        <v>8</v>
      </c>
      <c r="C519" s="3">
        <v>53</v>
      </c>
      <c r="D519" s="3">
        <v>1</v>
      </c>
      <c r="E519" s="3">
        <v>-49.638</v>
      </c>
      <c r="F519" s="4" t="str">
        <f>HYPERLINK("http://141.218.60.56/~jnz1568/getInfo.php?workbook=16_08.xlsx&amp;sheet=A0&amp;row=519&amp;col=6&amp;number=669800&amp;sourceID=14","669800")</f>
        <v>669800</v>
      </c>
      <c r="G519" s="4" t="str">
        <f>HYPERLINK("http://141.218.60.56/~jnz1568/getInfo.php?workbook=16_08.xlsx&amp;sheet=A0&amp;row=519&amp;col=7&amp;number=0&amp;sourceID=14","0")</f>
        <v>0</v>
      </c>
    </row>
    <row r="520" spans="1:7">
      <c r="A520" s="3">
        <v>16</v>
      </c>
      <c r="B520" s="3">
        <v>8</v>
      </c>
      <c r="C520" s="3">
        <v>53</v>
      </c>
      <c r="D520" s="3">
        <v>2</v>
      </c>
      <c r="E520" s="3">
        <v>-49.843</v>
      </c>
      <c r="F520" s="4" t="str">
        <f>HYPERLINK("http://141.218.60.56/~jnz1568/getInfo.php?workbook=16_08.xlsx&amp;sheet=A0&amp;row=520&amp;col=6&amp;number=158900&amp;sourceID=14","158900")</f>
        <v>158900</v>
      </c>
      <c r="G520" s="4" t="str">
        <f>HYPERLINK("http://141.218.60.56/~jnz1568/getInfo.php?workbook=16_08.xlsx&amp;sheet=A0&amp;row=520&amp;col=7&amp;number=0&amp;sourceID=14","0")</f>
        <v>0</v>
      </c>
    </row>
    <row r="521" spans="1:7">
      <c r="A521" s="3">
        <v>16</v>
      </c>
      <c r="B521" s="3">
        <v>8</v>
      </c>
      <c r="C521" s="3">
        <v>53</v>
      </c>
      <c r="D521" s="3">
        <v>4</v>
      </c>
      <c r="E521" s="3">
        <v>-51.207</v>
      </c>
      <c r="F521" s="4" t="str">
        <f>HYPERLINK("http://141.218.60.56/~jnz1568/getInfo.php?workbook=16_08.xlsx&amp;sheet=A0&amp;row=521&amp;col=6&amp;number=84500&amp;sourceID=14","84500")</f>
        <v>84500</v>
      </c>
      <c r="G521" s="4" t="str">
        <f>HYPERLINK("http://141.218.60.56/~jnz1568/getInfo.php?workbook=16_08.xlsx&amp;sheet=A0&amp;row=521&amp;col=7&amp;number=0&amp;sourceID=14","0")</f>
        <v>0</v>
      </c>
    </row>
    <row r="522" spans="1:7">
      <c r="A522" s="3">
        <v>16</v>
      </c>
      <c r="B522" s="3">
        <v>8</v>
      </c>
      <c r="C522" s="3">
        <v>53</v>
      </c>
      <c r="D522" s="3">
        <v>6</v>
      </c>
      <c r="E522" s="3">
        <v>-64.138</v>
      </c>
      <c r="F522" s="4" t="str">
        <f>HYPERLINK("http://141.218.60.56/~jnz1568/getInfo.php?workbook=16_08.xlsx&amp;sheet=A0&amp;row=522&amp;col=6&amp;number=1367000000&amp;sourceID=14","1367000000")</f>
        <v>1367000000</v>
      </c>
      <c r="G522" s="4" t="str">
        <f>HYPERLINK("http://141.218.60.56/~jnz1568/getInfo.php?workbook=16_08.xlsx&amp;sheet=A0&amp;row=522&amp;col=7&amp;number=0&amp;sourceID=14","0")</f>
        <v>0</v>
      </c>
    </row>
    <row r="523" spans="1:7">
      <c r="A523" s="3">
        <v>16</v>
      </c>
      <c r="B523" s="3">
        <v>8</v>
      </c>
      <c r="C523" s="3">
        <v>53</v>
      </c>
      <c r="D523" s="3">
        <v>7</v>
      </c>
      <c r="E523" s="3">
        <v>-64.438</v>
      </c>
      <c r="F523" s="4" t="str">
        <f>HYPERLINK("http://141.218.60.56/~jnz1568/getInfo.php?workbook=16_08.xlsx&amp;sheet=A0&amp;row=523&amp;col=6&amp;number=688100000&amp;sourceID=14","688100000")</f>
        <v>688100000</v>
      </c>
      <c r="G523" s="4" t="str">
        <f>HYPERLINK("http://141.218.60.56/~jnz1568/getInfo.php?workbook=16_08.xlsx&amp;sheet=A0&amp;row=523&amp;col=7&amp;number=0&amp;sourceID=14","0")</f>
        <v>0</v>
      </c>
    </row>
    <row r="524" spans="1:7">
      <c r="A524" s="3">
        <v>16</v>
      </c>
      <c r="B524" s="3">
        <v>8</v>
      </c>
      <c r="C524" s="3">
        <v>53</v>
      </c>
      <c r="D524" s="3">
        <v>8</v>
      </c>
      <c r="E524" s="3">
        <v>-64.605</v>
      </c>
      <c r="F524" s="4" t="str">
        <f>HYPERLINK("http://141.218.60.56/~jnz1568/getInfo.php?workbook=16_08.xlsx&amp;sheet=A0&amp;row=524&amp;col=6&amp;number=1561000000&amp;sourceID=14","1561000000")</f>
        <v>1561000000</v>
      </c>
      <c r="G524" s="4" t="str">
        <f>HYPERLINK("http://141.218.60.56/~jnz1568/getInfo.php?workbook=16_08.xlsx&amp;sheet=A0&amp;row=524&amp;col=7&amp;number=0&amp;sourceID=14","0")</f>
        <v>0</v>
      </c>
    </row>
    <row r="525" spans="1:7">
      <c r="A525" s="3">
        <v>16</v>
      </c>
      <c r="B525" s="3">
        <v>8</v>
      </c>
      <c r="C525" s="3">
        <v>53</v>
      </c>
      <c r="D525" s="3">
        <v>9</v>
      </c>
      <c r="E525" s="3">
        <v>-72.553</v>
      </c>
      <c r="F525" s="4" t="str">
        <f>HYPERLINK("http://141.218.60.56/~jnz1568/getInfo.php?workbook=16_08.xlsx&amp;sheet=A0&amp;row=525&amp;col=6&amp;number=116600000&amp;sourceID=14","116600000")</f>
        <v>116600000</v>
      </c>
      <c r="G525" s="4" t="str">
        <f>HYPERLINK("http://141.218.60.56/~jnz1568/getInfo.php?workbook=16_08.xlsx&amp;sheet=A0&amp;row=525&amp;col=7&amp;number=0&amp;sourceID=14","0")</f>
        <v>0</v>
      </c>
    </row>
    <row r="526" spans="1:7">
      <c r="A526" s="3">
        <v>16</v>
      </c>
      <c r="B526" s="3">
        <v>8</v>
      </c>
      <c r="C526" s="3">
        <v>53</v>
      </c>
      <c r="D526" s="3">
        <v>11</v>
      </c>
      <c r="E526" s="3">
        <v>-373.539</v>
      </c>
      <c r="F526" s="4" t="str">
        <f>HYPERLINK("http://141.218.60.56/~jnz1568/getInfo.php?workbook=16_08.xlsx&amp;sheet=A0&amp;row=526&amp;col=6&amp;number=996000&amp;sourceID=14","996000")</f>
        <v>996000</v>
      </c>
      <c r="G526" s="4" t="str">
        <f>HYPERLINK("http://141.218.60.56/~jnz1568/getInfo.php?workbook=16_08.xlsx&amp;sheet=A0&amp;row=526&amp;col=7&amp;number=0&amp;sourceID=14","0")</f>
        <v>0</v>
      </c>
    </row>
    <row r="527" spans="1:7">
      <c r="A527" s="3">
        <v>16</v>
      </c>
      <c r="B527" s="3">
        <v>8</v>
      </c>
      <c r="C527" s="3">
        <v>53</v>
      </c>
      <c r="D527" s="3">
        <v>12</v>
      </c>
      <c r="E527" s="3">
        <v>-420.255</v>
      </c>
      <c r="F527" s="4" t="str">
        <f>HYPERLINK("http://141.218.60.56/~jnz1568/getInfo.php?workbook=16_08.xlsx&amp;sheet=A0&amp;row=527&amp;col=6&amp;number=1001000000&amp;sourceID=14","1001000000")</f>
        <v>1001000000</v>
      </c>
      <c r="G527" s="4" t="str">
        <f>HYPERLINK("http://141.218.60.56/~jnz1568/getInfo.php?workbook=16_08.xlsx&amp;sheet=A0&amp;row=527&amp;col=7&amp;number=0&amp;sourceID=14","0")</f>
        <v>0</v>
      </c>
    </row>
    <row r="528" spans="1:7">
      <c r="A528" s="3">
        <v>16</v>
      </c>
      <c r="B528" s="3">
        <v>8</v>
      </c>
      <c r="C528" s="3">
        <v>53</v>
      </c>
      <c r="D528" s="3">
        <v>13</v>
      </c>
      <c r="E528" s="3">
        <v>-572.131</v>
      </c>
      <c r="F528" s="4" t="str">
        <f>HYPERLINK("http://141.218.60.56/~jnz1568/getInfo.php?workbook=16_08.xlsx&amp;sheet=A0&amp;row=528&amp;col=6&amp;number=87010000&amp;sourceID=14","87010000")</f>
        <v>87010000</v>
      </c>
      <c r="G528" s="4" t="str">
        <f>HYPERLINK("http://141.218.60.56/~jnz1568/getInfo.php?workbook=16_08.xlsx&amp;sheet=A0&amp;row=528&amp;col=7&amp;number=0&amp;sourceID=14","0")</f>
        <v>0</v>
      </c>
    </row>
    <row r="529" spans="1:7">
      <c r="A529" s="3">
        <v>16</v>
      </c>
      <c r="B529" s="3">
        <v>8</v>
      </c>
      <c r="C529" s="3">
        <v>53</v>
      </c>
      <c r="D529" s="3">
        <v>14</v>
      </c>
      <c r="E529" s="3">
        <v>-571.041</v>
      </c>
      <c r="F529" s="4" t="str">
        <f>HYPERLINK("http://141.218.60.56/~jnz1568/getInfo.php?workbook=16_08.xlsx&amp;sheet=A0&amp;row=529&amp;col=6&amp;number=81970000&amp;sourceID=14","81970000")</f>
        <v>81970000</v>
      </c>
      <c r="G529" s="4" t="str">
        <f>HYPERLINK("http://141.218.60.56/~jnz1568/getInfo.php?workbook=16_08.xlsx&amp;sheet=A0&amp;row=529&amp;col=7&amp;number=0&amp;sourceID=14","0")</f>
        <v>0</v>
      </c>
    </row>
    <row r="530" spans="1:7">
      <c r="A530" s="3">
        <v>16</v>
      </c>
      <c r="B530" s="3">
        <v>8</v>
      </c>
      <c r="C530" s="3">
        <v>53</v>
      </c>
      <c r="D530" s="3">
        <v>16</v>
      </c>
      <c r="E530" s="3">
        <v>-625.907</v>
      </c>
      <c r="F530" s="4" t="str">
        <f>HYPERLINK("http://141.218.60.56/~jnz1568/getInfo.php?workbook=16_08.xlsx&amp;sheet=A0&amp;row=530&amp;col=6&amp;number=6647000&amp;sourceID=14","6647000")</f>
        <v>6647000</v>
      </c>
      <c r="G530" s="4" t="str">
        <f>HYPERLINK("http://141.218.60.56/~jnz1568/getInfo.php?workbook=16_08.xlsx&amp;sheet=A0&amp;row=530&amp;col=7&amp;number=0&amp;sourceID=14","0")</f>
        <v>0</v>
      </c>
    </row>
    <row r="531" spans="1:7">
      <c r="A531" s="3">
        <v>16</v>
      </c>
      <c r="B531" s="3">
        <v>8</v>
      </c>
      <c r="C531" s="3">
        <v>53</v>
      </c>
      <c r="D531" s="3">
        <v>23</v>
      </c>
      <c r="E531" s="3">
        <v>-742.905</v>
      </c>
      <c r="F531" s="4" t="str">
        <f>HYPERLINK("http://141.218.60.56/~jnz1568/getInfo.php?workbook=16_08.xlsx&amp;sheet=A0&amp;row=531&amp;col=6&amp;number=507700000&amp;sourceID=14","507700000")</f>
        <v>507700000</v>
      </c>
      <c r="G531" s="4" t="str">
        <f>HYPERLINK("http://141.218.60.56/~jnz1568/getInfo.php?workbook=16_08.xlsx&amp;sheet=A0&amp;row=531&amp;col=7&amp;number=0&amp;sourceID=14","0")</f>
        <v>0</v>
      </c>
    </row>
    <row r="532" spans="1:7">
      <c r="A532" s="3">
        <v>16</v>
      </c>
      <c r="B532" s="3">
        <v>8</v>
      </c>
      <c r="C532" s="3">
        <v>53</v>
      </c>
      <c r="D532" s="3">
        <v>24</v>
      </c>
      <c r="E532" s="3">
        <v>-746.621</v>
      </c>
      <c r="F532" s="4" t="str">
        <f>HYPERLINK("http://141.218.60.56/~jnz1568/getInfo.php?workbook=16_08.xlsx&amp;sheet=A0&amp;row=532&amp;col=6&amp;number=494700000&amp;sourceID=14","494700000")</f>
        <v>494700000</v>
      </c>
      <c r="G532" s="4" t="str">
        <f>HYPERLINK("http://141.218.60.56/~jnz1568/getInfo.php?workbook=16_08.xlsx&amp;sheet=A0&amp;row=532&amp;col=7&amp;number=0&amp;sourceID=14","0")</f>
        <v>0</v>
      </c>
    </row>
    <row r="533" spans="1:7">
      <c r="A533" s="3">
        <v>16</v>
      </c>
      <c r="B533" s="3">
        <v>8</v>
      </c>
      <c r="C533" s="3">
        <v>53</v>
      </c>
      <c r="D533" s="3">
        <v>25</v>
      </c>
      <c r="E533" s="3">
        <v>-756.431</v>
      </c>
      <c r="F533" s="4" t="str">
        <f>HYPERLINK("http://141.218.60.56/~jnz1568/getInfo.php?workbook=16_08.xlsx&amp;sheet=A0&amp;row=533&amp;col=6&amp;number=852100000&amp;sourceID=14","852100000")</f>
        <v>852100000</v>
      </c>
      <c r="G533" s="4" t="str">
        <f>HYPERLINK("http://141.218.60.56/~jnz1568/getInfo.php?workbook=16_08.xlsx&amp;sheet=A0&amp;row=533&amp;col=7&amp;number=0&amp;sourceID=14","0")</f>
        <v>0</v>
      </c>
    </row>
    <row r="534" spans="1:7">
      <c r="A534" s="3">
        <v>16</v>
      </c>
      <c r="B534" s="3">
        <v>8</v>
      </c>
      <c r="C534" s="3">
        <v>53</v>
      </c>
      <c r="D534" s="3">
        <v>26</v>
      </c>
      <c r="E534" s="3">
        <v>-844.12</v>
      </c>
      <c r="F534" s="4" t="str">
        <f>HYPERLINK("http://141.218.60.56/~jnz1568/getInfo.php?workbook=16_08.xlsx&amp;sheet=A0&amp;row=534&amp;col=6&amp;number=40760000&amp;sourceID=14","40760000")</f>
        <v>40760000</v>
      </c>
      <c r="G534" s="4" t="str">
        <f>HYPERLINK("http://141.218.60.56/~jnz1568/getInfo.php?workbook=16_08.xlsx&amp;sheet=A0&amp;row=534&amp;col=7&amp;number=0&amp;sourceID=14","0")</f>
        <v>0</v>
      </c>
    </row>
    <row r="535" spans="1:7">
      <c r="A535" s="3">
        <v>16</v>
      </c>
      <c r="B535" s="3">
        <v>8</v>
      </c>
      <c r="C535" s="3">
        <v>54</v>
      </c>
      <c r="D535" s="3">
        <v>1</v>
      </c>
      <c r="E535" s="3">
        <v>-49.61</v>
      </c>
      <c r="F535" s="4" t="str">
        <f>HYPERLINK("http://141.218.60.56/~jnz1568/getInfo.php?workbook=16_08.xlsx&amp;sheet=A0&amp;row=535&amp;col=6&amp;number=277000&amp;sourceID=14","277000")</f>
        <v>277000</v>
      </c>
      <c r="G535" s="4" t="str">
        <f>HYPERLINK("http://141.218.60.56/~jnz1568/getInfo.php?workbook=16_08.xlsx&amp;sheet=A0&amp;row=535&amp;col=7&amp;number=0&amp;sourceID=14","0")</f>
        <v>0</v>
      </c>
    </row>
    <row r="536" spans="1:7">
      <c r="A536" s="3">
        <v>16</v>
      </c>
      <c r="B536" s="3">
        <v>8</v>
      </c>
      <c r="C536" s="3">
        <v>54</v>
      </c>
      <c r="D536" s="3">
        <v>4</v>
      </c>
      <c r="E536" s="3">
        <v>-51.178</v>
      </c>
      <c r="F536" s="4" t="str">
        <f>HYPERLINK("http://141.218.60.56/~jnz1568/getInfo.php?workbook=16_08.xlsx&amp;sheet=A0&amp;row=536&amp;col=6&amp;number=303700&amp;sourceID=14","303700")</f>
        <v>303700</v>
      </c>
      <c r="G536" s="4" t="str">
        <f>HYPERLINK("http://141.218.60.56/~jnz1568/getInfo.php?workbook=16_08.xlsx&amp;sheet=A0&amp;row=536&amp;col=7&amp;number=0&amp;sourceID=14","0")</f>
        <v>0</v>
      </c>
    </row>
    <row r="537" spans="1:7">
      <c r="A537" s="3">
        <v>16</v>
      </c>
      <c r="B537" s="3">
        <v>8</v>
      </c>
      <c r="C537" s="3">
        <v>54</v>
      </c>
      <c r="D537" s="3">
        <v>7</v>
      </c>
      <c r="E537" s="3">
        <v>-64.391</v>
      </c>
      <c r="F537" s="4" t="str">
        <f>HYPERLINK("http://141.218.60.56/~jnz1568/getInfo.php?workbook=16_08.xlsx&amp;sheet=A0&amp;row=537&amp;col=6&amp;number=4946000000&amp;sourceID=14","4946000000")</f>
        <v>4946000000</v>
      </c>
      <c r="G537" s="4" t="str">
        <f>HYPERLINK("http://141.218.60.56/~jnz1568/getInfo.php?workbook=16_08.xlsx&amp;sheet=A0&amp;row=537&amp;col=7&amp;number=0&amp;sourceID=14","0")</f>
        <v>0</v>
      </c>
    </row>
    <row r="538" spans="1:7">
      <c r="A538" s="3">
        <v>16</v>
      </c>
      <c r="B538" s="3">
        <v>8</v>
      </c>
      <c r="C538" s="3">
        <v>54</v>
      </c>
      <c r="D538" s="3">
        <v>9</v>
      </c>
      <c r="E538" s="3">
        <v>-72.494</v>
      </c>
      <c r="F538" s="4" t="str">
        <f>HYPERLINK("http://141.218.60.56/~jnz1568/getInfo.php?workbook=16_08.xlsx&amp;sheet=A0&amp;row=538&amp;col=6&amp;number=33900000&amp;sourceID=14","33900000")</f>
        <v>33900000</v>
      </c>
      <c r="G538" s="4" t="str">
        <f>HYPERLINK("http://141.218.60.56/~jnz1568/getInfo.php?workbook=16_08.xlsx&amp;sheet=A0&amp;row=538&amp;col=7&amp;number=0&amp;sourceID=14","0")</f>
        <v>0</v>
      </c>
    </row>
    <row r="539" spans="1:7">
      <c r="A539" s="3">
        <v>16</v>
      </c>
      <c r="B539" s="3">
        <v>8</v>
      </c>
      <c r="C539" s="3">
        <v>54</v>
      </c>
      <c r="D539" s="3">
        <v>12</v>
      </c>
      <c r="E539" s="3">
        <v>-418.29</v>
      </c>
      <c r="F539" s="4" t="str">
        <f>HYPERLINK("http://141.218.60.56/~jnz1568/getInfo.php?workbook=16_08.xlsx&amp;sheet=A0&amp;row=539&amp;col=6&amp;number=1222000000&amp;sourceID=14","1222000000")</f>
        <v>1222000000</v>
      </c>
      <c r="G539" s="4" t="str">
        <f>HYPERLINK("http://141.218.60.56/~jnz1568/getInfo.php?workbook=16_08.xlsx&amp;sheet=A0&amp;row=539&amp;col=7&amp;number=0&amp;sourceID=14","0")</f>
        <v>0</v>
      </c>
    </row>
    <row r="540" spans="1:7">
      <c r="A540" s="3">
        <v>16</v>
      </c>
      <c r="B540" s="3">
        <v>8</v>
      </c>
      <c r="C540" s="3">
        <v>54</v>
      </c>
      <c r="D540" s="3">
        <v>14</v>
      </c>
      <c r="E540" s="3">
        <v>-567.419</v>
      </c>
      <c r="F540" s="4" t="str">
        <f>HYPERLINK("http://141.218.60.56/~jnz1568/getInfo.php?workbook=16_08.xlsx&amp;sheet=A0&amp;row=540&amp;col=6&amp;number=204600000&amp;sourceID=14","204600000")</f>
        <v>204600000</v>
      </c>
      <c r="G540" s="4" t="str">
        <f>HYPERLINK("http://141.218.60.56/~jnz1568/getInfo.php?workbook=16_08.xlsx&amp;sheet=A0&amp;row=540&amp;col=7&amp;number=0&amp;sourceID=14","0")</f>
        <v>0</v>
      </c>
    </row>
    <row r="541" spans="1:7">
      <c r="A541" s="3">
        <v>16</v>
      </c>
      <c r="B541" s="3">
        <v>8</v>
      </c>
      <c r="C541" s="3">
        <v>54</v>
      </c>
      <c r="D541" s="3">
        <v>24</v>
      </c>
      <c r="E541" s="3">
        <v>-740.441</v>
      </c>
      <c r="F541" s="4" t="str">
        <f>HYPERLINK("http://141.218.60.56/~jnz1568/getInfo.php?workbook=16_08.xlsx&amp;sheet=A0&amp;row=541&amp;col=6&amp;number=1960000000&amp;sourceID=14","1960000000")</f>
        <v>1960000000</v>
      </c>
      <c r="G541" s="4" t="str">
        <f>HYPERLINK("http://141.218.60.56/~jnz1568/getInfo.php?workbook=16_08.xlsx&amp;sheet=A0&amp;row=541&amp;col=7&amp;number=0&amp;sourceID=14","0")</f>
        <v>0</v>
      </c>
    </row>
    <row r="542" spans="1:7">
      <c r="A542" s="3">
        <v>16</v>
      </c>
      <c r="B542" s="3">
        <v>8</v>
      </c>
      <c r="C542" s="3">
        <v>54</v>
      </c>
      <c r="D542" s="3">
        <v>26</v>
      </c>
      <c r="E542" s="3">
        <v>-836.229</v>
      </c>
      <c r="F542" s="4" t="str">
        <f>HYPERLINK("http://141.218.60.56/~jnz1568/getInfo.php?workbook=16_08.xlsx&amp;sheet=A0&amp;row=542&amp;col=6&amp;number=922000&amp;sourceID=14","922000")</f>
        <v>922000</v>
      </c>
      <c r="G542" s="4" t="str">
        <f>HYPERLINK("http://141.218.60.56/~jnz1568/getInfo.php?workbook=16_08.xlsx&amp;sheet=A0&amp;row=542&amp;col=7&amp;number=0&amp;sourceID=14","0")</f>
        <v>0</v>
      </c>
    </row>
    <row r="543" spans="1:7">
      <c r="A543" s="3">
        <v>16</v>
      </c>
      <c r="B543" s="3">
        <v>8</v>
      </c>
      <c r="C543" s="3">
        <v>55</v>
      </c>
      <c r="D543" s="3">
        <v>1</v>
      </c>
      <c r="E543" s="3">
        <v>-48.998</v>
      </c>
      <c r="F543" s="4" t="str">
        <f>HYPERLINK("http://141.218.60.56/~jnz1568/getInfo.php?workbook=16_08.xlsx&amp;sheet=A0&amp;row=543&amp;col=6&amp;number=32950&amp;sourceID=14","32950")</f>
        <v>32950</v>
      </c>
      <c r="G543" s="4" t="str">
        <f>HYPERLINK("http://141.218.60.56/~jnz1568/getInfo.php?workbook=16_08.xlsx&amp;sheet=A0&amp;row=543&amp;col=7&amp;number=0&amp;sourceID=14","0")</f>
        <v>0</v>
      </c>
    </row>
    <row r="544" spans="1:7">
      <c r="A544" s="3">
        <v>16</v>
      </c>
      <c r="B544" s="3">
        <v>8</v>
      </c>
      <c r="C544" s="3">
        <v>55</v>
      </c>
      <c r="D544" s="3">
        <v>2</v>
      </c>
      <c r="E544" s="3">
        <v>-49.198</v>
      </c>
      <c r="F544" s="4" t="str">
        <f>HYPERLINK("http://141.218.60.56/~jnz1568/getInfo.php?workbook=16_08.xlsx&amp;sheet=A0&amp;row=544&amp;col=6&amp;number=6114&amp;sourceID=14","6114")</f>
        <v>6114</v>
      </c>
      <c r="G544" s="4" t="str">
        <f>HYPERLINK("http://141.218.60.56/~jnz1568/getInfo.php?workbook=16_08.xlsx&amp;sheet=A0&amp;row=544&amp;col=7&amp;number=0&amp;sourceID=14","0")</f>
        <v>0</v>
      </c>
    </row>
    <row r="545" spans="1:7">
      <c r="A545" s="3">
        <v>16</v>
      </c>
      <c r="B545" s="3">
        <v>8</v>
      </c>
      <c r="C545" s="3">
        <v>55</v>
      </c>
      <c r="D545" s="3">
        <v>3</v>
      </c>
      <c r="E545" s="3">
        <v>-49.264</v>
      </c>
      <c r="F545" s="4" t="str">
        <f>HYPERLINK("http://141.218.60.56/~jnz1568/getInfo.php?workbook=16_08.xlsx&amp;sheet=A0&amp;row=545&amp;col=6&amp;number=9398&amp;sourceID=14","9398")</f>
        <v>9398</v>
      </c>
      <c r="G545" s="4" t="str">
        <f>HYPERLINK("http://141.218.60.56/~jnz1568/getInfo.php?workbook=16_08.xlsx&amp;sheet=A0&amp;row=545&amp;col=7&amp;number=0&amp;sourceID=14","0")</f>
        <v>0</v>
      </c>
    </row>
    <row r="546" spans="1:7">
      <c r="A546" s="3">
        <v>16</v>
      </c>
      <c r="B546" s="3">
        <v>8</v>
      </c>
      <c r="C546" s="3">
        <v>55</v>
      </c>
      <c r="D546" s="3">
        <v>4</v>
      </c>
      <c r="E546" s="3">
        <v>-50.526</v>
      </c>
      <c r="F546" s="4" t="str">
        <f>HYPERLINK("http://141.218.60.56/~jnz1568/getInfo.php?workbook=16_08.xlsx&amp;sheet=A0&amp;row=546&amp;col=6&amp;number=5624000&amp;sourceID=14","5624000")</f>
        <v>5624000</v>
      </c>
      <c r="G546" s="4" t="str">
        <f>HYPERLINK("http://141.218.60.56/~jnz1568/getInfo.php?workbook=16_08.xlsx&amp;sheet=A0&amp;row=546&amp;col=7&amp;number=0&amp;sourceID=14","0")</f>
        <v>0</v>
      </c>
    </row>
    <row r="547" spans="1:7">
      <c r="A547" s="3">
        <v>16</v>
      </c>
      <c r="B547" s="3">
        <v>8</v>
      </c>
      <c r="C547" s="3">
        <v>55</v>
      </c>
      <c r="D547" s="3">
        <v>5</v>
      </c>
      <c r="E547" s="3">
        <v>-52.173</v>
      </c>
      <c r="F547" s="4" t="str">
        <f>HYPERLINK("http://141.218.60.56/~jnz1568/getInfo.php?workbook=16_08.xlsx&amp;sheet=A0&amp;row=547&amp;col=6&amp;number=15810000&amp;sourceID=14","15810000")</f>
        <v>15810000</v>
      </c>
      <c r="G547" s="4" t="str">
        <f>HYPERLINK("http://141.218.60.56/~jnz1568/getInfo.php?workbook=16_08.xlsx&amp;sheet=A0&amp;row=547&amp;col=7&amp;number=0&amp;sourceID=14","0")</f>
        <v>0</v>
      </c>
    </row>
    <row r="548" spans="1:7">
      <c r="A548" s="3">
        <v>16</v>
      </c>
      <c r="B548" s="3">
        <v>8</v>
      </c>
      <c r="C548" s="3">
        <v>55</v>
      </c>
      <c r="D548" s="3">
        <v>6</v>
      </c>
      <c r="E548" s="3">
        <v>-63.074</v>
      </c>
      <c r="F548" s="4" t="str">
        <f>HYPERLINK("http://141.218.60.56/~jnz1568/getInfo.php?workbook=16_08.xlsx&amp;sheet=A0&amp;row=548&amp;col=6&amp;number=71770000&amp;sourceID=14","71770000")</f>
        <v>71770000</v>
      </c>
      <c r="G548" s="4" t="str">
        <f>HYPERLINK("http://141.218.60.56/~jnz1568/getInfo.php?workbook=16_08.xlsx&amp;sheet=A0&amp;row=548&amp;col=7&amp;number=0&amp;sourceID=14","0")</f>
        <v>0</v>
      </c>
    </row>
    <row r="549" spans="1:7">
      <c r="A549" s="3">
        <v>16</v>
      </c>
      <c r="B549" s="3">
        <v>8</v>
      </c>
      <c r="C549" s="3">
        <v>55</v>
      </c>
      <c r="D549" s="3">
        <v>7</v>
      </c>
      <c r="E549" s="3">
        <v>-63.363</v>
      </c>
      <c r="F549" s="4" t="str">
        <f>HYPERLINK("http://141.218.60.56/~jnz1568/getInfo.php?workbook=16_08.xlsx&amp;sheet=A0&amp;row=549&amp;col=6&amp;number=36720000&amp;sourceID=14","36720000")</f>
        <v>36720000</v>
      </c>
      <c r="G549" s="4" t="str">
        <f>HYPERLINK("http://141.218.60.56/~jnz1568/getInfo.php?workbook=16_08.xlsx&amp;sheet=A0&amp;row=549&amp;col=7&amp;number=0&amp;sourceID=14","0")</f>
        <v>0</v>
      </c>
    </row>
    <row r="550" spans="1:7">
      <c r="A550" s="3">
        <v>16</v>
      </c>
      <c r="B550" s="3">
        <v>8</v>
      </c>
      <c r="C550" s="3">
        <v>55</v>
      </c>
      <c r="D550" s="3">
        <v>8</v>
      </c>
      <c r="E550" s="3">
        <v>-63.525</v>
      </c>
      <c r="F550" s="4" t="str">
        <f>HYPERLINK("http://141.218.60.56/~jnz1568/getInfo.php?workbook=16_08.xlsx&amp;sheet=A0&amp;row=550&amp;col=6&amp;number=5.829&amp;sourceID=14","5.829")</f>
        <v>5.829</v>
      </c>
      <c r="G550" s="4" t="str">
        <f>HYPERLINK("http://141.218.60.56/~jnz1568/getInfo.php?workbook=16_08.xlsx&amp;sheet=A0&amp;row=550&amp;col=7&amp;number=0&amp;sourceID=14","0")</f>
        <v>0</v>
      </c>
    </row>
    <row r="551" spans="1:7">
      <c r="A551" s="3">
        <v>16</v>
      </c>
      <c r="B551" s="3">
        <v>8</v>
      </c>
      <c r="C551" s="3">
        <v>55</v>
      </c>
      <c r="D551" s="3">
        <v>9</v>
      </c>
      <c r="E551" s="3">
        <v>-71.194</v>
      </c>
      <c r="F551" s="4" t="str">
        <f>HYPERLINK("http://141.218.60.56/~jnz1568/getInfo.php?workbook=16_08.xlsx&amp;sheet=A0&amp;row=551&amp;col=6&amp;number=13370000&amp;sourceID=14","13370000")</f>
        <v>13370000</v>
      </c>
      <c r="G551" s="4" t="str">
        <f>HYPERLINK("http://141.218.60.56/~jnz1568/getInfo.php?workbook=16_08.xlsx&amp;sheet=A0&amp;row=551&amp;col=7&amp;number=0&amp;sourceID=14","0")</f>
        <v>0</v>
      </c>
    </row>
    <row r="552" spans="1:7">
      <c r="A552" s="3">
        <v>16</v>
      </c>
      <c r="B552" s="3">
        <v>8</v>
      </c>
      <c r="C552" s="3">
        <v>55</v>
      </c>
      <c r="D552" s="3">
        <v>10</v>
      </c>
      <c r="E552" s="3">
        <v>-103.537</v>
      </c>
      <c r="F552" s="4" t="str">
        <f>HYPERLINK("http://141.218.60.56/~jnz1568/getInfo.php?workbook=16_08.xlsx&amp;sheet=A0&amp;row=552&amp;col=6&amp;number=1073&amp;sourceID=14","1073")</f>
        <v>1073</v>
      </c>
      <c r="G552" s="4" t="str">
        <f>HYPERLINK("http://141.218.60.56/~jnz1568/getInfo.php?workbook=16_08.xlsx&amp;sheet=A0&amp;row=552&amp;col=7&amp;number=0&amp;sourceID=14","0")</f>
        <v>0</v>
      </c>
    </row>
    <row r="553" spans="1:7">
      <c r="A553" s="3">
        <v>16</v>
      </c>
      <c r="B553" s="3">
        <v>8</v>
      </c>
      <c r="C553" s="3">
        <v>55</v>
      </c>
      <c r="D553" s="3">
        <v>12</v>
      </c>
      <c r="E553" s="3">
        <v>-378.418</v>
      </c>
      <c r="F553" s="4" t="str">
        <f>HYPERLINK("http://141.218.60.56/~jnz1568/getInfo.php?workbook=16_08.xlsx&amp;sheet=A0&amp;row=553&amp;col=6&amp;number=14100000&amp;sourceID=14","14100000")</f>
        <v>14100000</v>
      </c>
      <c r="G553" s="4" t="str">
        <f>HYPERLINK("http://141.218.60.56/~jnz1568/getInfo.php?workbook=16_08.xlsx&amp;sheet=A0&amp;row=553&amp;col=7&amp;number=0&amp;sourceID=14","0")</f>
        <v>0</v>
      </c>
    </row>
    <row r="554" spans="1:7">
      <c r="A554" s="3">
        <v>16</v>
      </c>
      <c r="B554" s="3">
        <v>8</v>
      </c>
      <c r="C554" s="3">
        <v>55</v>
      </c>
      <c r="D554" s="3">
        <v>13</v>
      </c>
      <c r="E554" s="3">
        <v>-497.284</v>
      </c>
      <c r="F554" s="4" t="str">
        <f>HYPERLINK("http://141.218.60.56/~jnz1568/getInfo.php?workbook=16_08.xlsx&amp;sheet=A0&amp;row=554&amp;col=6&amp;number=4336000&amp;sourceID=14","4336000")</f>
        <v>4336000</v>
      </c>
      <c r="G554" s="4" t="str">
        <f>HYPERLINK("http://141.218.60.56/~jnz1568/getInfo.php?workbook=16_08.xlsx&amp;sheet=A0&amp;row=554&amp;col=7&amp;number=0&amp;sourceID=14","0")</f>
        <v>0</v>
      </c>
    </row>
    <row r="555" spans="1:7">
      <c r="A555" s="3">
        <v>16</v>
      </c>
      <c r="B555" s="3">
        <v>8</v>
      </c>
      <c r="C555" s="3">
        <v>55</v>
      </c>
      <c r="D555" s="3">
        <v>14</v>
      </c>
      <c r="E555" s="3">
        <v>-496.46</v>
      </c>
      <c r="F555" s="4" t="str">
        <f>HYPERLINK("http://141.218.60.56/~jnz1568/getInfo.php?workbook=16_08.xlsx&amp;sheet=A0&amp;row=555&amp;col=6&amp;number=9953000&amp;sourceID=14","9953000")</f>
        <v>9953000</v>
      </c>
      <c r="G555" s="4" t="str">
        <f>HYPERLINK("http://141.218.60.56/~jnz1568/getInfo.php?workbook=16_08.xlsx&amp;sheet=A0&amp;row=555&amp;col=7&amp;number=0&amp;sourceID=14","0")</f>
        <v>0</v>
      </c>
    </row>
    <row r="556" spans="1:7">
      <c r="A556" s="3">
        <v>16</v>
      </c>
      <c r="B556" s="3">
        <v>8</v>
      </c>
      <c r="C556" s="3">
        <v>55</v>
      </c>
      <c r="D556" s="3">
        <v>15</v>
      </c>
      <c r="E556" s="3">
        <v>-500.154</v>
      </c>
      <c r="F556" s="4" t="str">
        <f>HYPERLINK("http://141.218.60.56/~jnz1568/getInfo.php?workbook=16_08.xlsx&amp;sheet=A0&amp;row=556&amp;col=6&amp;number=8172000&amp;sourceID=14","8172000")</f>
        <v>8172000</v>
      </c>
      <c r="G556" s="4" t="str">
        <f>HYPERLINK("http://141.218.60.56/~jnz1568/getInfo.php?workbook=16_08.xlsx&amp;sheet=A0&amp;row=556&amp;col=7&amp;number=0&amp;sourceID=14","0")</f>
        <v>0</v>
      </c>
    </row>
    <row r="557" spans="1:7">
      <c r="A557" s="3">
        <v>16</v>
      </c>
      <c r="B557" s="3">
        <v>8</v>
      </c>
      <c r="C557" s="3">
        <v>55</v>
      </c>
      <c r="D557" s="3">
        <v>16</v>
      </c>
      <c r="E557" s="3">
        <v>-537.416</v>
      </c>
      <c r="F557" s="4" t="str">
        <f>HYPERLINK("http://141.218.60.56/~jnz1568/getInfo.php?workbook=16_08.xlsx&amp;sheet=A0&amp;row=557&amp;col=6&amp;number=3169000000&amp;sourceID=14","3169000000")</f>
        <v>3169000000</v>
      </c>
      <c r="G557" s="4" t="str">
        <f>HYPERLINK("http://141.218.60.56/~jnz1568/getInfo.php?workbook=16_08.xlsx&amp;sheet=A0&amp;row=557&amp;col=7&amp;number=0&amp;sourceID=14","0")</f>
        <v>0</v>
      </c>
    </row>
    <row r="558" spans="1:7">
      <c r="A558" s="3">
        <v>16</v>
      </c>
      <c r="B558" s="3">
        <v>8</v>
      </c>
      <c r="C558" s="3">
        <v>55</v>
      </c>
      <c r="D558" s="3">
        <v>24</v>
      </c>
      <c r="E558" s="3">
        <v>-624.047</v>
      </c>
      <c r="F558" s="4" t="str">
        <f>HYPERLINK("http://141.218.60.56/~jnz1568/getInfo.php?workbook=16_08.xlsx&amp;sheet=A0&amp;row=558&amp;col=6&amp;number=18150000&amp;sourceID=14","18150000")</f>
        <v>18150000</v>
      </c>
      <c r="G558" s="4" t="str">
        <f>HYPERLINK("http://141.218.60.56/~jnz1568/getInfo.php?workbook=16_08.xlsx&amp;sheet=A0&amp;row=558&amp;col=7&amp;number=0&amp;sourceID=14","0")</f>
        <v>0</v>
      </c>
    </row>
    <row r="559" spans="1:7">
      <c r="A559" s="3">
        <v>16</v>
      </c>
      <c r="B559" s="3">
        <v>8</v>
      </c>
      <c r="C559" s="3">
        <v>55</v>
      </c>
      <c r="D559" s="3">
        <v>25</v>
      </c>
      <c r="E559" s="3">
        <v>-630.886</v>
      </c>
      <c r="F559" s="4" t="str">
        <f>HYPERLINK("http://141.218.60.56/~jnz1568/getInfo.php?workbook=16_08.xlsx&amp;sheet=A0&amp;row=559&amp;col=6&amp;number=253600000&amp;sourceID=14","253600000")</f>
        <v>253600000</v>
      </c>
      <c r="G559" s="4" t="str">
        <f>HYPERLINK("http://141.218.60.56/~jnz1568/getInfo.php?workbook=16_08.xlsx&amp;sheet=A0&amp;row=559&amp;col=7&amp;number=0&amp;sourceID=14","0")</f>
        <v>0</v>
      </c>
    </row>
    <row r="560" spans="1:7">
      <c r="A560" s="3">
        <v>16</v>
      </c>
      <c r="B560" s="3">
        <v>8</v>
      </c>
      <c r="C560" s="3">
        <v>55</v>
      </c>
      <c r="D560" s="3">
        <v>26</v>
      </c>
      <c r="E560" s="3">
        <v>-690.731</v>
      </c>
      <c r="F560" s="4" t="str">
        <f>HYPERLINK("http://141.218.60.56/~jnz1568/getInfo.php?workbook=16_08.xlsx&amp;sheet=A0&amp;row=560&amp;col=6&amp;number=1273000000&amp;sourceID=14","1273000000")</f>
        <v>1273000000</v>
      </c>
      <c r="G560" s="4" t="str">
        <f>HYPERLINK("http://141.218.60.56/~jnz1568/getInfo.php?workbook=16_08.xlsx&amp;sheet=A0&amp;row=560&amp;col=7&amp;number=0&amp;sourceID=14","0")</f>
        <v>0</v>
      </c>
    </row>
    <row r="561" spans="1:7">
      <c r="A561" s="3">
        <v>16</v>
      </c>
      <c r="B561" s="3">
        <v>8</v>
      </c>
      <c r="C561" s="3">
        <v>56</v>
      </c>
      <c r="D561" s="3">
        <v>1</v>
      </c>
      <c r="E561" s="3">
        <v>-48.01</v>
      </c>
      <c r="F561" s="4" t="str">
        <f>HYPERLINK("http://141.218.60.56/~jnz1568/getInfo.php?workbook=16_08.xlsx&amp;sheet=A0&amp;row=561&amp;col=6&amp;number=2312000000&amp;sourceID=14","2312000000")</f>
        <v>2312000000</v>
      </c>
      <c r="G561" s="4" t="str">
        <f>HYPERLINK("http://141.218.60.56/~jnz1568/getInfo.php?workbook=16_08.xlsx&amp;sheet=A0&amp;row=561&amp;col=7&amp;number=0&amp;sourceID=14","0")</f>
        <v>0</v>
      </c>
    </row>
    <row r="562" spans="1:7">
      <c r="A562" s="3">
        <v>16</v>
      </c>
      <c r="B562" s="3">
        <v>8</v>
      </c>
      <c r="C562" s="3">
        <v>56</v>
      </c>
      <c r="D562" s="3">
        <v>2</v>
      </c>
      <c r="E562" s="3">
        <v>-48.202</v>
      </c>
      <c r="F562" s="4" t="str">
        <f>HYPERLINK("http://141.218.60.56/~jnz1568/getInfo.php?workbook=16_08.xlsx&amp;sheet=A0&amp;row=562&amp;col=6&amp;number=4766000000&amp;sourceID=14","4766000000")</f>
        <v>4766000000</v>
      </c>
      <c r="G562" s="4" t="str">
        <f>HYPERLINK("http://141.218.60.56/~jnz1568/getInfo.php?workbook=16_08.xlsx&amp;sheet=A0&amp;row=562&amp;col=7&amp;number=0&amp;sourceID=14","0")</f>
        <v>0</v>
      </c>
    </row>
    <row r="563" spans="1:7">
      <c r="A563" s="3">
        <v>16</v>
      </c>
      <c r="B563" s="3">
        <v>8</v>
      </c>
      <c r="C563" s="3">
        <v>56</v>
      </c>
      <c r="D563" s="3">
        <v>3</v>
      </c>
      <c r="E563" s="3">
        <v>-48.266</v>
      </c>
      <c r="F563" s="4" t="str">
        <f>HYPERLINK("http://141.218.60.56/~jnz1568/getInfo.php?workbook=16_08.xlsx&amp;sheet=A0&amp;row=563&amp;col=6&amp;number=3140&amp;sourceID=14","3140")</f>
        <v>3140</v>
      </c>
      <c r="G563" s="4" t="str">
        <f>HYPERLINK("http://141.218.60.56/~jnz1568/getInfo.php?workbook=16_08.xlsx&amp;sheet=A0&amp;row=563&amp;col=7&amp;number=0&amp;sourceID=14","0")</f>
        <v>0</v>
      </c>
    </row>
    <row r="564" spans="1:7">
      <c r="A564" s="3">
        <v>16</v>
      </c>
      <c r="B564" s="3">
        <v>8</v>
      </c>
      <c r="C564" s="3">
        <v>56</v>
      </c>
      <c r="D564" s="3">
        <v>4</v>
      </c>
      <c r="E564" s="3">
        <v>-49.476</v>
      </c>
      <c r="F564" s="4" t="str">
        <f>HYPERLINK("http://141.218.60.56/~jnz1568/getInfo.php?workbook=16_08.xlsx&amp;sheet=A0&amp;row=564&amp;col=6&amp;number=1119000000&amp;sourceID=14","1119000000")</f>
        <v>1119000000</v>
      </c>
      <c r="G564" s="4" t="str">
        <f>HYPERLINK("http://141.218.60.56/~jnz1568/getInfo.php?workbook=16_08.xlsx&amp;sheet=A0&amp;row=564&amp;col=7&amp;number=0&amp;sourceID=14","0")</f>
        <v>0</v>
      </c>
    </row>
    <row r="565" spans="1:7">
      <c r="A565" s="3">
        <v>16</v>
      </c>
      <c r="B565" s="3">
        <v>8</v>
      </c>
      <c r="C565" s="3">
        <v>56</v>
      </c>
      <c r="D565" s="3">
        <v>7</v>
      </c>
      <c r="E565" s="3">
        <v>-61.721</v>
      </c>
      <c r="F565" s="4" t="str">
        <f>HYPERLINK("http://141.218.60.56/~jnz1568/getInfo.php?workbook=16_08.xlsx&amp;sheet=A0&amp;row=565&amp;col=6&amp;number=3941&amp;sourceID=14","3941")</f>
        <v>3941</v>
      </c>
      <c r="G565" s="4" t="str">
        <f>HYPERLINK("http://141.218.60.56/~jnz1568/getInfo.php?workbook=16_08.xlsx&amp;sheet=A0&amp;row=565&amp;col=7&amp;number=0&amp;sourceID=14","0")</f>
        <v>0</v>
      </c>
    </row>
    <row r="566" spans="1:7">
      <c r="A566" s="3">
        <v>16</v>
      </c>
      <c r="B566" s="3">
        <v>8</v>
      </c>
      <c r="C566" s="3">
        <v>56</v>
      </c>
      <c r="D566" s="3">
        <v>8</v>
      </c>
      <c r="E566" s="3">
        <v>-61.874</v>
      </c>
      <c r="F566" s="4" t="str">
        <f>HYPERLINK("http://141.218.60.56/~jnz1568/getInfo.php?workbook=16_08.xlsx&amp;sheet=A0&amp;row=566&amp;col=6&amp;number=10940&amp;sourceID=14","10940")</f>
        <v>10940</v>
      </c>
      <c r="G566" s="4" t="str">
        <f>HYPERLINK("http://141.218.60.56/~jnz1568/getInfo.php?workbook=16_08.xlsx&amp;sheet=A0&amp;row=566&amp;col=7&amp;number=0&amp;sourceID=14","0")</f>
        <v>0</v>
      </c>
    </row>
    <row r="567" spans="1:7">
      <c r="A567" s="3">
        <v>16</v>
      </c>
      <c r="B567" s="3">
        <v>8</v>
      </c>
      <c r="C567" s="3">
        <v>56</v>
      </c>
      <c r="D567" s="3">
        <v>9</v>
      </c>
      <c r="E567" s="3">
        <v>-69.127</v>
      </c>
      <c r="F567" s="4" t="str">
        <f>HYPERLINK("http://141.218.60.56/~jnz1568/getInfo.php?workbook=16_08.xlsx&amp;sheet=A0&amp;row=567&amp;col=6&amp;number=1276&amp;sourceID=14","1276")</f>
        <v>1276</v>
      </c>
      <c r="G567" s="4" t="str">
        <f>HYPERLINK("http://141.218.60.56/~jnz1568/getInfo.php?workbook=16_08.xlsx&amp;sheet=A0&amp;row=567&amp;col=7&amp;number=0&amp;sourceID=14","0")</f>
        <v>0</v>
      </c>
    </row>
    <row r="568" spans="1:7">
      <c r="A568" s="3">
        <v>16</v>
      </c>
      <c r="B568" s="3">
        <v>8</v>
      </c>
      <c r="C568" s="3">
        <v>56</v>
      </c>
      <c r="D568" s="3">
        <v>13</v>
      </c>
      <c r="E568" s="3">
        <v>-411.375</v>
      </c>
      <c r="F568" s="4" t="str">
        <f>HYPERLINK("http://141.218.60.56/~jnz1568/getInfo.php?workbook=16_08.xlsx&amp;sheet=A0&amp;row=568&amp;col=6&amp;number=13860&amp;sourceID=14","13860")</f>
        <v>13860</v>
      </c>
      <c r="G568" s="4" t="str">
        <f>HYPERLINK("http://141.218.60.56/~jnz1568/getInfo.php?workbook=16_08.xlsx&amp;sheet=A0&amp;row=568&amp;col=7&amp;number=0&amp;sourceID=14","0")</f>
        <v>0</v>
      </c>
    </row>
    <row r="569" spans="1:7">
      <c r="A569" s="3">
        <v>16</v>
      </c>
      <c r="B569" s="3">
        <v>8</v>
      </c>
      <c r="C569" s="3">
        <v>56</v>
      </c>
      <c r="D569" s="3">
        <v>14</v>
      </c>
      <c r="E569" s="3">
        <v>-410.811</v>
      </c>
      <c r="F569" s="4" t="str">
        <f>HYPERLINK("http://141.218.60.56/~jnz1568/getInfo.php?workbook=16_08.xlsx&amp;sheet=A0&amp;row=569&amp;col=6&amp;number=19180&amp;sourceID=14","19180")</f>
        <v>19180</v>
      </c>
      <c r="G569" s="4" t="str">
        <f>HYPERLINK("http://141.218.60.56/~jnz1568/getInfo.php?workbook=16_08.xlsx&amp;sheet=A0&amp;row=569&amp;col=7&amp;number=0&amp;sourceID=14","0")</f>
        <v>0</v>
      </c>
    </row>
    <row r="570" spans="1:7">
      <c r="A570" s="3">
        <v>16</v>
      </c>
      <c r="B570" s="3">
        <v>8</v>
      </c>
      <c r="C570" s="3">
        <v>56</v>
      </c>
      <c r="D570" s="3">
        <v>15</v>
      </c>
      <c r="E570" s="3">
        <v>-413.337</v>
      </c>
      <c r="F570" s="4" t="str">
        <f>HYPERLINK("http://141.218.60.56/~jnz1568/getInfo.php?workbook=16_08.xlsx&amp;sheet=A0&amp;row=570&amp;col=6&amp;number=1387&amp;sourceID=14","1387")</f>
        <v>1387</v>
      </c>
      <c r="G570" s="4" t="str">
        <f>HYPERLINK("http://141.218.60.56/~jnz1568/getInfo.php?workbook=16_08.xlsx&amp;sheet=A0&amp;row=570&amp;col=7&amp;number=0&amp;sourceID=14","0")</f>
        <v>0</v>
      </c>
    </row>
    <row r="571" spans="1:7">
      <c r="A571" s="3">
        <v>16</v>
      </c>
      <c r="B571" s="3">
        <v>8</v>
      </c>
      <c r="C571" s="3">
        <v>56</v>
      </c>
      <c r="D571" s="3">
        <v>17</v>
      </c>
      <c r="E571" s="3">
        <v>-446.04</v>
      </c>
      <c r="F571" s="4" t="str">
        <f>HYPERLINK("http://141.218.60.56/~jnz1568/getInfo.php?workbook=16_08.xlsx&amp;sheet=A0&amp;row=571&amp;col=6&amp;number=11410&amp;sourceID=14","11410")</f>
        <v>11410</v>
      </c>
      <c r="G571" s="4" t="str">
        <f>HYPERLINK("http://141.218.60.56/~jnz1568/getInfo.php?workbook=16_08.xlsx&amp;sheet=A0&amp;row=571&amp;col=7&amp;number=0&amp;sourceID=14","0")</f>
        <v>0</v>
      </c>
    </row>
    <row r="572" spans="1:7">
      <c r="A572" s="3">
        <v>16</v>
      </c>
      <c r="B572" s="3">
        <v>8</v>
      </c>
      <c r="C572" s="3">
        <v>56</v>
      </c>
      <c r="D572" s="3">
        <v>18</v>
      </c>
      <c r="E572" s="3">
        <v>-447.359</v>
      </c>
      <c r="F572" s="4" t="str">
        <f>HYPERLINK("http://141.218.60.56/~jnz1568/getInfo.php?workbook=16_08.xlsx&amp;sheet=A0&amp;row=572&amp;col=6&amp;number=14860&amp;sourceID=14","14860")</f>
        <v>14860</v>
      </c>
      <c r="G572" s="4" t="str">
        <f>HYPERLINK("http://141.218.60.56/~jnz1568/getInfo.php?workbook=16_08.xlsx&amp;sheet=A0&amp;row=572&amp;col=7&amp;number=0&amp;sourceID=14","0")</f>
        <v>0</v>
      </c>
    </row>
    <row r="573" spans="1:7">
      <c r="A573" s="3">
        <v>16</v>
      </c>
      <c r="B573" s="3">
        <v>8</v>
      </c>
      <c r="C573" s="3">
        <v>56</v>
      </c>
      <c r="D573" s="3">
        <v>20</v>
      </c>
      <c r="E573" s="3">
        <v>-510.015</v>
      </c>
      <c r="F573" s="4" t="str">
        <f>HYPERLINK("http://141.218.60.56/~jnz1568/getInfo.php?workbook=16_08.xlsx&amp;sheet=A0&amp;row=573&amp;col=6&amp;number=193900&amp;sourceID=14","193900")</f>
        <v>193900</v>
      </c>
      <c r="G573" s="4" t="str">
        <f>HYPERLINK("http://141.218.60.56/~jnz1568/getInfo.php?workbook=16_08.xlsx&amp;sheet=A0&amp;row=573&amp;col=7&amp;number=0&amp;sourceID=14","0")</f>
        <v>0</v>
      </c>
    </row>
    <row r="574" spans="1:7">
      <c r="A574" s="3">
        <v>16</v>
      </c>
      <c r="B574" s="3">
        <v>8</v>
      </c>
      <c r="C574" s="3">
        <v>56</v>
      </c>
      <c r="D574" s="3">
        <v>21</v>
      </c>
      <c r="E574" s="3">
        <v>-511.25</v>
      </c>
      <c r="F574" s="4" t="str">
        <f>HYPERLINK("http://141.218.60.56/~jnz1568/getInfo.php?workbook=16_08.xlsx&amp;sheet=A0&amp;row=574&amp;col=6&amp;number=133000&amp;sourceID=14","133000")</f>
        <v>133000</v>
      </c>
      <c r="G574" s="4" t="str">
        <f>HYPERLINK("http://141.218.60.56/~jnz1568/getInfo.php?workbook=16_08.xlsx&amp;sheet=A0&amp;row=574&amp;col=7&amp;number=0&amp;sourceID=14","0")</f>
        <v>0</v>
      </c>
    </row>
    <row r="575" spans="1:7">
      <c r="A575" s="3">
        <v>16</v>
      </c>
      <c r="B575" s="3">
        <v>8</v>
      </c>
      <c r="C575" s="3">
        <v>56</v>
      </c>
      <c r="D575" s="3">
        <v>27</v>
      </c>
      <c r="E575" s="3">
        <v>-717.604</v>
      </c>
      <c r="F575" s="4" t="str">
        <f>HYPERLINK("http://141.218.60.56/~jnz1568/getInfo.php?workbook=16_08.xlsx&amp;sheet=A0&amp;row=575&amp;col=6&amp;number=405500000&amp;sourceID=14","405500000")</f>
        <v>405500000</v>
      </c>
      <c r="G575" s="4" t="str">
        <f>HYPERLINK("http://141.218.60.56/~jnz1568/getInfo.php?workbook=16_08.xlsx&amp;sheet=A0&amp;row=575&amp;col=7&amp;number=0&amp;sourceID=14","0")</f>
        <v>0</v>
      </c>
    </row>
    <row r="576" spans="1:7">
      <c r="A576" s="3">
        <v>16</v>
      </c>
      <c r="B576" s="3">
        <v>8</v>
      </c>
      <c r="C576" s="3">
        <v>56</v>
      </c>
      <c r="D576" s="3">
        <v>28</v>
      </c>
      <c r="E576" s="3">
        <v>-723.997</v>
      </c>
      <c r="F576" s="4" t="str">
        <f>HYPERLINK("http://141.218.60.56/~jnz1568/getInfo.php?workbook=16_08.xlsx&amp;sheet=A0&amp;row=576&amp;col=6&amp;number=711300000&amp;sourceID=14","711300000")</f>
        <v>711300000</v>
      </c>
      <c r="G576" s="4" t="str">
        <f>HYPERLINK("http://141.218.60.56/~jnz1568/getInfo.php?workbook=16_08.xlsx&amp;sheet=A0&amp;row=576&amp;col=7&amp;number=0&amp;sourceID=14","0")</f>
        <v>0</v>
      </c>
    </row>
    <row r="577" spans="1:7">
      <c r="A577" s="3">
        <v>16</v>
      </c>
      <c r="B577" s="3">
        <v>8</v>
      </c>
      <c r="C577" s="3">
        <v>56</v>
      </c>
      <c r="D577" s="3">
        <v>29</v>
      </c>
      <c r="E577" s="3">
        <v>-728.868</v>
      </c>
      <c r="F577" s="4" t="str">
        <f>HYPERLINK("http://141.218.60.56/~jnz1568/getInfo.php?workbook=16_08.xlsx&amp;sheet=A0&amp;row=577&amp;col=6&amp;number=22540000&amp;sourceID=14","22540000")</f>
        <v>22540000</v>
      </c>
      <c r="G577" s="4" t="str">
        <f>HYPERLINK("http://141.218.60.56/~jnz1568/getInfo.php?workbook=16_08.xlsx&amp;sheet=A0&amp;row=577&amp;col=7&amp;number=0&amp;sourceID=14","0")</f>
        <v>0</v>
      </c>
    </row>
    <row r="578" spans="1:7">
      <c r="A578" s="3">
        <v>16</v>
      </c>
      <c r="B578" s="3">
        <v>8</v>
      </c>
      <c r="C578" s="3">
        <v>56</v>
      </c>
      <c r="D578" s="3">
        <v>30</v>
      </c>
      <c r="E578" s="3">
        <v>-689.083</v>
      </c>
      <c r="F578" s="4" t="str">
        <f>HYPERLINK("http://141.218.60.56/~jnz1568/getInfo.php?workbook=16_08.xlsx&amp;sheet=A0&amp;row=578&amp;col=6&amp;number=639300000&amp;sourceID=14","639300000")</f>
        <v>639300000</v>
      </c>
      <c r="G578" s="4" t="str">
        <f>HYPERLINK("http://141.218.60.56/~jnz1568/getInfo.php?workbook=16_08.xlsx&amp;sheet=A0&amp;row=578&amp;col=7&amp;number=0&amp;sourceID=14","0")</f>
        <v>0</v>
      </c>
    </row>
    <row r="579" spans="1:7">
      <c r="A579" s="3">
        <v>16</v>
      </c>
      <c r="B579" s="3">
        <v>8</v>
      </c>
      <c r="C579" s="3">
        <v>56</v>
      </c>
      <c r="D579" s="3">
        <v>31</v>
      </c>
      <c r="E579" s="3">
        <v>-765.914</v>
      </c>
      <c r="F579" s="4" t="str">
        <f>HYPERLINK("http://141.218.60.56/~jnz1568/getInfo.php?workbook=16_08.xlsx&amp;sheet=A0&amp;row=579&amp;col=6&amp;number=352300000&amp;sourceID=14","352300000")</f>
        <v>352300000</v>
      </c>
      <c r="G579" s="4" t="str">
        <f>HYPERLINK("http://141.218.60.56/~jnz1568/getInfo.php?workbook=16_08.xlsx&amp;sheet=A0&amp;row=579&amp;col=7&amp;number=0&amp;sourceID=14","0")</f>
        <v>0</v>
      </c>
    </row>
    <row r="580" spans="1:7">
      <c r="A580" s="3">
        <v>16</v>
      </c>
      <c r="B580" s="3">
        <v>8</v>
      </c>
      <c r="C580" s="3">
        <v>56</v>
      </c>
      <c r="D580" s="3">
        <v>32</v>
      </c>
      <c r="E580" s="3">
        <v>-773.88</v>
      </c>
      <c r="F580" s="4" t="str">
        <f>HYPERLINK("http://141.218.60.56/~jnz1568/getInfo.php?workbook=16_08.xlsx&amp;sheet=A0&amp;row=580&amp;col=6&amp;number=51310000&amp;sourceID=14","51310000")</f>
        <v>51310000</v>
      </c>
      <c r="G580" s="4" t="str">
        <f>HYPERLINK("http://141.218.60.56/~jnz1568/getInfo.php?workbook=16_08.xlsx&amp;sheet=A0&amp;row=580&amp;col=7&amp;number=0&amp;sourceID=14","0")</f>
        <v>0</v>
      </c>
    </row>
    <row r="581" spans="1:7">
      <c r="A581" s="3">
        <v>16</v>
      </c>
      <c r="B581" s="3">
        <v>8</v>
      </c>
      <c r="C581" s="3">
        <v>56</v>
      </c>
      <c r="D581" s="3">
        <v>34</v>
      </c>
      <c r="E581" s="3">
        <v>-807.158</v>
      </c>
      <c r="F581" s="4" t="str">
        <f>HYPERLINK("http://141.218.60.56/~jnz1568/getInfo.php?workbook=16_08.xlsx&amp;sheet=A0&amp;row=581&amp;col=6&amp;number=189500&amp;sourceID=14","189500")</f>
        <v>189500</v>
      </c>
      <c r="G581" s="4" t="str">
        <f>HYPERLINK("http://141.218.60.56/~jnz1568/getInfo.php?workbook=16_08.xlsx&amp;sheet=A0&amp;row=581&amp;col=7&amp;number=0&amp;sourceID=14","0")</f>
        <v>0</v>
      </c>
    </row>
    <row r="582" spans="1:7">
      <c r="A582" s="3">
        <v>16</v>
      </c>
      <c r="B582" s="3">
        <v>8</v>
      </c>
      <c r="C582" s="3">
        <v>56</v>
      </c>
      <c r="D582" s="3">
        <v>36</v>
      </c>
      <c r="E582" s="3">
        <v>-1106.206</v>
      </c>
      <c r="F582" s="4" t="str">
        <f>HYPERLINK("http://141.218.60.56/~jnz1568/getInfo.php?workbook=16_08.xlsx&amp;sheet=A0&amp;row=582&amp;col=6&amp;number=129000&amp;sourceID=14","129000")</f>
        <v>129000</v>
      </c>
      <c r="G582" s="4" t="str">
        <f>HYPERLINK("http://141.218.60.56/~jnz1568/getInfo.php?workbook=16_08.xlsx&amp;sheet=A0&amp;row=582&amp;col=7&amp;number=0&amp;sourceID=14","0")</f>
        <v>0</v>
      </c>
    </row>
    <row r="583" spans="1:7">
      <c r="A583" s="3">
        <v>16</v>
      </c>
      <c r="B583" s="3">
        <v>8</v>
      </c>
      <c r="C583" s="3">
        <v>56</v>
      </c>
      <c r="D583" s="3">
        <v>37</v>
      </c>
      <c r="E583" s="3">
        <v>-1092.692</v>
      </c>
      <c r="F583" s="4" t="str">
        <f>HYPERLINK("http://141.218.60.56/~jnz1568/getInfo.php?workbook=16_08.xlsx&amp;sheet=A0&amp;row=583&amp;col=6&amp;number=7212&amp;sourceID=14","7212")</f>
        <v>7212</v>
      </c>
      <c r="G583" s="4" t="str">
        <f>HYPERLINK("http://141.218.60.56/~jnz1568/getInfo.php?workbook=16_08.xlsx&amp;sheet=A0&amp;row=583&amp;col=7&amp;number=0&amp;sourceID=14","0")</f>
        <v>0</v>
      </c>
    </row>
    <row r="584" spans="1:7">
      <c r="A584" s="3">
        <v>16</v>
      </c>
      <c r="B584" s="3">
        <v>8</v>
      </c>
      <c r="C584" s="3">
        <v>56</v>
      </c>
      <c r="D584" s="3">
        <v>43</v>
      </c>
      <c r="E584" s="3">
        <v>-986.387</v>
      </c>
      <c r="F584" s="4" t="str">
        <f>HYPERLINK("http://141.218.60.56/~jnz1568/getInfo.php?workbook=16_08.xlsx&amp;sheet=A0&amp;row=584&amp;col=6&amp;number=66840&amp;sourceID=14","66840")</f>
        <v>66840</v>
      </c>
      <c r="G584" s="4" t="str">
        <f>HYPERLINK("http://141.218.60.56/~jnz1568/getInfo.php?workbook=16_08.xlsx&amp;sheet=A0&amp;row=584&amp;col=7&amp;number=0&amp;sourceID=14","0")</f>
        <v>0</v>
      </c>
    </row>
    <row r="585" spans="1:7">
      <c r="A585" s="3">
        <v>16</v>
      </c>
      <c r="B585" s="3">
        <v>8</v>
      </c>
      <c r="C585" s="3">
        <v>56</v>
      </c>
      <c r="D585" s="3">
        <v>44</v>
      </c>
      <c r="E585" s="3">
        <v>-1123.157</v>
      </c>
      <c r="F585" s="4" t="str">
        <f>HYPERLINK("http://141.218.60.56/~jnz1568/getInfo.php?workbook=16_08.xlsx&amp;sheet=A0&amp;row=585&amp;col=6&amp;number=174800&amp;sourceID=14","174800")</f>
        <v>174800</v>
      </c>
      <c r="G585" s="4" t="str">
        <f>HYPERLINK("http://141.218.60.56/~jnz1568/getInfo.php?workbook=16_08.xlsx&amp;sheet=A0&amp;row=585&amp;col=7&amp;number=0&amp;sourceID=14","0")</f>
        <v>0</v>
      </c>
    </row>
    <row r="586" spans="1:7">
      <c r="A586" s="3">
        <v>16</v>
      </c>
      <c r="B586" s="3">
        <v>8</v>
      </c>
      <c r="C586" s="3">
        <v>56</v>
      </c>
      <c r="D586" s="3">
        <v>45</v>
      </c>
      <c r="E586" s="3">
        <v>-1118.297</v>
      </c>
      <c r="F586" s="4" t="str">
        <f>HYPERLINK("http://141.218.60.56/~jnz1568/getInfo.php?workbook=16_08.xlsx&amp;sheet=A0&amp;row=586&amp;col=6&amp;number=2665000&amp;sourceID=14","2665000")</f>
        <v>2665000</v>
      </c>
      <c r="G586" s="4" t="str">
        <f>HYPERLINK("http://141.218.60.56/~jnz1568/getInfo.php?workbook=16_08.xlsx&amp;sheet=A0&amp;row=586&amp;col=7&amp;number=0&amp;sourceID=14","0")</f>
        <v>0</v>
      </c>
    </row>
    <row r="587" spans="1:7">
      <c r="A587" s="3">
        <v>16</v>
      </c>
      <c r="B587" s="3">
        <v>8</v>
      </c>
      <c r="C587" s="3">
        <v>56</v>
      </c>
      <c r="D587" s="3">
        <v>46</v>
      </c>
      <c r="E587" s="3">
        <v>-1142.034</v>
      </c>
      <c r="F587" s="4" t="str">
        <f>HYPERLINK("http://141.218.60.56/~jnz1568/getInfo.php?workbook=16_08.xlsx&amp;sheet=A0&amp;row=587&amp;col=6&amp;number=21830&amp;sourceID=14","21830")</f>
        <v>21830</v>
      </c>
      <c r="G587" s="4" t="str">
        <f>HYPERLINK("http://141.218.60.56/~jnz1568/getInfo.php?workbook=16_08.xlsx&amp;sheet=A0&amp;row=587&amp;col=7&amp;number=0&amp;sourceID=14","0")</f>
        <v>0</v>
      </c>
    </row>
    <row r="588" spans="1:7">
      <c r="A588" s="3">
        <v>16</v>
      </c>
      <c r="B588" s="3">
        <v>8</v>
      </c>
      <c r="C588" s="3">
        <v>56</v>
      </c>
      <c r="D588" s="3">
        <v>47</v>
      </c>
      <c r="E588" s="3">
        <v>-1228.619</v>
      </c>
      <c r="F588" s="4" t="str">
        <f>HYPERLINK("http://141.218.60.56/~jnz1568/getInfo.php?workbook=16_08.xlsx&amp;sheet=A0&amp;row=588&amp;col=6&amp;number=436100&amp;sourceID=14","436100")</f>
        <v>436100</v>
      </c>
      <c r="G588" s="4" t="str">
        <f>HYPERLINK("http://141.218.60.56/~jnz1568/getInfo.php?workbook=16_08.xlsx&amp;sheet=A0&amp;row=588&amp;col=7&amp;number=0&amp;sourceID=14","0")</f>
        <v>0</v>
      </c>
    </row>
    <row r="589" spans="1:7">
      <c r="A589" s="3">
        <v>16</v>
      </c>
      <c r="B589" s="3">
        <v>8</v>
      </c>
      <c r="C589" s="3">
        <v>56</v>
      </c>
      <c r="D589" s="3">
        <v>48</v>
      </c>
      <c r="E589" s="3">
        <v>-1267.176</v>
      </c>
      <c r="F589" s="4" t="str">
        <f>HYPERLINK("http://141.218.60.56/~jnz1568/getInfo.php?workbook=16_08.xlsx&amp;sheet=A0&amp;row=589&amp;col=6&amp;number=415800&amp;sourceID=14","415800")</f>
        <v>415800</v>
      </c>
      <c r="G589" s="4" t="str">
        <f>HYPERLINK("http://141.218.60.56/~jnz1568/getInfo.php?workbook=16_08.xlsx&amp;sheet=A0&amp;row=589&amp;col=7&amp;number=0&amp;sourceID=14","0")</f>
        <v>0</v>
      </c>
    </row>
    <row r="590" spans="1:7">
      <c r="A590" s="3">
        <v>16</v>
      </c>
      <c r="B590" s="3">
        <v>8</v>
      </c>
      <c r="C590" s="3">
        <v>56</v>
      </c>
      <c r="D590" s="3">
        <v>53</v>
      </c>
      <c r="E590" s="3">
        <v>-1464.083</v>
      </c>
      <c r="F590" s="4" t="str">
        <f>HYPERLINK("http://141.218.60.56/~jnz1568/getInfo.php?workbook=16_08.xlsx&amp;sheet=A0&amp;row=590&amp;col=6&amp;number=69830&amp;sourceID=14","69830")</f>
        <v>69830</v>
      </c>
      <c r="G590" s="4" t="str">
        <f>HYPERLINK("http://141.218.60.56/~jnz1568/getInfo.php?workbook=16_08.xlsx&amp;sheet=A0&amp;row=590&amp;col=7&amp;number=0&amp;sourceID=14","0")</f>
        <v>0</v>
      </c>
    </row>
    <row r="591" spans="1:7">
      <c r="A591" s="3">
        <v>16</v>
      </c>
      <c r="B591" s="3">
        <v>8</v>
      </c>
      <c r="C591" s="3">
        <v>56</v>
      </c>
      <c r="D591" s="3">
        <v>55</v>
      </c>
      <c r="E591" s="3">
        <v>-2381.255</v>
      </c>
      <c r="F591" s="4" t="str">
        <f>HYPERLINK("http://141.218.60.56/~jnz1568/getInfo.php?workbook=16_08.xlsx&amp;sheet=A0&amp;row=591&amp;col=6&amp;number=13670&amp;sourceID=14","13670")</f>
        <v>13670</v>
      </c>
      <c r="G591" s="4" t="str">
        <f>HYPERLINK("http://141.218.60.56/~jnz1568/getInfo.php?workbook=16_08.xlsx&amp;sheet=A0&amp;row=591&amp;col=7&amp;number=0&amp;sourceID=14","0")</f>
        <v>0</v>
      </c>
    </row>
    <row r="592" spans="1:7">
      <c r="A592" s="3">
        <v>16</v>
      </c>
      <c r="B592" s="3">
        <v>8</v>
      </c>
      <c r="C592" s="3">
        <v>57</v>
      </c>
      <c r="D592" s="3">
        <v>1</v>
      </c>
      <c r="E592" s="3">
        <v>47.856</v>
      </c>
      <c r="F592" s="4" t="str">
        <f>HYPERLINK("http://141.218.60.56/~jnz1568/getInfo.php?workbook=16_08.xlsx&amp;sheet=A0&amp;row=592&amp;col=6&amp;number=8635000000&amp;sourceID=14","8635000000")</f>
        <v>8635000000</v>
      </c>
      <c r="G592" s="4" t="str">
        <f>HYPERLINK("http://141.218.60.56/~jnz1568/getInfo.php?workbook=16_08.xlsx&amp;sheet=A0&amp;row=592&amp;col=7&amp;number=0&amp;sourceID=14","0")</f>
        <v>0</v>
      </c>
    </row>
    <row r="593" spans="1:7">
      <c r="A593" s="3">
        <v>16</v>
      </c>
      <c r="B593" s="3">
        <v>8</v>
      </c>
      <c r="C593" s="3">
        <v>57</v>
      </c>
      <c r="D593" s="3">
        <v>2</v>
      </c>
      <c r="E593" s="3">
        <v>48.04</v>
      </c>
      <c r="F593" s="4" t="str">
        <f>HYPERLINK("http://141.218.60.56/~jnz1568/getInfo.php?workbook=16_08.xlsx&amp;sheet=A0&amp;row=593&amp;col=6&amp;number=2860&amp;sourceID=14","2860")</f>
        <v>2860</v>
      </c>
      <c r="G593" s="4" t="str">
        <f>HYPERLINK("http://141.218.60.56/~jnz1568/getInfo.php?workbook=16_08.xlsx&amp;sheet=A0&amp;row=593&amp;col=7&amp;number=0&amp;sourceID=14","0")</f>
        <v>0</v>
      </c>
    </row>
    <row r="594" spans="1:7">
      <c r="A594" s="3">
        <v>16</v>
      </c>
      <c r="B594" s="3">
        <v>8</v>
      </c>
      <c r="C594" s="3">
        <v>57</v>
      </c>
      <c r="D594" s="3">
        <v>4</v>
      </c>
      <c r="E594" s="3">
        <v>49.23</v>
      </c>
      <c r="F594" s="4" t="str">
        <f>HYPERLINK("http://141.218.60.56/~jnz1568/getInfo.php?workbook=16_08.xlsx&amp;sheet=A0&amp;row=594&amp;col=6&amp;number=1346000000&amp;sourceID=14","1346000000")</f>
        <v>1346000000</v>
      </c>
      <c r="G594" s="4" t="str">
        <f>HYPERLINK("http://141.218.60.56/~jnz1568/getInfo.php?workbook=16_08.xlsx&amp;sheet=A0&amp;row=594&amp;col=7&amp;number=0&amp;sourceID=14","0")</f>
        <v>0</v>
      </c>
    </row>
    <row r="595" spans="1:7">
      <c r="A595" s="3">
        <v>16</v>
      </c>
      <c r="B595" s="3">
        <v>8</v>
      </c>
      <c r="C595" s="3">
        <v>57</v>
      </c>
      <c r="D595" s="3">
        <v>7</v>
      </c>
      <c r="E595" s="3">
        <v>61.065</v>
      </c>
      <c r="F595" s="4" t="str">
        <f>HYPERLINK("http://141.218.60.56/~jnz1568/getInfo.php?workbook=16_08.xlsx&amp;sheet=A0&amp;row=595&amp;col=6&amp;number=21520&amp;sourceID=14","21520")</f>
        <v>21520</v>
      </c>
      <c r="G595" s="4" t="str">
        <f>HYPERLINK("http://141.218.60.56/~jnz1568/getInfo.php?workbook=16_08.xlsx&amp;sheet=A0&amp;row=595&amp;col=7&amp;number=0&amp;sourceID=14","0")</f>
        <v>0</v>
      </c>
    </row>
    <row r="596" spans="1:7">
      <c r="A596" s="3">
        <v>16</v>
      </c>
      <c r="B596" s="3">
        <v>8</v>
      </c>
      <c r="C596" s="3">
        <v>57</v>
      </c>
      <c r="D596" s="3">
        <v>13</v>
      </c>
      <c r="E596" s="3">
        <v>408.796</v>
      </c>
      <c r="F596" s="4" t="str">
        <f>HYPERLINK("http://141.218.60.56/~jnz1568/getInfo.php?workbook=16_08.xlsx&amp;sheet=A0&amp;row=596&amp;col=6&amp;number=21910&amp;sourceID=14","21910")</f>
        <v>21910</v>
      </c>
      <c r="G596" s="4" t="str">
        <f>HYPERLINK("http://141.218.60.56/~jnz1568/getInfo.php?workbook=16_08.xlsx&amp;sheet=A0&amp;row=596&amp;col=7&amp;number=0&amp;sourceID=14","0")</f>
        <v>0</v>
      </c>
    </row>
    <row r="597" spans="1:7">
      <c r="A597" s="3">
        <v>16</v>
      </c>
      <c r="B597" s="3">
        <v>8</v>
      </c>
      <c r="C597" s="3">
        <v>57</v>
      </c>
      <c r="D597" s="3">
        <v>14</v>
      </c>
      <c r="E597" s="3">
        <v>409.177</v>
      </c>
      <c r="F597" s="4" t="str">
        <f>HYPERLINK("http://141.218.60.56/~jnz1568/getInfo.php?workbook=16_08.xlsx&amp;sheet=A0&amp;row=597&amp;col=6&amp;number=2460&amp;sourceID=14","2460")</f>
        <v>2460</v>
      </c>
      <c r="G597" s="4" t="str">
        <f>HYPERLINK("http://141.218.60.56/~jnz1568/getInfo.php?workbook=16_08.xlsx&amp;sheet=A0&amp;row=597&amp;col=7&amp;number=0&amp;sourceID=14","0")</f>
        <v>0</v>
      </c>
    </row>
    <row r="598" spans="1:7">
      <c r="A598" s="3">
        <v>16</v>
      </c>
      <c r="B598" s="3">
        <v>8</v>
      </c>
      <c r="C598" s="3">
        <v>57</v>
      </c>
      <c r="D598" s="3">
        <v>15</v>
      </c>
      <c r="E598" s="3">
        <v>410.273</v>
      </c>
      <c r="F598" s="4" t="str">
        <f>HYPERLINK("http://141.218.60.56/~jnz1568/getInfo.php?workbook=16_08.xlsx&amp;sheet=A0&amp;row=598&amp;col=6&amp;number=10560&amp;sourceID=14","10560")</f>
        <v>10560</v>
      </c>
      <c r="G598" s="4" t="str">
        <f>HYPERLINK("http://141.218.60.56/~jnz1568/getInfo.php?workbook=16_08.xlsx&amp;sheet=A0&amp;row=598&amp;col=7&amp;number=0&amp;sourceID=14","0")</f>
        <v>0</v>
      </c>
    </row>
    <row r="599" spans="1:7">
      <c r="A599" s="3">
        <v>16</v>
      </c>
      <c r="B599" s="3">
        <v>8</v>
      </c>
      <c r="C599" s="3">
        <v>57</v>
      </c>
      <c r="D599" s="3">
        <v>18</v>
      </c>
      <c r="E599" s="3">
        <v>452.215</v>
      </c>
      <c r="F599" s="4" t="str">
        <f>HYPERLINK("http://141.218.60.56/~jnz1568/getInfo.php?workbook=16_08.xlsx&amp;sheet=A0&amp;row=599&amp;col=6&amp;number=91770&amp;sourceID=14","91770")</f>
        <v>91770</v>
      </c>
      <c r="G599" s="4" t="str">
        <f>HYPERLINK("http://141.218.60.56/~jnz1568/getInfo.php?workbook=16_08.xlsx&amp;sheet=A0&amp;row=599&amp;col=7&amp;number=0&amp;sourceID=14","0")</f>
        <v>0</v>
      </c>
    </row>
    <row r="600" spans="1:7">
      <c r="A600" s="3">
        <v>16</v>
      </c>
      <c r="B600" s="3">
        <v>8</v>
      </c>
      <c r="C600" s="3">
        <v>57</v>
      </c>
      <c r="D600" s="3">
        <v>19</v>
      </c>
      <c r="E600" s="3">
        <v>454.734</v>
      </c>
      <c r="F600" s="4" t="str">
        <f>HYPERLINK("http://141.218.60.56/~jnz1568/getInfo.php?workbook=16_08.xlsx&amp;sheet=A0&amp;row=600&amp;col=6&amp;number=10230&amp;sourceID=14","10230")</f>
        <v>10230</v>
      </c>
      <c r="G600" s="4" t="str">
        <f>HYPERLINK("http://141.218.60.56/~jnz1568/getInfo.php?workbook=16_08.xlsx&amp;sheet=A0&amp;row=600&amp;col=7&amp;number=0&amp;sourceID=14","0")</f>
        <v>0</v>
      </c>
    </row>
    <row r="601" spans="1:7">
      <c r="A601" s="3">
        <v>16</v>
      </c>
      <c r="B601" s="3">
        <v>8</v>
      </c>
      <c r="C601" s="3">
        <v>57</v>
      </c>
      <c r="D601" s="3">
        <v>21</v>
      </c>
      <c r="E601" s="3">
        <v>509.108</v>
      </c>
      <c r="F601" s="4" t="str">
        <f>HYPERLINK("http://141.218.60.56/~jnz1568/getInfo.php?workbook=16_08.xlsx&amp;sheet=A0&amp;row=601&amp;col=6&amp;number=476500&amp;sourceID=14","476500")</f>
        <v>476500</v>
      </c>
      <c r="G601" s="4" t="str">
        <f>HYPERLINK("http://141.218.60.56/~jnz1568/getInfo.php?workbook=16_08.xlsx&amp;sheet=A0&amp;row=601&amp;col=7&amp;number=0&amp;sourceID=14","0")</f>
        <v>0</v>
      </c>
    </row>
    <row r="602" spans="1:7">
      <c r="A602" s="3">
        <v>16</v>
      </c>
      <c r="B602" s="3">
        <v>8</v>
      </c>
      <c r="C602" s="3">
        <v>57</v>
      </c>
      <c r="D602" s="3">
        <v>27</v>
      </c>
      <c r="E602" s="3">
        <v>-707.853</v>
      </c>
      <c r="F602" s="4" t="str">
        <f>HYPERLINK("http://141.218.60.56/~jnz1568/getInfo.php?workbook=16_08.xlsx&amp;sheet=A0&amp;row=602&amp;col=6&amp;number=1363000000&amp;sourceID=14","1363000000")</f>
        <v>1363000000</v>
      </c>
      <c r="G602" s="4" t="str">
        <f>HYPERLINK("http://141.218.60.56/~jnz1568/getInfo.php?workbook=16_08.xlsx&amp;sheet=A0&amp;row=602&amp;col=7&amp;number=0&amp;sourceID=14","0")</f>
        <v>0</v>
      </c>
    </row>
    <row r="603" spans="1:7">
      <c r="A603" s="3">
        <v>16</v>
      </c>
      <c r="B603" s="3">
        <v>8</v>
      </c>
      <c r="C603" s="3">
        <v>57</v>
      </c>
      <c r="D603" s="3">
        <v>29</v>
      </c>
      <c r="E603" s="3">
        <v>721.09</v>
      </c>
      <c r="F603" s="4" t="str">
        <f>HYPERLINK("http://141.218.60.56/~jnz1568/getInfo.php?workbook=16_08.xlsx&amp;sheet=A0&amp;row=603&amp;col=6&amp;number=340500000&amp;sourceID=14","340500000")</f>
        <v>340500000</v>
      </c>
      <c r="G603" s="4" t="str">
        <f>HYPERLINK("http://141.218.60.56/~jnz1568/getInfo.php?workbook=16_08.xlsx&amp;sheet=A0&amp;row=603&amp;col=7&amp;number=0&amp;sourceID=14","0")</f>
        <v>0</v>
      </c>
    </row>
    <row r="604" spans="1:7">
      <c r="A604" s="3">
        <v>16</v>
      </c>
      <c r="B604" s="3">
        <v>8</v>
      </c>
      <c r="C604" s="3">
        <v>57</v>
      </c>
      <c r="D604" s="3">
        <v>31</v>
      </c>
      <c r="E604" s="3">
        <v>756.716</v>
      </c>
      <c r="F604" s="4" t="str">
        <f>HYPERLINK("http://141.218.60.56/~jnz1568/getInfo.php?workbook=16_08.xlsx&amp;sheet=A0&amp;row=604&amp;col=6&amp;number=31390000&amp;sourceID=14","31390000")</f>
        <v>31390000</v>
      </c>
      <c r="G604" s="4" t="str">
        <f>HYPERLINK("http://141.218.60.56/~jnz1568/getInfo.php?workbook=16_08.xlsx&amp;sheet=A0&amp;row=604&amp;col=7&amp;number=0&amp;sourceID=14","0")</f>
        <v>0</v>
      </c>
    </row>
    <row r="605" spans="1:7">
      <c r="A605" s="3">
        <v>16</v>
      </c>
      <c r="B605" s="3">
        <v>8</v>
      </c>
      <c r="C605" s="3">
        <v>57</v>
      </c>
      <c r="D605" s="3">
        <v>32</v>
      </c>
      <c r="E605" s="3">
        <v>762.893</v>
      </c>
      <c r="F605" s="4" t="str">
        <f>HYPERLINK("http://141.218.60.56/~jnz1568/getInfo.php?workbook=16_08.xlsx&amp;sheet=A0&amp;row=605&amp;col=6&amp;number=394900000&amp;sourceID=14","394900000")</f>
        <v>394900000</v>
      </c>
      <c r="G605" s="4" t="str">
        <f>HYPERLINK("http://141.218.60.56/~jnz1568/getInfo.php?workbook=16_08.xlsx&amp;sheet=A0&amp;row=605&amp;col=7&amp;number=0&amp;sourceID=14","0")</f>
        <v>0</v>
      </c>
    </row>
    <row r="606" spans="1:7">
      <c r="A606" s="3">
        <v>16</v>
      </c>
      <c r="B606" s="3">
        <v>8</v>
      </c>
      <c r="C606" s="3">
        <v>57</v>
      </c>
      <c r="D606" s="3">
        <v>33</v>
      </c>
      <c r="E606" s="3">
        <v>769.497</v>
      </c>
      <c r="F606" s="4" t="str">
        <f>HYPERLINK("http://141.218.60.56/~jnz1568/getInfo.php?workbook=16_08.xlsx&amp;sheet=A0&amp;row=606&amp;col=6&amp;number=49640000&amp;sourceID=14","49640000")</f>
        <v>49640000</v>
      </c>
      <c r="G606" s="4" t="str">
        <f>HYPERLINK("http://141.218.60.56/~jnz1568/getInfo.php?workbook=16_08.xlsx&amp;sheet=A0&amp;row=606&amp;col=7&amp;number=0&amp;sourceID=14","0")</f>
        <v>0</v>
      </c>
    </row>
    <row r="607" spans="1:7">
      <c r="A607" s="3">
        <v>16</v>
      </c>
      <c r="B607" s="3">
        <v>8</v>
      </c>
      <c r="C607" s="3">
        <v>57</v>
      </c>
      <c r="D607" s="3">
        <v>34</v>
      </c>
      <c r="E607" s="3">
        <v>790.058</v>
      </c>
      <c r="F607" s="4" t="str">
        <f>HYPERLINK("http://141.218.60.56/~jnz1568/getInfo.php?workbook=16_08.xlsx&amp;sheet=A0&amp;row=607&amp;col=6&amp;number=148900&amp;sourceID=14","148900")</f>
        <v>148900</v>
      </c>
      <c r="G607" s="4" t="str">
        <f>HYPERLINK("http://141.218.60.56/~jnz1568/getInfo.php?workbook=16_08.xlsx&amp;sheet=A0&amp;row=607&amp;col=7&amp;number=0&amp;sourceID=14","0")</f>
        <v>0</v>
      </c>
    </row>
    <row r="608" spans="1:7">
      <c r="A608" s="3">
        <v>16</v>
      </c>
      <c r="B608" s="3">
        <v>8</v>
      </c>
      <c r="C608" s="3">
        <v>57</v>
      </c>
      <c r="D608" s="3">
        <v>37</v>
      </c>
      <c r="E608" s="3">
        <v>1010.724</v>
      </c>
      <c r="F608" s="4" t="str">
        <f>HYPERLINK("http://141.218.60.56/~jnz1568/getInfo.php?workbook=16_08.xlsx&amp;sheet=A0&amp;row=608&amp;col=6&amp;number=5728&amp;sourceID=14","5728")</f>
        <v>5728</v>
      </c>
      <c r="G608" s="4" t="str">
        <f>HYPERLINK("http://141.218.60.56/~jnz1568/getInfo.php?workbook=16_08.xlsx&amp;sheet=A0&amp;row=608&amp;col=7&amp;number=0&amp;sourceID=14","0")</f>
        <v>0</v>
      </c>
    </row>
    <row r="609" spans="1:7">
      <c r="A609" s="3">
        <v>16</v>
      </c>
      <c r="B609" s="3">
        <v>8</v>
      </c>
      <c r="C609" s="3">
        <v>57</v>
      </c>
      <c r="D609" s="3">
        <v>44</v>
      </c>
      <c r="E609" s="3">
        <v>1026.873</v>
      </c>
      <c r="F609" s="4" t="str">
        <f>HYPERLINK("http://141.218.60.56/~jnz1568/getInfo.php?workbook=16_08.xlsx&amp;sheet=A0&amp;row=609&amp;col=6&amp;number=4414000&amp;sourceID=14","4414000")</f>
        <v>4414000</v>
      </c>
      <c r="G609" s="4" t="str">
        <f>HYPERLINK("http://141.218.60.56/~jnz1568/getInfo.php?workbook=16_08.xlsx&amp;sheet=A0&amp;row=609&amp;col=7&amp;number=0&amp;sourceID=14","0")</f>
        <v>0</v>
      </c>
    </row>
    <row r="610" spans="1:7">
      <c r="A610" s="3">
        <v>16</v>
      </c>
      <c r="B610" s="3">
        <v>8</v>
      </c>
      <c r="C610" s="3">
        <v>57</v>
      </c>
      <c r="D610" s="3">
        <v>46</v>
      </c>
      <c r="E610" s="3">
        <v>1176.069</v>
      </c>
      <c r="F610" s="4" t="str">
        <f>HYPERLINK("http://141.218.60.56/~jnz1568/getInfo.php?workbook=16_08.xlsx&amp;sheet=A0&amp;row=610&amp;col=6&amp;number=6015&amp;sourceID=14","6015")</f>
        <v>6015</v>
      </c>
      <c r="G610" s="4" t="str">
        <f>HYPERLINK("http://141.218.60.56/~jnz1568/getInfo.php?workbook=16_08.xlsx&amp;sheet=A0&amp;row=610&amp;col=7&amp;number=0&amp;sourceID=14","0")</f>
        <v>0</v>
      </c>
    </row>
    <row r="611" spans="1:7">
      <c r="A611" s="3">
        <v>16</v>
      </c>
      <c r="B611" s="3">
        <v>8</v>
      </c>
      <c r="C611" s="3">
        <v>57</v>
      </c>
      <c r="D611" s="3">
        <v>47</v>
      </c>
      <c r="E611" s="3">
        <v>-1200.308</v>
      </c>
      <c r="F611" s="4" t="str">
        <f>HYPERLINK("http://141.218.60.56/~jnz1568/getInfo.php?workbook=16_08.xlsx&amp;sheet=A0&amp;row=611&amp;col=6&amp;number=8620&amp;sourceID=14","8620")</f>
        <v>8620</v>
      </c>
      <c r="G611" s="4" t="str">
        <f>HYPERLINK("http://141.218.60.56/~jnz1568/getInfo.php?workbook=16_08.xlsx&amp;sheet=A0&amp;row=611&amp;col=7&amp;number=0&amp;sourceID=14","0")</f>
        <v>0</v>
      </c>
    </row>
    <row r="612" spans="1:7">
      <c r="A612" s="3">
        <v>16</v>
      </c>
      <c r="B612" s="3">
        <v>8</v>
      </c>
      <c r="C612" s="3">
        <v>57</v>
      </c>
      <c r="D612" s="3">
        <v>52</v>
      </c>
      <c r="E612" s="3">
        <v>-1380.915</v>
      </c>
      <c r="F612" s="4" t="str">
        <f>HYPERLINK("http://141.218.60.56/~jnz1568/getInfo.php?workbook=16_08.xlsx&amp;sheet=A0&amp;row=612&amp;col=6&amp;number=43730&amp;sourceID=14","43730")</f>
        <v>43730</v>
      </c>
      <c r="G612" s="4" t="str">
        <f>HYPERLINK("http://141.218.60.56/~jnz1568/getInfo.php?workbook=16_08.xlsx&amp;sheet=A0&amp;row=612&amp;col=7&amp;number=0&amp;sourceID=14","0")</f>
        <v>0</v>
      </c>
    </row>
    <row r="613" spans="1:7">
      <c r="A613" s="3">
        <v>16</v>
      </c>
      <c r="B613" s="3">
        <v>8</v>
      </c>
      <c r="C613" s="3">
        <v>57</v>
      </c>
      <c r="D613" s="3">
        <v>55</v>
      </c>
      <c r="E613" s="3">
        <v>-2277.155</v>
      </c>
      <c r="F613" s="4" t="str">
        <f>HYPERLINK("http://141.218.60.56/~jnz1568/getInfo.php?workbook=16_08.xlsx&amp;sheet=A0&amp;row=613&amp;col=6&amp;number=3718&amp;sourceID=14","3718")</f>
        <v>3718</v>
      </c>
      <c r="G613" s="4" t="str">
        <f>HYPERLINK("http://141.218.60.56/~jnz1568/getInfo.php?workbook=16_08.xlsx&amp;sheet=A0&amp;row=613&amp;col=7&amp;number=0&amp;sourceID=14","0")</f>
        <v>0</v>
      </c>
    </row>
    <row r="614" spans="1:7">
      <c r="A614" s="3">
        <v>16</v>
      </c>
      <c r="B614" s="3">
        <v>8</v>
      </c>
      <c r="C614" s="3">
        <v>58</v>
      </c>
      <c r="D614" s="3">
        <v>1</v>
      </c>
      <c r="E614" s="3">
        <v>-47.923</v>
      </c>
      <c r="F614" s="4" t="str">
        <f>HYPERLINK("http://141.218.60.56/~jnz1568/getInfo.php?workbook=16_08.xlsx&amp;sheet=A0&amp;row=614&amp;col=6&amp;number=59360&amp;sourceID=14","59360")</f>
        <v>59360</v>
      </c>
      <c r="G614" s="4" t="str">
        <f>HYPERLINK("http://141.218.60.56/~jnz1568/getInfo.php?workbook=16_08.xlsx&amp;sheet=A0&amp;row=614&amp;col=7&amp;number=0&amp;sourceID=14","0")</f>
        <v>0</v>
      </c>
    </row>
    <row r="615" spans="1:7">
      <c r="A615" s="3">
        <v>16</v>
      </c>
      <c r="B615" s="3">
        <v>8</v>
      </c>
      <c r="C615" s="3">
        <v>58</v>
      </c>
      <c r="D615" s="3">
        <v>2</v>
      </c>
      <c r="E615" s="3">
        <v>-48.114</v>
      </c>
      <c r="F615" s="4" t="str">
        <f>HYPERLINK("http://141.218.60.56/~jnz1568/getInfo.php?workbook=16_08.xlsx&amp;sheet=A0&amp;row=615&amp;col=6&amp;number=2968000000&amp;sourceID=14","2968000000")</f>
        <v>2968000000</v>
      </c>
      <c r="G615" s="4" t="str">
        <f>HYPERLINK("http://141.218.60.56/~jnz1568/getInfo.php?workbook=16_08.xlsx&amp;sheet=A0&amp;row=615&amp;col=7&amp;number=0&amp;sourceID=14","0")</f>
        <v>0</v>
      </c>
    </row>
    <row r="616" spans="1:7">
      <c r="A616" s="3">
        <v>16</v>
      </c>
      <c r="B616" s="3">
        <v>8</v>
      </c>
      <c r="C616" s="3">
        <v>58</v>
      </c>
      <c r="D616" s="3">
        <v>4</v>
      </c>
      <c r="E616" s="3">
        <v>-49.383</v>
      </c>
      <c r="F616" s="4" t="str">
        <f>HYPERLINK("http://141.218.60.56/~jnz1568/getInfo.php?workbook=16_08.xlsx&amp;sheet=A0&amp;row=616&amp;col=6&amp;number=23790&amp;sourceID=14","23790")</f>
        <v>23790</v>
      </c>
      <c r="G616" s="4" t="str">
        <f>HYPERLINK("http://141.218.60.56/~jnz1568/getInfo.php?workbook=16_08.xlsx&amp;sheet=A0&amp;row=616&amp;col=7&amp;number=0&amp;sourceID=14","0")</f>
        <v>0</v>
      </c>
    </row>
    <row r="617" spans="1:7">
      <c r="A617" s="3">
        <v>16</v>
      </c>
      <c r="B617" s="3">
        <v>8</v>
      </c>
      <c r="C617" s="3">
        <v>58</v>
      </c>
      <c r="D617" s="3">
        <v>6</v>
      </c>
      <c r="E617" s="3">
        <v>-61.303</v>
      </c>
      <c r="F617" s="4" t="str">
        <f>HYPERLINK("http://141.218.60.56/~jnz1568/getInfo.php?workbook=16_08.xlsx&amp;sheet=A0&amp;row=617&amp;col=6&amp;number=20730&amp;sourceID=14","20730")</f>
        <v>20730</v>
      </c>
      <c r="G617" s="4" t="str">
        <f>HYPERLINK("http://141.218.60.56/~jnz1568/getInfo.php?workbook=16_08.xlsx&amp;sheet=A0&amp;row=617&amp;col=7&amp;number=0&amp;sourceID=14","0")</f>
        <v>0</v>
      </c>
    </row>
    <row r="618" spans="1:7">
      <c r="A618" s="3">
        <v>16</v>
      </c>
      <c r="B618" s="3">
        <v>8</v>
      </c>
      <c r="C618" s="3">
        <v>58</v>
      </c>
      <c r="D618" s="3">
        <v>16</v>
      </c>
      <c r="E618" s="3">
        <v>-431.264</v>
      </c>
      <c r="F618" s="4" t="str">
        <f>HYPERLINK("http://141.218.60.56/~jnz1568/getInfo.php?workbook=16_08.xlsx&amp;sheet=A0&amp;row=618&amp;col=6&amp;number=28030&amp;sourceID=14","28030")</f>
        <v>28030</v>
      </c>
      <c r="G618" s="4" t="str">
        <f>HYPERLINK("http://141.218.60.56/~jnz1568/getInfo.php?workbook=16_08.xlsx&amp;sheet=A0&amp;row=618&amp;col=7&amp;number=0&amp;sourceID=14","0")</f>
        <v>0</v>
      </c>
    </row>
    <row r="619" spans="1:7">
      <c r="A619" s="3">
        <v>16</v>
      </c>
      <c r="B619" s="3">
        <v>8</v>
      </c>
      <c r="C619" s="3">
        <v>58</v>
      </c>
      <c r="D619" s="3">
        <v>17</v>
      </c>
      <c r="E619" s="3">
        <v>-438.594</v>
      </c>
      <c r="F619" s="4" t="str">
        <f>HYPERLINK("http://141.218.60.56/~jnz1568/getInfo.php?workbook=16_08.xlsx&amp;sheet=A0&amp;row=619&amp;col=6&amp;number=23180&amp;sourceID=14","23180")</f>
        <v>23180</v>
      </c>
      <c r="G619" s="4" t="str">
        <f>HYPERLINK("http://141.218.60.56/~jnz1568/getInfo.php?workbook=16_08.xlsx&amp;sheet=A0&amp;row=619&amp;col=7&amp;number=0&amp;sourceID=14","0")</f>
        <v>0</v>
      </c>
    </row>
    <row r="620" spans="1:7">
      <c r="A620" s="3">
        <v>16</v>
      </c>
      <c r="B620" s="3">
        <v>8</v>
      </c>
      <c r="C620" s="3">
        <v>58</v>
      </c>
      <c r="D620" s="3">
        <v>20</v>
      </c>
      <c r="E620" s="3">
        <v>-500.303</v>
      </c>
      <c r="F620" s="4" t="str">
        <f>HYPERLINK("http://141.218.60.56/~jnz1568/getInfo.php?workbook=16_08.xlsx&amp;sheet=A0&amp;row=620&amp;col=6&amp;number=9798000&amp;sourceID=14","9798000")</f>
        <v>9798000</v>
      </c>
      <c r="G620" s="4" t="str">
        <f>HYPERLINK("http://141.218.60.56/~jnz1568/getInfo.php?workbook=16_08.xlsx&amp;sheet=A0&amp;row=620&amp;col=7&amp;number=0&amp;sourceID=14","0")</f>
        <v>0</v>
      </c>
    </row>
    <row r="621" spans="1:7">
      <c r="A621" s="3">
        <v>16</v>
      </c>
      <c r="B621" s="3">
        <v>8</v>
      </c>
      <c r="C621" s="3">
        <v>58</v>
      </c>
      <c r="D621" s="3">
        <v>28</v>
      </c>
      <c r="E621" s="3">
        <v>-704.581</v>
      </c>
      <c r="F621" s="4" t="str">
        <f>HYPERLINK("http://141.218.60.56/~jnz1568/getInfo.php?workbook=16_08.xlsx&amp;sheet=A0&amp;row=621&amp;col=6&amp;number=749100000&amp;sourceID=14","749100000")</f>
        <v>749100000</v>
      </c>
      <c r="G621" s="4" t="str">
        <f>HYPERLINK("http://141.218.60.56/~jnz1568/getInfo.php?workbook=16_08.xlsx&amp;sheet=A0&amp;row=621&amp;col=7&amp;number=0&amp;sourceID=14","0")</f>
        <v>0</v>
      </c>
    </row>
    <row r="622" spans="1:7">
      <c r="A622" s="3">
        <v>16</v>
      </c>
      <c r="B622" s="3">
        <v>8</v>
      </c>
      <c r="C622" s="3">
        <v>58</v>
      </c>
      <c r="D622" s="3">
        <v>30</v>
      </c>
      <c r="E622" s="3">
        <v>-671.471</v>
      </c>
      <c r="F622" s="4" t="str">
        <f>HYPERLINK("http://141.218.60.56/~jnz1568/getInfo.php?workbook=16_08.xlsx&amp;sheet=A0&amp;row=622&amp;col=6&amp;number=1599000000&amp;sourceID=14","1599000000")</f>
        <v>1599000000</v>
      </c>
      <c r="G622" s="4" t="str">
        <f>HYPERLINK("http://141.218.60.56/~jnz1568/getInfo.php?workbook=16_08.xlsx&amp;sheet=A0&amp;row=622&amp;col=7&amp;number=0&amp;sourceID=14","0")</f>
        <v>0</v>
      </c>
    </row>
    <row r="623" spans="1:7">
      <c r="A623" s="3">
        <v>16</v>
      </c>
      <c r="B623" s="3">
        <v>8</v>
      </c>
      <c r="C623" s="3">
        <v>58</v>
      </c>
      <c r="D623" s="3">
        <v>36</v>
      </c>
      <c r="E623" s="3">
        <v>-1061.512</v>
      </c>
      <c r="F623" s="4" t="str">
        <f>HYPERLINK("http://141.218.60.56/~jnz1568/getInfo.php?workbook=16_08.xlsx&amp;sheet=A0&amp;row=623&amp;col=6&amp;number=2703000&amp;sourceID=14","2703000")</f>
        <v>2703000</v>
      </c>
      <c r="G623" s="4" t="str">
        <f>HYPERLINK("http://141.218.60.56/~jnz1568/getInfo.php?workbook=16_08.xlsx&amp;sheet=A0&amp;row=623&amp;col=7&amp;number=0&amp;sourceID=14","0")</f>
        <v>0</v>
      </c>
    </row>
    <row r="624" spans="1:7">
      <c r="A624" s="3">
        <v>16</v>
      </c>
      <c r="B624" s="3">
        <v>8</v>
      </c>
      <c r="C624" s="3">
        <v>58</v>
      </c>
      <c r="D624" s="3">
        <v>43</v>
      </c>
      <c r="E624" s="3">
        <v>-950.694</v>
      </c>
      <c r="F624" s="4" t="str">
        <f>HYPERLINK("http://141.218.60.56/~jnz1568/getInfo.php?workbook=16_08.xlsx&amp;sheet=A0&amp;row=624&amp;col=6&amp;number=619800&amp;sourceID=14","619800")</f>
        <v>619800</v>
      </c>
      <c r="G624" s="4" t="str">
        <f>HYPERLINK("http://141.218.60.56/~jnz1568/getInfo.php?workbook=16_08.xlsx&amp;sheet=A0&amp;row=624&amp;col=7&amp;number=0&amp;sourceID=14","0")</f>
        <v>0</v>
      </c>
    </row>
    <row r="625" spans="1:7">
      <c r="A625" s="3">
        <v>16</v>
      </c>
      <c r="B625" s="3">
        <v>8</v>
      </c>
      <c r="C625" s="3">
        <v>58</v>
      </c>
      <c r="D625" s="3">
        <v>45</v>
      </c>
      <c r="E625" s="3">
        <v>-1072.64</v>
      </c>
      <c r="F625" s="4" t="str">
        <f>HYPERLINK("http://141.218.60.56/~jnz1568/getInfo.php?workbook=16_08.xlsx&amp;sheet=A0&amp;row=625&amp;col=6&amp;number=6244000&amp;sourceID=14","6244000")</f>
        <v>6244000</v>
      </c>
      <c r="G625" s="4" t="str">
        <f>HYPERLINK("http://141.218.60.56/~jnz1568/getInfo.php?workbook=16_08.xlsx&amp;sheet=A0&amp;row=625&amp;col=7&amp;number=0&amp;sourceID=14","0")</f>
        <v>0</v>
      </c>
    </row>
    <row r="626" spans="1:7">
      <c r="A626" s="3">
        <v>16</v>
      </c>
      <c r="B626" s="3">
        <v>8</v>
      </c>
      <c r="C626" s="3">
        <v>58</v>
      </c>
      <c r="D626" s="3">
        <v>48</v>
      </c>
      <c r="E626" s="3">
        <v>-1208.87</v>
      </c>
      <c r="F626" s="4" t="str">
        <f>HYPERLINK("http://141.218.60.56/~jnz1568/getInfo.php?workbook=16_08.xlsx&amp;sheet=A0&amp;row=626&amp;col=6&amp;number=52990000&amp;sourceID=14","52990000")</f>
        <v>52990000</v>
      </c>
      <c r="G626" s="4" t="str">
        <f>HYPERLINK("http://141.218.60.56/~jnz1568/getInfo.php?workbook=16_08.xlsx&amp;sheet=A0&amp;row=626&amp;col=7&amp;number=0&amp;sourceID=14","0")</f>
        <v>0</v>
      </c>
    </row>
    <row r="627" spans="1:7">
      <c r="A627" s="3">
        <v>16</v>
      </c>
      <c r="B627" s="3">
        <v>8</v>
      </c>
      <c r="C627" s="3">
        <v>58</v>
      </c>
      <c r="D627" s="3">
        <v>53</v>
      </c>
      <c r="E627" s="3">
        <v>-1386.802</v>
      </c>
      <c r="F627" s="4" t="str">
        <f>HYPERLINK("http://141.218.60.56/~jnz1568/getInfo.php?workbook=16_08.xlsx&amp;sheet=A0&amp;row=627&amp;col=6&amp;number=241900&amp;sourceID=14","241900")</f>
        <v>241900</v>
      </c>
      <c r="G627" s="4" t="str">
        <f>HYPERLINK("http://141.218.60.56/~jnz1568/getInfo.php?workbook=16_08.xlsx&amp;sheet=A0&amp;row=627&amp;col=7&amp;number=0&amp;sourceID=14","0")</f>
        <v>0</v>
      </c>
    </row>
    <row r="628" spans="1:7">
      <c r="A628" s="3">
        <v>16</v>
      </c>
      <c r="B628" s="3">
        <v>8</v>
      </c>
      <c r="C628" s="3">
        <v>59</v>
      </c>
      <c r="D628" s="3">
        <v>1</v>
      </c>
      <c r="E628" s="3">
        <v>47.815</v>
      </c>
      <c r="F628" s="4" t="str">
        <f>HYPERLINK("http://141.218.60.56/~jnz1568/getInfo.php?workbook=16_08.xlsx&amp;sheet=A0&amp;row=628&amp;col=6&amp;number=5652&amp;sourceID=14","5652")</f>
        <v>5652</v>
      </c>
      <c r="G628" s="4" t="str">
        <f>HYPERLINK("http://141.218.60.56/~jnz1568/getInfo.php?workbook=16_08.xlsx&amp;sheet=A0&amp;row=628&amp;col=7&amp;number=0&amp;sourceID=14","0")</f>
        <v>0</v>
      </c>
    </row>
    <row r="629" spans="1:7">
      <c r="A629" s="3">
        <v>16</v>
      </c>
      <c r="B629" s="3">
        <v>8</v>
      </c>
      <c r="C629" s="3">
        <v>59</v>
      </c>
      <c r="D629" s="3">
        <v>4</v>
      </c>
      <c r="E629" s="3">
        <v>49.186</v>
      </c>
      <c r="F629" s="4" t="str">
        <f>HYPERLINK("http://141.218.60.56/~jnz1568/getInfo.php?workbook=16_08.xlsx&amp;sheet=A0&amp;row=629&amp;col=6&amp;number=32460&amp;sourceID=14","32460")</f>
        <v>32460</v>
      </c>
      <c r="G629" s="4" t="str">
        <f>HYPERLINK("http://141.218.60.56/~jnz1568/getInfo.php?workbook=16_08.xlsx&amp;sheet=A0&amp;row=629&amp;col=7&amp;number=0&amp;sourceID=14","0")</f>
        <v>0</v>
      </c>
    </row>
    <row r="630" spans="1:7">
      <c r="A630" s="3">
        <v>16</v>
      </c>
      <c r="B630" s="3">
        <v>8</v>
      </c>
      <c r="C630" s="3">
        <v>59</v>
      </c>
      <c r="D630" s="3">
        <v>6</v>
      </c>
      <c r="E630" s="3">
        <v>60.739</v>
      </c>
      <c r="F630" s="4" t="str">
        <f>HYPERLINK("http://141.218.60.56/~jnz1568/getInfo.php?workbook=16_08.xlsx&amp;sheet=A0&amp;row=630&amp;col=6&amp;number=27320&amp;sourceID=14","27320")</f>
        <v>27320</v>
      </c>
      <c r="G630" s="4" t="str">
        <f>HYPERLINK("http://141.218.60.56/~jnz1568/getInfo.php?workbook=16_08.xlsx&amp;sheet=A0&amp;row=630&amp;col=7&amp;number=0&amp;sourceID=14","0")</f>
        <v>0</v>
      </c>
    </row>
    <row r="631" spans="1:7">
      <c r="A631" s="3">
        <v>16</v>
      </c>
      <c r="B631" s="3">
        <v>8</v>
      </c>
      <c r="C631" s="3">
        <v>59</v>
      </c>
      <c r="D631" s="3">
        <v>15</v>
      </c>
      <c r="E631" s="3">
        <v>407.289</v>
      </c>
      <c r="F631" s="4" t="str">
        <f>HYPERLINK("http://141.218.60.56/~jnz1568/getInfo.php?workbook=16_08.xlsx&amp;sheet=A0&amp;row=631&amp;col=6&amp;number=33870&amp;sourceID=14","33870")</f>
        <v>33870</v>
      </c>
      <c r="G631" s="4" t="str">
        <f>HYPERLINK("http://141.218.60.56/~jnz1568/getInfo.php?workbook=16_08.xlsx&amp;sheet=A0&amp;row=631&amp;col=7&amp;number=0&amp;sourceID=14","0")</f>
        <v>0</v>
      </c>
    </row>
    <row r="632" spans="1:7">
      <c r="A632" s="3">
        <v>16</v>
      </c>
      <c r="B632" s="3">
        <v>8</v>
      </c>
      <c r="C632" s="3">
        <v>59</v>
      </c>
      <c r="D632" s="3">
        <v>19</v>
      </c>
      <c r="E632" s="3">
        <v>451.07</v>
      </c>
      <c r="F632" s="4" t="str">
        <f>HYPERLINK("http://141.218.60.56/~jnz1568/getInfo.php?workbook=16_08.xlsx&amp;sheet=A0&amp;row=632&amp;col=6&amp;number=189000&amp;sourceID=14","189000")</f>
        <v>189000</v>
      </c>
      <c r="G632" s="4" t="str">
        <f>HYPERLINK("http://141.218.60.56/~jnz1568/getInfo.php?workbook=16_08.xlsx&amp;sheet=A0&amp;row=632&amp;col=7&amp;number=0&amp;sourceID=14","0")</f>
        <v>0</v>
      </c>
    </row>
    <row r="633" spans="1:7">
      <c r="A633" s="3">
        <v>16</v>
      </c>
      <c r="B633" s="3">
        <v>8</v>
      </c>
      <c r="C633" s="3">
        <v>59</v>
      </c>
      <c r="D633" s="3">
        <v>25</v>
      </c>
      <c r="E633" s="3">
        <v>500.989</v>
      </c>
      <c r="F633" s="4" t="str">
        <f>HYPERLINK("http://141.218.60.56/~jnz1568/getInfo.php?workbook=16_08.xlsx&amp;sheet=A0&amp;row=633&amp;col=6&amp;number=1080&amp;sourceID=14","1080")</f>
        <v>1080</v>
      </c>
      <c r="G633" s="4" t="str">
        <f>HYPERLINK("http://141.218.60.56/~jnz1568/getInfo.php?workbook=16_08.xlsx&amp;sheet=A0&amp;row=633&amp;col=7&amp;number=0&amp;sourceID=14","0")</f>
        <v>0</v>
      </c>
    </row>
    <row r="634" spans="1:7">
      <c r="A634" s="3">
        <v>16</v>
      </c>
      <c r="B634" s="3">
        <v>8</v>
      </c>
      <c r="C634" s="3">
        <v>59</v>
      </c>
      <c r="D634" s="3">
        <v>29</v>
      </c>
      <c r="E634" s="3">
        <v>711.921</v>
      </c>
      <c r="F634" s="4" t="str">
        <f>HYPERLINK("http://141.218.60.56/~jnz1568/getInfo.php?workbook=16_08.xlsx&amp;sheet=A0&amp;row=634&amp;col=6&amp;number=1498000000&amp;sourceID=14","1498000000")</f>
        <v>1498000000</v>
      </c>
      <c r="G634" s="4" t="str">
        <f>HYPERLINK("http://141.218.60.56/~jnz1568/getInfo.php?workbook=16_08.xlsx&amp;sheet=A0&amp;row=634&amp;col=7&amp;number=0&amp;sourceID=14","0")</f>
        <v>0</v>
      </c>
    </row>
    <row r="635" spans="1:7">
      <c r="A635" s="3">
        <v>16</v>
      </c>
      <c r="B635" s="3">
        <v>8</v>
      </c>
      <c r="C635" s="3">
        <v>59</v>
      </c>
      <c r="D635" s="3">
        <v>32</v>
      </c>
      <c r="E635" s="3">
        <v>752.638</v>
      </c>
      <c r="F635" s="4" t="str">
        <f>HYPERLINK("http://141.218.60.56/~jnz1568/getInfo.php?workbook=16_08.xlsx&amp;sheet=A0&amp;row=635&amp;col=6&amp;number=17030000&amp;sourceID=14","17030000")</f>
        <v>17030000</v>
      </c>
      <c r="G635" s="4" t="str">
        <f>HYPERLINK("http://141.218.60.56/~jnz1568/getInfo.php?workbook=16_08.xlsx&amp;sheet=A0&amp;row=635&amp;col=7&amp;number=0&amp;sourceID=14","0")</f>
        <v>0</v>
      </c>
    </row>
    <row r="636" spans="1:7">
      <c r="A636" s="3">
        <v>16</v>
      </c>
      <c r="B636" s="3">
        <v>8</v>
      </c>
      <c r="C636" s="3">
        <v>59</v>
      </c>
      <c r="D636" s="3">
        <v>33</v>
      </c>
      <c r="E636" s="3">
        <v>759.065</v>
      </c>
      <c r="F636" s="4" t="str">
        <f>HYPERLINK("http://141.218.60.56/~jnz1568/getInfo.php?workbook=16_08.xlsx&amp;sheet=A0&amp;row=636&amp;col=6&amp;number=615600000&amp;sourceID=14","615600000")</f>
        <v>615600000</v>
      </c>
      <c r="G636" s="4" t="str">
        <f>HYPERLINK("http://141.218.60.56/~jnz1568/getInfo.php?workbook=16_08.xlsx&amp;sheet=A0&amp;row=636&amp;col=7&amp;number=0&amp;sourceID=14","0")</f>
        <v>0</v>
      </c>
    </row>
    <row r="637" spans="1:7">
      <c r="A637" s="3">
        <v>16</v>
      </c>
      <c r="B637" s="3">
        <v>8</v>
      </c>
      <c r="C637" s="3">
        <v>59</v>
      </c>
      <c r="D637" s="3">
        <v>34</v>
      </c>
      <c r="E637" s="3">
        <v>779.065</v>
      </c>
      <c r="F637" s="4" t="str">
        <f>HYPERLINK("http://141.218.60.56/~jnz1568/getInfo.php?workbook=16_08.xlsx&amp;sheet=A0&amp;row=637&amp;col=6&amp;number=19970000&amp;sourceID=14","19970000")</f>
        <v>19970000</v>
      </c>
      <c r="G637" s="4" t="str">
        <f>HYPERLINK("http://141.218.60.56/~jnz1568/getInfo.php?workbook=16_08.xlsx&amp;sheet=A0&amp;row=637&amp;col=7&amp;number=0&amp;sourceID=14","0")</f>
        <v>0</v>
      </c>
    </row>
    <row r="638" spans="1:7">
      <c r="A638" s="3">
        <v>16</v>
      </c>
      <c r="B638" s="3">
        <v>8</v>
      </c>
      <c r="C638" s="3">
        <v>59</v>
      </c>
      <c r="D638" s="3">
        <v>46</v>
      </c>
      <c r="E638" s="3">
        <v>1151.875</v>
      </c>
      <c r="F638" s="4" t="str">
        <f>HYPERLINK("http://141.218.60.56/~jnz1568/getInfo.php?workbook=16_08.xlsx&amp;sheet=A0&amp;row=638&amp;col=6&amp;number=3620000&amp;sourceID=14","3620000")</f>
        <v>3620000</v>
      </c>
      <c r="G638" s="4" t="str">
        <f>HYPERLINK("http://141.218.60.56/~jnz1568/getInfo.php?workbook=16_08.xlsx&amp;sheet=A0&amp;row=638&amp;col=7&amp;number=0&amp;sourceID=14","0")</f>
        <v>0</v>
      </c>
    </row>
    <row r="639" spans="1:7">
      <c r="A639" s="3">
        <v>16</v>
      </c>
      <c r="B639" s="3">
        <v>8</v>
      </c>
      <c r="C639" s="3">
        <v>60</v>
      </c>
      <c r="D639" s="3">
        <v>1</v>
      </c>
      <c r="E639" s="3">
        <v>47.664</v>
      </c>
      <c r="F639" s="4" t="str">
        <f>HYPERLINK("http://141.218.60.56/~jnz1568/getInfo.php?workbook=16_08.xlsx&amp;sheet=A0&amp;row=639&amp;col=6&amp;number=1131000000&amp;sourceID=14","1131000000")</f>
        <v>1131000000</v>
      </c>
      <c r="G639" s="4" t="str">
        <f>HYPERLINK("http://141.218.60.56/~jnz1568/getInfo.php?workbook=16_08.xlsx&amp;sheet=A0&amp;row=639&amp;col=7&amp;number=0&amp;sourceID=14","0")</f>
        <v>0</v>
      </c>
    </row>
    <row r="640" spans="1:7">
      <c r="A640" s="3">
        <v>16</v>
      </c>
      <c r="B640" s="3">
        <v>8</v>
      </c>
      <c r="C640" s="3">
        <v>60</v>
      </c>
      <c r="D640" s="3">
        <v>4</v>
      </c>
      <c r="E640" s="3">
        <v>49.026</v>
      </c>
      <c r="F640" s="4" t="str">
        <f>HYPERLINK("http://141.218.60.56/~jnz1568/getInfo.php?workbook=16_08.xlsx&amp;sheet=A0&amp;row=640&amp;col=6&amp;number=3539000000&amp;sourceID=14","3539000000")</f>
        <v>3539000000</v>
      </c>
      <c r="G640" s="4" t="str">
        <f>HYPERLINK("http://141.218.60.56/~jnz1568/getInfo.php?workbook=16_08.xlsx&amp;sheet=A0&amp;row=640&amp;col=7&amp;number=0&amp;sourceID=14","0")</f>
        <v>0</v>
      </c>
    </row>
    <row r="641" spans="1:7">
      <c r="A641" s="3">
        <v>16</v>
      </c>
      <c r="B641" s="3">
        <v>8</v>
      </c>
      <c r="C641" s="3">
        <v>60</v>
      </c>
      <c r="D641" s="3">
        <v>6</v>
      </c>
      <c r="E641" s="3">
        <v>60.495</v>
      </c>
      <c r="F641" s="4" t="str">
        <f>HYPERLINK("http://141.218.60.56/~jnz1568/getInfo.php?workbook=16_08.xlsx&amp;sheet=A0&amp;row=641&amp;col=6&amp;number=6401&amp;sourceID=14","6401")</f>
        <v>6401</v>
      </c>
      <c r="G641" s="4" t="str">
        <f>HYPERLINK("http://141.218.60.56/~jnz1568/getInfo.php?workbook=16_08.xlsx&amp;sheet=A0&amp;row=641&amp;col=7&amp;number=0&amp;sourceID=14","0")</f>
        <v>0</v>
      </c>
    </row>
    <row r="642" spans="1:7">
      <c r="A642" s="3">
        <v>16</v>
      </c>
      <c r="B642" s="3">
        <v>8</v>
      </c>
      <c r="C642" s="3">
        <v>60</v>
      </c>
      <c r="D642" s="3">
        <v>7</v>
      </c>
      <c r="E642" s="3">
        <v>60.752</v>
      </c>
      <c r="F642" s="4" t="str">
        <f>HYPERLINK("http://141.218.60.56/~jnz1568/getInfo.php?workbook=16_08.xlsx&amp;sheet=A0&amp;row=642&amp;col=6&amp;number=15710&amp;sourceID=14","15710")</f>
        <v>15710</v>
      </c>
      <c r="G642" s="4" t="str">
        <f>HYPERLINK("http://141.218.60.56/~jnz1568/getInfo.php?workbook=16_08.xlsx&amp;sheet=A0&amp;row=642&amp;col=7&amp;number=0&amp;sourceID=14","0")</f>
        <v>0</v>
      </c>
    </row>
    <row r="643" spans="1:7">
      <c r="A643" s="3">
        <v>16</v>
      </c>
      <c r="B643" s="3">
        <v>8</v>
      </c>
      <c r="C643" s="3">
        <v>60</v>
      </c>
      <c r="D643" s="3">
        <v>9</v>
      </c>
      <c r="E643" s="3">
        <v>67.478</v>
      </c>
      <c r="F643" s="4" t="str">
        <f>HYPERLINK("http://141.218.60.56/~jnz1568/getInfo.php?workbook=16_08.xlsx&amp;sheet=A0&amp;row=643&amp;col=6&amp;number=9974&amp;sourceID=14","9974")</f>
        <v>9974</v>
      </c>
      <c r="G643" s="4" t="str">
        <f>HYPERLINK("http://141.218.60.56/~jnz1568/getInfo.php?workbook=16_08.xlsx&amp;sheet=A0&amp;row=643&amp;col=7&amp;number=0&amp;sourceID=14","0")</f>
        <v>0</v>
      </c>
    </row>
    <row r="644" spans="1:7">
      <c r="A644" s="3">
        <v>16</v>
      </c>
      <c r="B644" s="3">
        <v>8</v>
      </c>
      <c r="C644" s="3">
        <v>60</v>
      </c>
      <c r="D644" s="3">
        <v>13</v>
      </c>
      <c r="E644" s="3">
        <v>395.171</v>
      </c>
      <c r="F644" s="4" t="str">
        <f>HYPERLINK("http://141.218.60.56/~jnz1568/getInfo.php?workbook=16_08.xlsx&amp;sheet=A0&amp;row=644&amp;col=6&amp;number=4314&amp;sourceID=14","4314")</f>
        <v>4314</v>
      </c>
      <c r="G644" s="4" t="str">
        <f>HYPERLINK("http://141.218.60.56/~jnz1568/getInfo.php?workbook=16_08.xlsx&amp;sheet=A0&amp;row=644&amp;col=7&amp;number=0&amp;sourceID=14","0")</f>
        <v>0</v>
      </c>
    </row>
    <row r="645" spans="1:7">
      <c r="A645" s="3">
        <v>16</v>
      </c>
      <c r="B645" s="3">
        <v>8</v>
      </c>
      <c r="C645" s="3">
        <v>60</v>
      </c>
      <c r="D645" s="3">
        <v>14</v>
      </c>
      <c r="E645" s="3">
        <v>395.527</v>
      </c>
      <c r="F645" s="4" t="str">
        <f>HYPERLINK("http://141.218.60.56/~jnz1568/getInfo.php?workbook=16_08.xlsx&amp;sheet=A0&amp;row=645&amp;col=6&amp;number=39790&amp;sourceID=14","39790")</f>
        <v>39790</v>
      </c>
      <c r="G645" s="4" t="str">
        <f>HYPERLINK("http://141.218.60.56/~jnz1568/getInfo.php?workbook=16_08.xlsx&amp;sheet=A0&amp;row=645&amp;col=7&amp;number=0&amp;sourceID=14","0")</f>
        <v>0</v>
      </c>
    </row>
    <row r="646" spans="1:7">
      <c r="A646" s="3">
        <v>16</v>
      </c>
      <c r="B646" s="3">
        <v>8</v>
      </c>
      <c r="C646" s="3">
        <v>60</v>
      </c>
      <c r="D646" s="3">
        <v>18</v>
      </c>
      <c r="E646" s="3">
        <v>435.601</v>
      </c>
      <c r="F646" s="4" t="str">
        <f>HYPERLINK("http://141.218.60.56/~jnz1568/getInfo.php?workbook=16_08.xlsx&amp;sheet=A0&amp;row=646&amp;col=6&amp;number=6357&amp;sourceID=14","6357")</f>
        <v>6357</v>
      </c>
      <c r="G646" s="4" t="str">
        <f>HYPERLINK("http://141.218.60.56/~jnz1568/getInfo.php?workbook=16_08.xlsx&amp;sheet=A0&amp;row=646&amp;col=7&amp;number=0&amp;sourceID=14","0")</f>
        <v>0</v>
      </c>
    </row>
    <row r="647" spans="1:7">
      <c r="A647" s="3">
        <v>16</v>
      </c>
      <c r="B647" s="3">
        <v>8</v>
      </c>
      <c r="C647" s="3">
        <v>60</v>
      </c>
      <c r="D647" s="3">
        <v>19</v>
      </c>
      <c r="E647" s="3">
        <v>437.938</v>
      </c>
      <c r="F647" s="4" t="str">
        <f>HYPERLINK("http://141.218.60.56/~jnz1568/getInfo.php?workbook=16_08.xlsx&amp;sheet=A0&amp;row=647&amp;col=6&amp;number=2362&amp;sourceID=14","2362")</f>
        <v>2362</v>
      </c>
      <c r="G647" s="4" t="str">
        <f>HYPERLINK("http://141.218.60.56/~jnz1568/getInfo.php?workbook=16_08.xlsx&amp;sheet=A0&amp;row=647&amp;col=7&amp;number=0&amp;sourceID=14","0")</f>
        <v>0</v>
      </c>
    </row>
    <row r="648" spans="1:7">
      <c r="A648" s="3">
        <v>16</v>
      </c>
      <c r="B648" s="3">
        <v>8</v>
      </c>
      <c r="C648" s="3">
        <v>60</v>
      </c>
      <c r="D648" s="3">
        <v>21</v>
      </c>
      <c r="E648" s="3">
        <v>488.148</v>
      </c>
      <c r="F648" s="4" t="str">
        <f>HYPERLINK("http://141.218.60.56/~jnz1568/getInfo.php?workbook=16_08.xlsx&amp;sheet=A0&amp;row=648&amp;col=6&amp;number=113600&amp;sourceID=14","113600")</f>
        <v>113600</v>
      </c>
      <c r="G648" s="4" t="str">
        <f>HYPERLINK("http://141.218.60.56/~jnz1568/getInfo.php?workbook=16_08.xlsx&amp;sheet=A0&amp;row=648&amp;col=7&amp;number=0&amp;sourceID=14","0")</f>
        <v>0</v>
      </c>
    </row>
    <row r="649" spans="1:7">
      <c r="A649" s="3">
        <v>16</v>
      </c>
      <c r="B649" s="3">
        <v>8</v>
      </c>
      <c r="C649" s="3">
        <v>60</v>
      </c>
      <c r="D649" s="3">
        <v>27</v>
      </c>
      <c r="E649" s="3">
        <v>-665.648</v>
      </c>
      <c r="F649" s="4" t="str">
        <f>HYPERLINK("http://141.218.60.56/~jnz1568/getInfo.php?workbook=16_08.xlsx&amp;sheet=A0&amp;row=649&amp;col=6&amp;number=7987000&amp;sourceID=14","7987000")</f>
        <v>7987000</v>
      </c>
      <c r="G649" s="4" t="str">
        <f>HYPERLINK("http://141.218.60.56/~jnz1568/getInfo.php?workbook=16_08.xlsx&amp;sheet=A0&amp;row=649&amp;col=7&amp;number=0&amp;sourceID=14","0")</f>
        <v>0</v>
      </c>
    </row>
    <row r="650" spans="1:7">
      <c r="A650" s="3">
        <v>16</v>
      </c>
      <c r="B650" s="3">
        <v>8</v>
      </c>
      <c r="C650" s="3">
        <v>60</v>
      </c>
      <c r="D650" s="3">
        <v>29</v>
      </c>
      <c r="E650" s="3">
        <v>679.75</v>
      </c>
      <c r="F650" s="4" t="str">
        <f>HYPERLINK("http://141.218.60.56/~jnz1568/getInfo.php?workbook=16_08.xlsx&amp;sheet=A0&amp;row=650&amp;col=6&amp;number=719900&amp;sourceID=14","719900")</f>
        <v>719900</v>
      </c>
      <c r="G650" s="4" t="str">
        <f>HYPERLINK("http://141.218.60.56/~jnz1568/getInfo.php?workbook=16_08.xlsx&amp;sheet=A0&amp;row=650&amp;col=7&amp;number=0&amp;sourceID=14","0")</f>
        <v>0</v>
      </c>
    </row>
    <row r="651" spans="1:7">
      <c r="A651" s="3">
        <v>16</v>
      </c>
      <c r="B651" s="3">
        <v>8</v>
      </c>
      <c r="C651" s="3">
        <v>60</v>
      </c>
      <c r="D651" s="3">
        <v>31</v>
      </c>
      <c r="E651" s="3">
        <v>711.318</v>
      </c>
      <c r="F651" s="4" t="str">
        <f>HYPERLINK("http://141.218.60.56/~jnz1568/getInfo.php?workbook=16_08.xlsx&amp;sheet=A0&amp;row=651&amp;col=6&amp;number=2350000000&amp;sourceID=14","2350000000")</f>
        <v>2350000000</v>
      </c>
      <c r="G651" s="4" t="str">
        <f>HYPERLINK("http://141.218.60.56/~jnz1568/getInfo.php?workbook=16_08.xlsx&amp;sheet=A0&amp;row=651&amp;col=7&amp;number=0&amp;sourceID=14","0")</f>
        <v>0</v>
      </c>
    </row>
    <row r="652" spans="1:7">
      <c r="A652" s="3">
        <v>16</v>
      </c>
      <c r="B652" s="3">
        <v>8</v>
      </c>
      <c r="C652" s="3">
        <v>60</v>
      </c>
      <c r="D652" s="3">
        <v>32</v>
      </c>
      <c r="E652" s="3">
        <v>716.774</v>
      </c>
      <c r="F652" s="4" t="str">
        <f>HYPERLINK("http://141.218.60.56/~jnz1568/getInfo.php?workbook=16_08.xlsx&amp;sheet=A0&amp;row=652&amp;col=6&amp;number=80210000&amp;sourceID=14","80210000")</f>
        <v>80210000</v>
      </c>
      <c r="G652" s="4" t="str">
        <f>HYPERLINK("http://141.218.60.56/~jnz1568/getInfo.php?workbook=16_08.xlsx&amp;sheet=A0&amp;row=652&amp;col=7&amp;number=0&amp;sourceID=14","0")</f>
        <v>0</v>
      </c>
    </row>
    <row r="653" spans="1:7">
      <c r="A653" s="3">
        <v>16</v>
      </c>
      <c r="B653" s="3">
        <v>8</v>
      </c>
      <c r="C653" s="3">
        <v>60</v>
      </c>
      <c r="D653" s="3">
        <v>33</v>
      </c>
      <c r="E653" s="3">
        <v>722.601</v>
      </c>
      <c r="F653" s="4" t="str">
        <f>HYPERLINK("http://141.218.60.56/~jnz1568/getInfo.php?workbook=16_08.xlsx&amp;sheet=A0&amp;row=653&amp;col=6&amp;number=245200&amp;sourceID=14","245200")</f>
        <v>245200</v>
      </c>
      <c r="G653" s="4" t="str">
        <f>HYPERLINK("http://141.218.60.56/~jnz1568/getInfo.php?workbook=16_08.xlsx&amp;sheet=A0&amp;row=653&amp;col=7&amp;number=0&amp;sourceID=14","0")</f>
        <v>0</v>
      </c>
    </row>
    <row r="654" spans="1:7">
      <c r="A654" s="3">
        <v>16</v>
      </c>
      <c r="B654" s="3">
        <v>8</v>
      </c>
      <c r="C654" s="3">
        <v>60</v>
      </c>
      <c r="D654" s="3">
        <v>34</v>
      </c>
      <c r="E654" s="3">
        <v>740.702</v>
      </c>
      <c r="F654" s="4" t="str">
        <f>HYPERLINK("http://141.218.60.56/~jnz1568/getInfo.php?workbook=16_08.xlsx&amp;sheet=A0&amp;row=654&amp;col=6&amp;number=783200&amp;sourceID=14","783200")</f>
        <v>783200</v>
      </c>
      <c r="G654" s="4" t="str">
        <f>HYPERLINK("http://141.218.60.56/~jnz1568/getInfo.php?workbook=16_08.xlsx&amp;sheet=A0&amp;row=654&amp;col=7&amp;number=0&amp;sourceID=14","0")</f>
        <v>0</v>
      </c>
    </row>
    <row r="655" spans="1:7">
      <c r="A655" s="3">
        <v>16</v>
      </c>
      <c r="B655" s="3">
        <v>8</v>
      </c>
      <c r="C655" s="3">
        <v>60</v>
      </c>
      <c r="D655" s="3">
        <v>44</v>
      </c>
      <c r="E655" s="3">
        <v>945.028</v>
      </c>
      <c r="F655" s="4" t="str">
        <f>HYPERLINK("http://141.218.60.56/~jnz1568/getInfo.php?workbook=16_08.xlsx&amp;sheet=A0&amp;row=655&amp;col=6&amp;number=309800&amp;sourceID=14","309800")</f>
        <v>309800</v>
      </c>
      <c r="G655" s="4" t="str">
        <f>HYPERLINK("http://141.218.60.56/~jnz1568/getInfo.php?workbook=16_08.xlsx&amp;sheet=A0&amp;row=655&amp;col=7&amp;number=0&amp;sourceID=14","0")</f>
        <v>0</v>
      </c>
    </row>
    <row r="656" spans="1:7">
      <c r="A656" s="3">
        <v>16</v>
      </c>
      <c r="B656" s="3">
        <v>8</v>
      </c>
      <c r="C656" s="3">
        <v>60</v>
      </c>
      <c r="D656" s="3">
        <v>46</v>
      </c>
      <c r="E656" s="3">
        <v>1069.942</v>
      </c>
      <c r="F656" s="4" t="str">
        <f>HYPERLINK("http://141.218.60.56/~jnz1568/getInfo.php?workbook=16_08.xlsx&amp;sheet=A0&amp;row=656&amp;col=6&amp;number=41330&amp;sourceID=14","41330")</f>
        <v>41330</v>
      </c>
      <c r="G656" s="4" t="str">
        <f>HYPERLINK("http://141.218.60.56/~jnz1568/getInfo.php?workbook=16_08.xlsx&amp;sheet=A0&amp;row=656&amp;col=7&amp;number=0&amp;sourceID=14","0")</f>
        <v>0</v>
      </c>
    </row>
    <row r="657" spans="1:7">
      <c r="A657" s="3">
        <v>16</v>
      </c>
      <c r="B657" s="3">
        <v>8</v>
      </c>
      <c r="C657" s="3">
        <v>60</v>
      </c>
      <c r="D657" s="3">
        <v>47</v>
      </c>
      <c r="E657" s="3">
        <v>-1083.785</v>
      </c>
      <c r="F657" s="4" t="str">
        <f>HYPERLINK("http://141.218.60.56/~jnz1568/getInfo.php?workbook=16_08.xlsx&amp;sheet=A0&amp;row=657&amp;col=6&amp;number=186000&amp;sourceID=14","186000")</f>
        <v>186000</v>
      </c>
      <c r="G657" s="4" t="str">
        <f>HYPERLINK("http://141.218.60.56/~jnz1568/getInfo.php?workbook=16_08.xlsx&amp;sheet=A0&amp;row=657&amp;col=7&amp;number=0&amp;sourceID=14","0")</f>
        <v>0</v>
      </c>
    </row>
    <row r="658" spans="1:7">
      <c r="A658" s="3">
        <v>16</v>
      </c>
      <c r="B658" s="3">
        <v>8</v>
      </c>
      <c r="C658" s="3">
        <v>60</v>
      </c>
      <c r="D658" s="3">
        <v>55</v>
      </c>
      <c r="E658" s="3">
        <v>-1891.371</v>
      </c>
      <c r="F658" s="4" t="str">
        <f>HYPERLINK("http://141.218.60.56/~jnz1568/getInfo.php?workbook=16_08.xlsx&amp;sheet=A0&amp;row=658&amp;col=6&amp;number=21890&amp;sourceID=14","21890")</f>
        <v>21890</v>
      </c>
      <c r="G658" s="4" t="str">
        <f>HYPERLINK("http://141.218.60.56/~jnz1568/getInfo.php?workbook=16_08.xlsx&amp;sheet=A0&amp;row=658&amp;col=7&amp;number=0&amp;sourceID=14","0")</f>
        <v>0</v>
      </c>
    </row>
    <row r="659" spans="1:7">
      <c r="A659" s="3">
        <v>16</v>
      </c>
      <c r="B659" s="3">
        <v>8</v>
      </c>
      <c r="C659" s="3">
        <v>61</v>
      </c>
      <c r="D659" s="3">
        <v>1</v>
      </c>
      <c r="E659" s="3">
        <v>47.657</v>
      </c>
      <c r="F659" s="4" t="str">
        <f>HYPERLINK("http://141.218.60.56/~jnz1568/getInfo.php?workbook=16_08.xlsx&amp;sheet=A0&amp;row=659&amp;col=6&amp;number=1069&amp;sourceID=14","1069")</f>
        <v>1069</v>
      </c>
      <c r="G659" s="4" t="str">
        <f>HYPERLINK("http://141.218.60.56/~jnz1568/getInfo.php?workbook=16_08.xlsx&amp;sheet=A0&amp;row=659&amp;col=7&amp;number=0&amp;sourceID=14","0")</f>
        <v>0</v>
      </c>
    </row>
    <row r="660" spans="1:7">
      <c r="A660" s="3">
        <v>16</v>
      </c>
      <c r="B660" s="3">
        <v>8</v>
      </c>
      <c r="C660" s="3">
        <v>61</v>
      </c>
      <c r="D660" s="3">
        <v>4</v>
      </c>
      <c r="E660" s="3">
        <v>49.019</v>
      </c>
      <c r="F660" s="4" t="str">
        <f>HYPERLINK("http://141.218.60.56/~jnz1568/getInfo.php?workbook=16_08.xlsx&amp;sheet=A0&amp;row=660&amp;col=6&amp;number=1618&amp;sourceID=14","1618")</f>
        <v>1618</v>
      </c>
      <c r="G660" s="4" t="str">
        <f>HYPERLINK("http://141.218.60.56/~jnz1568/getInfo.php?workbook=16_08.xlsx&amp;sheet=A0&amp;row=660&amp;col=7&amp;number=0&amp;sourceID=14","0")</f>
        <v>0</v>
      </c>
    </row>
    <row r="661" spans="1:7">
      <c r="A661" s="3">
        <v>16</v>
      </c>
      <c r="B661" s="3">
        <v>8</v>
      </c>
      <c r="C661" s="3">
        <v>61</v>
      </c>
      <c r="D661" s="3">
        <v>6</v>
      </c>
      <c r="E661" s="3">
        <v>60.483</v>
      </c>
      <c r="F661" s="4" t="str">
        <f>HYPERLINK("http://141.218.60.56/~jnz1568/getInfo.php?workbook=16_08.xlsx&amp;sheet=A0&amp;row=661&amp;col=6&amp;number=39750&amp;sourceID=14","39750")</f>
        <v>39750</v>
      </c>
      <c r="G661" s="4" t="str">
        <f>HYPERLINK("http://141.218.60.56/~jnz1568/getInfo.php?workbook=16_08.xlsx&amp;sheet=A0&amp;row=661&amp;col=7&amp;number=0&amp;sourceID=14","0")</f>
        <v>0</v>
      </c>
    </row>
    <row r="662" spans="1:7">
      <c r="A662" s="3">
        <v>16</v>
      </c>
      <c r="B662" s="3">
        <v>8</v>
      </c>
      <c r="C662" s="3">
        <v>61</v>
      </c>
      <c r="D662" s="3">
        <v>13</v>
      </c>
      <c r="E662" s="3">
        <v>394.681</v>
      </c>
      <c r="F662" s="4" t="str">
        <f>HYPERLINK("http://141.218.60.56/~jnz1568/getInfo.php?workbook=16_08.xlsx&amp;sheet=A0&amp;row=662&amp;col=6&amp;number=43270&amp;sourceID=14","43270")</f>
        <v>43270</v>
      </c>
      <c r="G662" s="4" t="str">
        <f>HYPERLINK("http://141.218.60.56/~jnz1568/getInfo.php?workbook=16_08.xlsx&amp;sheet=A0&amp;row=662&amp;col=7&amp;number=0&amp;sourceID=14","0")</f>
        <v>0</v>
      </c>
    </row>
    <row r="663" spans="1:7">
      <c r="A663" s="3">
        <v>16</v>
      </c>
      <c r="B663" s="3">
        <v>8</v>
      </c>
      <c r="C663" s="3">
        <v>61</v>
      </c>
      <c r="D663" s="3">
        <v>15</v>
      </c>
      <c r="E663" s="3">
        <v>396.058</v>
      </c>
      <c r="F663" s="4" t="str">
        <f>HYPERLINK("http://141.218.60.56/~jnz1568/getInfo.php?workbook=16_08.xlsx&amp;sheet=A0&amp;row=663&amp;col=6&amp;number=1161&amp;sourceID=14","1161")</f>
        <v>1161</v>
      </c>
      <c r="G663" s="4" t="str">
        <f>HYPERLINK("http://141.218.60.56/~jnz1568/getInfo.php?workbook=16_08.xlsx&amp;sheet=A0&amp;row=663&amp;col=7&amp;number=0&amp;sourceID=14","0")</f>
        <v>0</v>
      </c>
    </row>
    <row r="664" spans="1:7">
      <c r="A664" s="3">
        <v>16</v>
      </c>
      <c r="B664" s="3">
        <v>8</v>
      </c>
      <c r="C664" s="3">
        <v>61</v>
      </c>
      <c r="D664" s="3">
        <v>19</v>
      </c>
      <c r="E664" s="3">
        <v>437.336</v>
      </c>
      <c r="F664" s="4" t="str">
        <f>HYPERLINK("http://141.218.60.56/~jnz1568/getInfo.php?workbook=16_08.xlsx&amp;sheet=A0&amp;row=664&amp;col=6&amp;number=24530&amp;sourceID=14","24530")</f>
        <v>24530</v>
      </c>
      <c r="G664" s="4" t="str">
        <f>HYPERLINK("http://141.218.60.56/~jnz1568/getInfo.php?workbook=16_08.xlsx&amp;sheet=A0&amp;row=664&amp;col=7&amp;number=0&amp;sourceID=14","0")</f>
        <v>0</v>
      </c>
    </row>
    <row r="665" spans="1:7">
      <c r="A665" s="3">
        <v>16</v>
      </c>
      <c r="B665" s="3">
        <v>8</v>
      </c>
      <c r="C665" s="3">
        <v>61</v>
      </c>
      <c r="D665" s="3">
        <v>29</v>
      </c>
      <c r="E665" s="3">
        <v>678.302</v>
      </c>
      <c r="F665" s="4" t="str">
        <f>HYPERLINK("http://141.218.60.56/~jnz1568/getInfo.php?workbook=16_08.xlsx&amp;sheet=A0&amp;row=665&amp;col=6&amp;number=5032000&amp;sourceID=14","5032000")</f>
        <v>5032000</v>
      </c>
      <c r="G665" s="4" t="str">
        <f>HYPERLINK("http://141.218.60.56/~jnz1568/getInfo.php?workbook=16_08.xlsx&amp;sheet=A0&amp;row=665&amp;col=7&amp;number=0&amp;sourceID=14","0")</f>
        <v>0</v>
      </c>
    </row>
    <row r="666" spans="1:7">
      <c r="A666" s="3">
        <v>16</v>
      </c>
      <c r="B666" s="3">
        <v>8</v>
      </c>
      <c r="C666" s="3">
        <v>61</v>
      </c>
      <c r="D666" s="3">
        <v>32</v>
      </c>
      <c r="E666" s="3">
        <v>715.164</v>
      </c>
      <c r="F666" s="4" t="str">
        <f>HYPERLINK("http://141.218.60.56/~jnz1568/getInfo.php?workbook=16_08.xlsx&amp;sheet=A0&amp;row=666&amp;col=6&amp;number=2354000000&amp;sourceID=14","2354000000")</f>
        <v>2354000000</v>
      </c>
      <c r="G666" s="4" t="str">
        <f>HYPERLINK("http://141.218.60.56/~jnz1568/getInfo.php?workbook=16_08.xlsx&amp;sheet=A0&amp;row=666&amp;col=7&amp;number=0&amp;sourceID=14","0")</f>
        <v>0</v>
      </c>
    </row>
    <row r="667" spans="1:7">
      <c r="A667" s="3">
        <v>16</v>
      </c>
      <c r="B667" s="3">
        <v>8</v>
      </c>
      <c r="C667" s="3">
        <v>61</v>
      </c>
      <c r="D667" s="3">
        <v>33</v>
      </c>
      <c r="E667" s="3">
        <v>720.965</v>
      </c>
      <c r="F667" s="4" t="str">
        <f>HYPERLINK("http://141.218.60.56/~jnz1568/getInfo.php?workbook=16_08.xlsx&amp;sheet=A0&amp;row=667&amp;col=6&amp;number=23740000&amp;sourceID=14","23740000")</f>
        <v>23740000</v>
      </c>
      <c r="G667" s="4" t="str">
        <f>HYPERLINK("http://141.218.60.56/~jnz1568/getInfo.php?workbook=16_08.xlsx&amp;sheet=A0&amp;row=667&amp;col=7&amp;number=0&amp;sourceID=14","0")</f>
        <v>0</v>
      </c>
    </row>
    <row r="668" spans="1:7">
      <c r="A668" s="3">
        <v>16</v>
      </c>
      <c r="B668" s="3">
        <v>8</v>
      </c>
      <c r="C668" s="3">
        <v>61</v>
      </c>
      <c r="D668" s="3">
        <v>34</v>
      </c>
      <c r="E668" s="3">
        <v>738.984</v>
      </c>
      <c r="F668" s="4" t="str">
        <f>HYPERLINK("http://141.218.60.56/~jnz1568/getInfo.php?workbook=16_08.xlsx&amp;sheet=A0&amp;row=668&amp;col=6&amp;number=18070000&amp;sourceID=14","18070000")</f>
        <v>18070000</v>
      </c>
      <c r="G668" s="4" t="str">
        <f>HYPERLINK("http://141.218.60.56/~jnz1568/getInfo.php?workbook=16_08.xlsx&amp;sheet=A0&amp;row=668&amp;col=7&amp;number=0&amp;sourceID=14","0")</f>
        <v>0</v>
      </c>
    </row>
    <row r="669" spans="1:7">
      <c r="A669" s="3">
        <v>16</v>
      </c>
      <c r="B669" s="3">
        <v>8</v>
      </c>
      <c r="C669" s="3">
        <v>61</v>
      </c>
      <c r="D669" s="3">
        <v>46</v>
      </c>
      <c r="E669" s="3">
        <v>1066.359</v>
      </c>
      <c r="F669" s="4" t="str">
        <f>HYPERLINK("http://141.218.60.56/~jnz1568/getInfo.php?workbook=16_08.xlsx&amp;sheet=A0&amp;row=669&amp;col=6&amp;number=330200&amp;sourceID=14","330200")</f>
        <v>330200</v>
      </c>
      <c r="G669" s="4" t="str">
        <f>HYPERLINK("http://141.218.60.56/~jnz1568/getInfo.php?workbook=16_08.xlsx&amp;sheet=A0&amp;row=669&amp;col=7&amp;number=0&amp;sourceID=14","0")</f>
        <v>0</v>
      </c>
    </row>
    <row r="670" spans="1:7">
      <c r="A670" s="3">
        <v>16</v>
      </c>
      <c r="B670" s="3">
        <v>8</v>
      </c>
      <c r="C670" s="3">
        <v>62</v>
      </c>
      <c r="D670" s="3">
        <v>15</v>
      </c>
      <c r="E670" s="3">
        <v>395.577</v>
      </c>
      <c r="F670" s="4" t="str">
        <f>HYPERLINK("http://141.218.60.56/~jnz1568/getInfo.php?workbook=16_08.xlsx&amp;sheet=A0&amp;row=670&amp;col=6&amp;number=44320&amp;sourceID=14","44320")</f>
        <v>44320</v>
      </c>
      <c r="G670" s="4" t="str">
        <f>HYPERLINK("http://141.218.60.56/~jnz1568/getInfo.php?workbook=16_08.xlsx&amp;sheet=A0&amp;row=670&amp;col=7&amp;number=0&amp;sourceID=14","0")</f>
        <v>0</v>
      </c>
    </row>
    <row r="671" spans="1:7">
      <c r="A671" s="3">
        <v>16</v>
      </c>
      <c r="B671" s="3">
        <v>8</v>
      </c>
      <c r="C671" s="3">
        <v>62</v>
      </c>
      <c r="D671" s="3">
        <v>33</v>
      </c>
      <c r="E671" s="3">
        <v>719.373</v>
      </c>
      <c r="F671" s="4" t="str">
        <f>HYPERLINK("http://141.218.60.56/~jnz1568/getInfo.php?workbook=16_08.xlsx&amp;sheet=A0&amp;row=671&amp;col=6&amp;number=2363000000&amp;sourceID=14","2363000000")</f>
        <v>2363000000</v>
      </c>
      <c r="G671" s="4" t="str">
        <f>HYPERLINK("http://141.218.60.56/~jnz1568/getInfo.php?workbook=16_08.xlsx&amp;sheet=A0&amp;row=671&amp;col=7&amp;number=0&amp;sourceID=14","0")</f>
        <v>0</v>
      </c>
    </row>
    <row r="672" spans="1:7">
      <c r="A672" s="3">
        <v>16</v>
      </c>
      <c r="B672" s="3">
        <v>8</v>
      </c>
      <c r="C672" s="3">
        <v>63</v>
      </c>
      <c r="D672" s="3">
        <v>4</v>
      </c>
      <c r="E672" s="3">
        <v>48.958</v>
      </c>
      <c r="F672" s="4" t="str">
        <f>HYPERLINK("http://141.218.60.56/~jnz1568/getInfo.php?workbook=16_08.xlsx&amp;sheet=A0&amp;row=672&amp;col=6&amp;number=13980&amp;sourceID=14","13980")</f>
        <v>13980</v>
      </c>
      <c r="G672" s="4" t="str">
        <f>HYPERLINK("http://141.218.60.56/~jnz1568/getInfo.php?workbook=16_08.xlsx&amp;sheet=A0&amp;row=672&amp;col=7&amp;number=0&amp;sourceID=14","0")</f>
        <v>0</v>
      </c>
    </row>
    <row r="673" spans="1:7">
      <c r="A673" s="3">
        <v>16</v>
      </c>
      <c r="B673" s="3">
        <v>8</v>
      </c>
      <c r="C673" s="3">
        <v>63</v>
      </c>
      <c r="D673" s="3">
        <v>6</v>
      </c>
      <c r="E673" s="3">
        <v>60.391</v>
      </c>
      <c r="F673" s="4" t="str">
        <f>HYPERLINK("http://141.218.60.56/~jnz1568/getInfo.php?workbook=16_08.xlsx&amp;sheet=A0&amp;row=673&amp;col=6&amp;number=21080&amp;sourceID=14","21080")</f>
        <v>21080</v>
      </c>
      <c r="G673" s="4" t="str">
        <f>HYPERLINK("http://141.218.60.56/~jnz1568/getInfo.php?workbook=16_08.xlsx&amp;sheet=A0&amp;row=673&amp;col=7&amp;number=0&amp;sourceID=14","0")</f>
        <v>0</v>
      </c>
    </row>
    <row r="674" spans="1:7">
      <c r="A674" s="3">
        <v>16</v>
      </c>
      <c r="B674" s="3">
        <v>8</v>
      </c>
      <c r="C674" s="3">
        <v>63</v>
      </c>
      <c r="D674" s="3">
        <v>15</v>
      </c>
      <c r="E674" s="3">
        <v>392.155</v>
      </c>
      <c r="F674" s="4" t="str">
        <f>HYPERLINK("http://141.218.60.56/~jnz1568/getInfo.php?workbook=16_08.xlsx&amp;sheet=A0&amp;row=674&amp;col=6&amp;number=1078&amp;sourceID=14","1078")</f>
        <v>1078</v>
      </c>
      <c r="G674" s="4" t="str">
        <f>HYPERLINK("http://141.218.60.56/~jnz1568/getInfo.php?workbook=16_08.xlsx&amp;sheet=A0&amp;row=674&amp;col=7&amp;number=0&amp;sourceID=14","0")</f>
        <v>0</v>
      </c>
    </row>
    <row r="675" spans="1:7">
      <c r="A675" s="3">
        <v>16</v>
      </c>
      <c r="B675" s="3">
        <v>8</v>
      </c>
      <c r="C675" s="3">
        <v>63</v>
      </c>
      <c r="D675" s="3">
        <v>16</v>
      </c>
      <c r="E675" s="3">
        <v>412.914</v>
      </c>
      <c r="F675" s="4" t="str">
        <f>HYPERLINK("http://141.218.60.56/~jnz1568/getInfo.php?workbook=16_08.xlsx&amp;sheet=A0&amp;row=675&amp;col=6&amp;number=34840&amp;sourceID=14","34840")</f>
        <v>34840</v>
      </c>
      <c r="G675" s="4" t="str">
        <f>HYPERLINK("http://141.218.60.56/~jnz1568/getInfo.php?workbook=16_08.xlsx&amp;sheet=A0&amp;row=675&amp;col=7&amp;number=0&amp;sourceID=14","0")</f>
        <v>0</v>
      </c>
    </row>
    <row r="676" spans="1:7">
      <c r="A676" s="3">
        <v>16</v>
      </c>
      <c r="B676" s="3">
        <v>8</v>
      </c>
      <c r="C676" s="3">
        <v>63</v>
      </c>
      <c r="D676" s="3">
        <v>19</v>
      </c>
      <c r="E676" s="3">
        <v>432.582</v>
      </c>
      <c r="F676" s="4" t="str">
        <f>HYPERLINK("http://141.218.60.56/~jnz1568/getInfo.php?workbook=16_08.xlsx&amp;sheet=A0&amp;row=676&amp;col=6&amp;number=5368&amp;sourceID=14","5368")</f>
        <v>5368</v>
      </c>
      <c r="G676" s="4" t="str">
        <f>HYPERLINK("http://141.218.60.56/~jnz1568/getInfo.php?workbook=16_08.xlsx&amp;sheet=A0&amp;row=676&amp;col=7&amp;number=0&amp;sourceID=14","0")</f>
        <v>0</v>
      </c>
    </row>
    <row r="677" spans="1:7">
      <c r="A677" s="3">
        <v>16</v>
      </c>
      <c r="B677" s="3">
        <v>8</v>
      </c>
      <c r="C677" s="3">
        <v>63</v>
      </c>
      <c r="D677" s="3">
        <v>29</v>
      </c>
      <c r="E677" s="3">
        <v>666.933</v>
      </c>
      <c r="F677" s="4" t="str">
        <f>HYPERLINK("http://141.218.60.56/~jnz1568/getInfo.php?workbook=16_08.xlsx&amp;sheet=A0&amp;row=677&amp;col=6&amp;number=14170000&amp;sourceID=14","14170000")</f>
        <v>14170000</v>
      </c>
      <c r="G677" s="4" t="str">
        <f>HYPERLINK("http://141.218.60.56/~jnz1568/getInfo.php?workbook=16_08.xlsx&amp;sheet=A0&amp;row=677&amp;col=7&amp;number=0&amp;sourceID=14","0")</f>
        <v>0</v>
      </c>
    </row>
    <row r="678" spans="1:7">
      <c r="A678" s="3">
        <v>16</v>
      </c>
      <c r="B678" s="3">
        <v>8</v>
      </c>
      <c r="C678" s="3">
        <v>63</v>
      </c>
      <c r="D678" s="3">
        <v>32</v>
      </c>
      <c r="E678" s="3">
        <v>702.538</v>
      </c>
      <c r="F678" s="4" t="str">
        <f>HYPERLINK("http://141.218.60.56/~jnz1568/getInfo.php?workbook=16_08.xlsx&amp;sheet=A0&amp;row=678&amp;col=6&amp;number=15150000&amp;sourceID=14","15150000")</f>
        <v>15150000</v>
      </c>
      <c r="G678" s="4" t="str">
        <f>HYPERLINK("http://141.218.60.56/~jnz1568/getInfo.php?workbook=16_08.xlsx&amp;sheet=A0&amp;row=678&amp;col=7&amp;number=0&amp;sourceID=14","0")</f>
        <v>0</v>
      </c>
    </row>
    <row r="679" spans="1:7">
      <c r="A679" s="3">
        <v>16</v>
      </c>
      <c r="B679" s="3">
        <v>8</v>
      </c>
      <c r="C679" s="3">
        <v>63</v>
      </c>
      <c r="D679" s="3">
        <v>33</v>
      </c>
      <c r="E679" s="3">
        <v>708.135</v>
      </c>
      <c r="F679" s="4" t="str">
        <f>HYPERLINK("http://141.218.60.56/~jnz1568/getInfo.php?workbook=16_08.xlsx&amp;sheet=A0&amp;row=679&amp;col=6&amp;number=22190000&amp;sourceID=14","22190000")</f>
        <v>22190000</v>
      </c>
      <c r="G679" s="4" t="str">
        <f>HYPERLINK("http://141.218.60.56/~jnz1568/getInfo.php?workbook=16_08.xlsx&amp;sheet=A0&amp;row=679&amp;col=7&amp;number=0&amp;sourceID=14","0")</f>
        <v>0</v>
      </c>
    </row>
    <row r="680" spans="1:7">
      <c r="A680" s="3">
        <v>16</v>
      </c>
      <c r="B680" s="3">
        <v>8</v>
      </c>
      <c r="C680" s="3">
        <v>63</v>
      </c>
      <c r="D680" s="3">
        <v>34</v>
      </c>
      <c r="E680" s="3">
        <v>725.51</v>
      </c>
      <c r="F680" s="4" t="str">
        <f>HYPERLINK("http://141.218.60.56/~jnz1568/getInfo.php?workbook=16_08.xlsx&amp;sheet=A0&amp;row=680&amp;col=6&amp;number=2273000000&amp;sourceID=14","2273000000")</f>
        <v>2273000000</v>
      </c>
      <c r="G680" s="4" t="str">
        <f>HYPERLINK("http://141.218.60.56/~jnz1568/getInfo.php?workbook=16_08.xlsx&amp;sheet=A0&amp;row=680&amp;col=7&amp;number=0&amp;sourceID=14","0")</f>
        <v>0</v>
      </c>
    </row>
    <row r="681" spans="1:7">
      <c r="A681" s="3">
        <v>16</v>
      </c>
      <c r="B681" s="3">
        <v>8</v>
      </c>
      <c r="C681" s="3">
        <v>63</v>
      </c>
      <c r="D681" s="3">
        <v>46</v>
      </c>
      <c r="E681" s="3">
        <v>1038.529</v>
      </c>
      <c r="F681" s="4" t="str">
        <f>HYPERLINK("http://141.218.60.56/~jnz1568/getInfo.php?workbook=16_08.xlsx&amp;sheet=A0&amp;row=681&amp;col=6&amp;number=349600&amp;sourceID=14","349600")</f>
        <v>349600</v>
      </c>
      <c r="G681" s="4" t="str">
        <f>HYPERLINK("http://141.218.60.56/~jnz1568/getInfo.php?workbook=16_08.xlsx&amp;sheet=A0&amp;row=681&amp;col=7&amp;number=0&amp;sourceID=14","0")</f>
        <v>0</v>
      </c>
    </row>
    <row r="682" spans="1:7">
      <c r="A682" s="3">
        <v>16</v>
      </c>
      <c r="B682" s="3">
        <v>8</v>
      </c>
      <c r="C682" s="3">
        <v>64</v>
      </c>
      <c r="D682" s="3">
        <v>1</v>
      </c>
      <c r="E682" s="3">
        <v>47.499</v>
      </c>
      <c r="F682" s="4" t="str">
        <f>HYPERLINK("http://141.218.60.56/~jnz1568/getInfo.php?workbook=16_08.xlsx&amp;sheet=A0&amp;row=682&amp;col=6&amp;number=8666000000&amp;sourceID=14","8666000000")</f>
        <v>8666000000</v>
      </c>
      <c r="G682" s="4" t="str">
        <f>HYPERLINK("http://141.218.60.56/~jnz1568/getInfo.php?workbook=16_08.xlsx&amp;sheet=A0&amp;row=682&amp;col=7&amp;number=0&amp;sourceID=14","0")</f>
        <v>0</v>
      </c>
    </row>
    <row r="683" spans="1:7">
      <c r="A683" s="3">
        <v>16</v>
      </c>
      <c r="B683" s="3">
        <v>8</v>
      </c>
      <c r="C683" s="3">
        <v>64</v>
      </c>
      <c r="D683" s="3">
        <v>2</v>
      </c>
      <c r="E683" s="3">
        <v>47.679</v>
      </c>
      <c r="F683" s="4" t="str">
        <f>HYPERLINK("http://141.218.60.56/~jnz1568/getInfo.php?workbook=16_08.xlsx&amp;sheet=A0&amp;row=683&amp;col=6&amp;number=53700000000&amp;sourceID=14","53700000000")</f>
        <v>53700000000</v>
      </c>
      <c r="G683" s="4" t="str">
        <f>HYPERLINK("http://141.218.60.56/~jnz1568/getInfo.php?workbook=16_08.xlsx&amp;sheet=A0&amp;row=683&amp;col=7&amp;number=0&amp;sourceID=14","0")</f>
        <v>0</v>
      </c>
    </row>
    <row r="684" spans="1:7">
      <c r="A684" s="3">
        <v>16</v>
      </c>
      <c r="B684" s="3">
        <v>8</v>
      </c>
      <c r="C684" s="3">
        <v>64</v>
      </c>
      <c r="D684" s="3">
        <v>3</v>
      </c>
      <c r="E684" s="3">
        <v>47.74</v>
      </c>
      <c r="F684" s="4" t="str">
        <f>HYPERLINK("http://141.218.60.56/~jnz1568/getInfo.php?workbook=16_08.xlsx&amp;sheet=A0&amp;row=684&amp;col=6&amp;number=266400000000&amp;sourceID=14","266400000000")</f>
        <v>266400000000</v>
      </c>
      <c r="G684" s="4" t="str">
        <f>HYPERLINK("http://141.218.60.56/~jnz1568/getInfo.php?workbook=16_08.xlsx&amp;sheet=A0&amp;row=684&amp;col=7&amp;number=0&amp;sourceID=14","0")</f>
        <v>0</v>
      </c>
    </row>
    <row r="685" spans="1:7">
      <c r="A685" s="3">
        <v>16</v>
      </c>
      <c r="B685" s="3">
        <v>8</v>
      </c>
      <c r="C685" s="3">
        <v>64</v>
      </c>
      <c r="D685" s="3">
        <v>4</v>
      </c>
      <c r="E685" s="3">
        <v>48.851</v>
      </c>
      <c r="F685" s="4" t="str">
        <f>HYPERLINK("http://141.218.60.56/~jnz1568/getInfo.php?workbook=16_08.xlsx&amp;sheet=A0&amp;row=685&amp;col=6&amp;number=267300000000&amp;sourceID=14","267300000000")</f>
        <v>267300000000</v>
      </c>
      <c r="G685" s="4" t="str">
        <f>HYPERLINK("http://141.218.60.56/~jnz1568/getInfo.php?workbook=16_08.xlsx&amp;sheet=A0&amp;row=685&amp;col=7&amp;number=0&amp;sourceID=14","0")</f>
        <v>0</v>
      </c>
    </row>
    <row r="686" spans="1:7">
      <c r="A686" s="3">
        <v>16</v>
      </c>
      <c r="B686" s="3">
        <v>8</v>
      </c>
      <c r="C686" s="3">
        <v>64</v>
      </c>
      <c r="D686" s="3">
        <v>5</v>
      </c>
      <c r="E686" s="3">
        <v>50.438</v>
      </c>
      <c r="F686" s="4" t="str">
        <f>HYPERLINK("http://141.218.60.56/~jnz1568/getInfo.php?workbook=16_08.xlsx&amp;sheet=A0&amp;row=686&amp;col=6&amp;number=75850000000&amp;sourceID=14","75850000000")</f>
        <v>75850000000</v>
      </c>
      <c r="G686" s="4" t="str">
        <f>HYPERLINK("http://141.218.60.56/~jnz1568/getInfo.php?workbook=16_08.xlsx&amp;sheet=A0&amp;row=686&amp;col=7&amp;number=0&amp;sourceID=14","0")</f>
        <v>0</v>
      </c>
    </row>
    <row r="687" spans="1:7">
      <c r="A687" s="3">
        <v>16</v>
      </c>
      <c r="B687" s="3">
        <v>8</v>
      </c>
      <c r="C687" s="3">
        <v>64</v>
      </c>
      <c r="D687" s="3">
        <v>6</v>
      </c>
      <c r="E687" s="3">
        <v>60.229</v>
      </c>
      <c r="F687" s="4" t="str">
        <f>HYPERLINK("http://141.218.60.56/~jnz1568/getInfo.php?workbook=16_08.xlsx&amp;sheet=A0&amp;row=687&amp;col=6&amp;number=52380&amp;sourceID=14","52380")</f>
        <v>52380</v>
      </c>
      <c r="G687" s="4" t="str">
        <f>HYPERLINK("http://141.218.60.56/~jnz1568/getInfo.php?workbook=16_08.xlsx&amp;sheet=A0&amp;row=687&amp;col=7&amp;number=0&amp;sourceID=14","0")</f>
        <v>0</v>
      </c>
    </row>
    <row r="688" spans="1:7">
      <c r="A688" s="3">
        <v>16</v>
      </c>
      <c r="B688" s="3">
        <v>8</v>
      </c>
      <c r="C688" s="3">
        <v>64</v>
      </c>
      <c r="D688" s="3">
        <v>7</v>
      </c>
      <c r="E688" s="3">
        <v>60.484</v>
      </c>
      <c r="F688" s="4" t="str">
        <f>HYPERLINK("http://141.218.60.56/~jnz1568/getInfo.php?workbook=16_08.xlsx&amp;sheet=A0&amp;row=688&amp;col=6&amp;number=1089&amp;sourceID=14","1089")</f>
        <v>1089</v>
      </c>
      <c r="G688" s="4" t="str">
        <f>HYPERLINK("http://141.218.60.56/~jnz1568/getInfo.php?workbook=16_08.xlsx&amp;sheet=A0&amp;row=688&amp;col=7&amp;number=0&amp;sourceID=14","0")</f>
        <v>0</v>
      </c>
    </row>
    <row r="689" spans="1:7">
      <c r="A689" s="3">
        <v>16</v>
      </c>
      <c r="B689" s="3">
        <v>8</v>
      </c>
      <c r="C689" s="3">
        <v>64</v>
      </c>
      <c r="D689" s="3">
        <v>9</v>
      </c>
      <c r="E689" s="3">
        <v>67.148</v>
      </c>
      <c r="F689" s="4" t="str">
        <f>HYPERLINK("http://141.218.60.56/~jnz1568/getInfo.php?workbook=16_08.xlsx&amp;sheet=A0&amp;row=689&amp;col=6&amp;number=14340&amp;sourceID=14","14340")</f>
        <v>14340</v>
      </c>
      <c r="G689" s="4" t="str">
        <f>HYPERLINK("http://141.218.60.56/~jnz1568/getInfo.php?workbook=16_08.xlsx&amp;sheet=A0&amp;row=689&amp;col=7&amp;number=0&amp;sourceID=14","0")</f>
        <v>0</v>
      </c>
    </row>
    <row r="690" spans="1:7">
      <c r="A690" s="3">
        <v>16</v>
      </c>
      <c r="B690" s="3">
        <v>8</v>
      </c>
      <c r="C690" s="3">
        <v>64</v>
      </c>
      <c r="D690" s="3">
        <v>10</v>
      </c>
      <c r="E690" s="3">
        <v>93.799</v>
      </c>
      <c r="F690" s="4" t="str">
        <f>HYPERLINK("http://141.218.60.56/~jnz1568/getInfo.php?workbook=16_08.xlsx&amp;sheet=A0&amp;row=690&amp;col=6&amp;number=6056000&amp;sourceID=14","6056000")</f>
        <v>6056000</v>
      </c>
      <c r="G690" s="4" t="str">
        <f>HYPERLINK("http://141.218.60.56/~jnz1568/getInfo.php?workbook=16_08.xlsx&amp;sheet=A0&amp;row=690&amp;col=7&amp;number=0&amp;sourceID=14","0")</f>
        <v>0</v>
      </c>
    </row>
    <row r="691" spans="1:7">
      <c r="A691" s="3">
        <v>16</v>
      </c>
      <c r="B691" s="3">
        <v>8</v>
      </c>
      <c r="C691" s="3">
        <v>64</v>
      </c>
      <c r="D691" s="3">
        <v>12</v>
      </c>
      <c r="E691" s="3">
        <v>310.385</v>
      </c>
      <c r="F691" s="4" t="str">
        <f>HYPERLINK("http://141.218.60.56/~jnz1568/getInfo.php?workbook=16_08.xlsx&amp;sheet=A0&amp;row=691&amp;col=6&amp;number=6070&amp;sourceID=14","6070")</f>
        <v>6070</v>
      </c>
      <c r="G691" s="4" t="str">
        <f>HYPERLINK("http://141.218.60.56/~jnz1568/getInfo.php?workbook=16_08.xlsx&amp;sheet=A0&amp;row=691&amp;col=7&amp;number=0&amp;sourceID=14","0")</f>
        <v>0</v>
      </c>
    </row>
    <row r="692" spans="1:7">
      <c r="A692" s="3">
        <v>16</v>
      </c>
      <c r="B692" s="3">
        <v>8</v>
      </c>
      <c r="C692" s="3">
        <v>64</v>
      </c>
      <c r="D692" s="3">
        <v>13</v>
      </c>
      <c r="E692" s="3">
        <v>384.089</v>
      </c>
      <c r="F692" s="4" t="str">
        <f>HYPERLINK("http://141.218.60.56/~jnz1568/getInfo.php?workbook=16_08.xlsx&amp;sheet=A0&amp;row=692&amp;col=6&amp;number=16070&amp;sourceID=14","16070")</f>
        <v>16070</v>
      </c>
      <c r="G692" s="4" t="str">
        <f>HYPERLINK("http://141.218.60.56/~jnz1568/getInfo.php?workbook=16_08.xlsx&amp;sheet=A0&amp;row=692&amp;col=7&amp;number=0&amp;sourceID=14","0")</f>
        <v>0</v>
      </c>
    </row>
    <row r="693" spans="1:7">
      <c r="A693" s="3">
        <v>16</v>
      </c>
      <c r="B693" s="3">
        <v>8</v>
      </c>
      <c r="C693" s="3">
        <v>64</v>
      </c>
      <c r="D693" s="3">
        <v>14</v>
      </c>
      <c r="E693" s="3">
        <v>384.426</v>
      </c>
      <c r="F693" s="4" t="str">
        <f>HYPERLINK("http://141.218.60.56/~jnz1568/getInfo.php?workbook=16_08.xlsx&amp;sheet=A0&amp;row=693&amp;col=6&amp;number=12810&amp;sourceID=14","12810")</f>
        <v>12810</v>
      </c>
      <c r="G693" s="4" t="str">
        <f>HYPERLINK("http://141.218.60.56/~jnz1568/getInfo.php?workbook=16_08.xlsx&amp;sheet=A0&amp;row=693&amp;col=7&amp;number=0&amp;sourceID=14","0")</f>
        <v>0</v>
      </c>
    </row>
    <row r="694" spans="1:7">
      <c r="A694" s="3">
        <v>16</v>
      </c>
      <c r="B694" s="3">
        <v>8</v>
      </c>
      <c r="C694" s="3">
        <v>64</v>
      </c>
      <c r="D694" s="3">
        <v>16</v>
      </c>
      <c r="E694" s="3">
        <v>405.425</v>
      </c>
      <c r="F694" s="4" t="str">
        <f>HYPERLINK("http://141.218.60.56/~jnz1568/getInfo.php?workbook=16_08.xlsx&amp;sheet=A0&amp;row=694&amp;col=6&amp;number=16390&amp;sourceID=14","16390")</f>
        <v>16390</v>
      </c>
      <c r="G694" s="4" t="str">
        <f>HYPERLINK("http://141.218.60.56/~jnz1568/getInfo.php?workbook=16_08.xlsx&amp;sheet=A0&amp;row=694&amp;col=7&amp;number=0&amp;sourceID=14","0")</f>
        <v>0</v>
      </c>
    </row>
    <row r="695" spans="1:7">
      <c r="A695" s="3">
        <v>16</v>
      </c>
      <c r="B695" s="3">
        <v>8</v>
      </c>
      <c r="C695" s="3">
        <v>64</v>
      </c>
      <c r="D695" s="3">
        <v>17</v>
      </c>
      <c r="E695" s="3">
        <v>421.056</v>
      </c>
      <c r="F695" s="4" t="str">
        <f>HYPERLINK("http://141.218.60.56/~jnz1568/getInfo.php?workbook=16_08.xlsx&amp;sheet=A0&amp;row=695&amp;col=6&amp;number=245500&amp;sourceID=14","245500")</f>
        <v>245500</v>
      </c>
      <c r="G695" s="4" t="str">
        <f>HYPERLINK("http://141.218.60.56/~jnz1568/getInfo.php?workbook=16_08.xlsx&amp;sheet=A0&amp;row=695&amp;col=7&amp;number=0&amp;sourceID=14","0")</f>
        <v>0</v>
      </c>
    </row>
    <row r="696" spans="1:7">
      <c r="A696" s="3">
        <v>16</v>
      </c>
      <c r="B696" s="3">
        <v>8</v>
      </c>
      <c r="C696" s="3">
        <v>64</v>
      </c>
      <c r="D696" s="3">
        <v>18</v>
      </c>
      <c r="E696" s="3">
        <v>422.174</v>
      </c>
      <c r="F696" s="4" t="str">
        <f>HYPERLINK("http://141.218.60.56/~jnz1568/getInfo.php?workbook=16_08.xlsx&amp;sheet=A0&amp;row=696&amp;col=6&amp;number=139100&amp;sourceID=14","139100")</f>
        <v>139100</v>
      </c>
      <c r="G696" s="4" t="str">
        <f>HYPERLINK("http://141.218.60.56/~jnz1568/getInfo.php?workbook=16_08.xlsx&amp;sheet=A0&amp;row=696&amp;col=7&amp;number=0&amp;sourceID=14","0")</f>
        <v>0</v>
      </c>
    </row>
    <row r="697" spans="1:7">
      <c r="A697" s="3">
        <v>16</v>
      </c>
      <c r="B697" s="3">
        <v>8</v>
      </c>
      <c r="C697" s="3">
        <v>64</v>
      </c>
      <c r="D697" s="3">
        <v>20</v>
      </c>
      <c r="E697" s="3">
        <v>470.517</v>
      </c>
      <c r="F697" s="4" t="str">
        <f>HYPERLINK("http://141.218.60.56/~jnz1568/getInfo.php?workbook=16_08.xlsx&amp;sheet=A0&amp;row=697&amp;col=6&amp;number=46810000&amp;sourceID=14","46810000")</f>
        <v>46810000</v>
      </c>
      <c r="G697" s="4" t="str">
        <f>HYPERLINK("http://141.218.60.56/~jnz1568/getInfo.php?workbook=16_08.xlsx&amp;sheet=A0&amp;row=697&amp;col=7&amp;number=0&amp;sourceID=14","0")</f>
        <v>0</v>
      </c>
    </row>
    <row r="698" spans="1:7">
      <c r="A698" s="3">
        <v>16</v>
      </c>
      <c r="B698" s="3">
        <v>8</v>
      </c>
      <c r="C698" s="3">
        <v>64</v>
      </c>
      <c r="D698" s="3">
        <v>21</v>
      </c>
      <c r="E698" s="3">
        <v>471.349</v>
      </c>
      <c r="F698" s="4" t="str">
        <f>HYPERLINK("http://141.218.60.56/~jnz1568/getInfo.php?workbook=16_08.xlsx&amp;sheet=A0&amp;row=698&amp;col=6&amp;number=19550000&amp;sourceID=14","19550000")</f>
        <v>19550000</v>
      </c>
      <c r="G698" s="4" t="str">
        <f>HYPERLINK("http://141.218.60.56/~jnz1568/getInfo.php?workbook=16_08.xlsx&amp;sheet=A0&amp;row=698&amp;col=7&amp;number=0&amp;sourceID=14","0")</f>
        <v>0</v>
      </c>
    </row>
    <row r="699" spans="1:7">
      <c r="A699" s="3">
        <v>16</v>
      </c>
      <c r="B699" s="3">
        <v>8</v>
      </c>
      <c r="C699" s="3">
        <v>64</v>
      </c>
      <c r="D699" s="3">
        <v>22</v>
      </c>
      <c r="E699" s="3">
        <v>-467.145</v>
      </c>
      <c r="F699" s="4" t="str">
        <f>HYPERLINK("http://141.218.60.56/~jnz1568/getInfo.php?workbook=16_08.xlsx&amp;sheet=A0&amp;row=699&amp;col=6&amp;number=1375000&amp;sourceID=14","1375000")</f>
        <v>1375000</v>
      </c>
      <c r="G699" s="4" t="str">
        <f>HYPERLINK("http://141.218.60.56/~jnz1568/getInfo.php?workbook=16_08.xlsx&amp;sheet=A0&amp;row=699&amp;col=7&amp;number=0&amp;sourceID=14","0")</f>
        <v>0</v>
      </c>
    </row>
    <row r="700" spans="1:7">
      <c r="A700" s="3">
        <v>16</v>
      </c>
      <c r="B700" s="3">
        <v>8</v>
      </c>
      <c r="C700" s="3">
        <v>64</v>
      </c>
      <c r="D700" s="3">
        <v>27</v>
      </c>
      <c r="E700" s="3">
        <v>-632.916</v>
      </c>
      <c r="F700" s="4" t="str">
        <f>HYPERLINK("http://141.218.60.56/~jnz1568/getInfo.php?workbook=16_08.xlsx&amp;sheet=A0&amp;row=700&amp;col=6&amp;number=235100000&amp;sourceID=14","235100000")</f>
        <v>235100000</v>
      </c>
      <c r="G700" s="4" t="str">
        <f>HYPERLINK("http://141.218.60.56/~jnz1568/getInfo.php?workbook=16_08.xlsx&amp;sheet=A0&amp;row=700&amp;col=7&amp;number=0&amp;sourceID=14","0")</f>
        <v>0</v>
      </c>
    </row>
    <row r="701" spans="1:7">
      <c r="A701" s="3">
        <v>16</v>
      </c>
      <c r="B701" s="3">
        <v>8</v>
      </c>
      <c r="C701" s="3">
        <v>64</v>
      </c>
      <c r="D701" s="3">
        <v>28</v>
      </c>
      <c r="E701" s="3">
        <v>640.418</v>
      </c>
      <c r="F701" s="4" t="str">
        <f>HYPERLINK("http://141.218.60.56/~jnz1568/getInfo.php?workbook=16_08.xlsx&amp;sheet=A0&amp;row=701&amp;col=6&amp;number=10130000&amp;sourceID=14","10130000")</f>
        <v>10130000</v>
      </c>
      <c r="G701" s="4" t="str">
        <f>HYPERLINK("http://141.218.60.56/~jnz1568/getInfo.php?workbook=16_08.xlsx&amp;sheet=A0&amp;row=701&amp;col=7&amp;number=0&amp;sourceID=14","0")</f>
        <v>0</v>
      </c>
    </row>
    <row r="702" spans="1:7">
      <c r="A702" s="3">
        <v>16</v>
      </c>
      <c r="B702" s="3">
        <v>8</v>
      </c>
      <c r="C702" s="3">
        <v>64</v>
      </c>
      <c r="D702" s="3">
        <v>30</v>
      </c>
      <c r="E702" s="3">
        <v>-610.625</v>
      </c>
      <c r="F702" s="4" t="str">
        <f>HYPERLINK("http://141.218.60.56/~jnz1568/getInfo.php?workbook=16_08.xlsx&amp;sheet=A0&amp;row=702&amp;col=6&amp;number=1955000000&amp;sourceID=14","1955000000")</f>
        <v>1955000000</v>
      </c>
      <c r="G702" s="4" t="str">
        <f>HYPERLINK("http://141.218.60.56/~jnz1568/getInfo.php?workbook=16_08.xlsx&amp;sheet=A0&amp;row=702&amp;col=7&amp;number=0&amp;sourceID=14","0")</f>
        <v>0</v>
      </c>
    </row>
    <row r="703" spans="1:7">
      <c r="A703" s="3">
        <v>16</v>
      </c>
      <c r="B703" s="3">
        <v>8</v>
      </c>
      <c r="C703" s="3">
        <v>64</v>
      </c>
      <c r="D703" s="3">
        <v>31</v>
      </c>
      <c r="E703" s="3">
        <v>676.201</v>
      </c>
      <c r="F703" s="4" t="str">
        <f>HYPERLINK("http://141.218.60.56/~jnz1568/getInfo.php?workbook=16_08.xlsx&amp;sheet=A0&amp;row=703&amp;col=6&amp;number=71910000&amp;sourceID=14","71910000")</f>
        <v>71910000</v>
      </c>
      <c r="G703" s="4" t="str">
        <f>HYPERLINK("http://141.218.60.56/~jnz1568/getInfo.php?workbook=16_08.xlsx&amp;sheet=A0&amp;row=703&amp;col=7&amp;number=0&amp;sourceID=14","0")</f>
        <v>0</v>
      </c>
    </row>
    <row r="704" spans="1:7">
      <c r="A704" s="3">
        <v>16</v>
      </c>
      <c r="B704" s="3">
        <v>8</v>
      </c>
      <c r="C704" s="3">
        <v>64</v>
      </c>
      <c r="D704" s="3">
        <v>35</v>
      </c>
      <c r="E704" s="3">
        <v>-878.855</v>
      </c>
      <c r="F704" s="4" t="str">
        <f>HYPERLINK("http://141.218.60.56/~jnz1568/getInfo.php?workbook=16_08.xlsx&amp;sheet=A0&amp;row=704&amp;col=6&amp;number=173800000&amp;sourceID=14","173800000")</f>
        <v>173800000</v>
      </c>
      <c r="G704" s="4" t="str">
        <f>HYPERLINK("http://141.218.60.56/~jnz1568/getInfo.php?workbook=16_08.xlsx&amp;sheet=A0&amp;row=704&amp;col=7&amp;number=0&amp;sourceID=14","0")</f>
        <v>0</v>
      </c>
    </row>
    <row r="705" spans="1:7">
      <c r="A705" s="3">
        <v>16</v>
      </c>
      <c r="B705" s="3">
        <v>8</v>
      </c>
      <c r="C705" s="3">
        <v>64</v>
      </c>
      <c r="D705" s="3">
        <v>36</v>
      </c>
      <c r="E705" s="3">
        <v>884.033</v>
      </c>
      <c r="F705" s="4" t="str">
        <f>HYPERLINK("http://141.218.60.56/~jnz1568/getInfo.php?workbook=16_08.xlsx&amp;sheet=A0&amp;row=705&amp;col=6&amp;number=43200000&amp;sourceID=14","43200000")</f>
        <v>43200000</v>
      </c>
      <c r="G705" s="4" t="str">
        <f>HYPERLINK("http://141.218.60.56/~jnz1568/getInfo.php?workbook=16_08.xlsx&amp;sheet=A0&amp;row=705&amp;col=7&amp;number=0&amp;sourceID=14","0")</f>
        <v>0</v>
      </c>
    </row>
    <row r="706" spans="1:7">
      <c r="A706" s="3">
        <v>16</v>
      </c>
      <c r="B706" s="3">
        <v>8</v>
      </c>
      <c r="C706" s="3">
        <v>64</v>
      </c>
      <c r="D706" s="3">
        <v>37</v>
      </c>
      <c r="E706" s="3">
        <v>872.037</v>
      </c>
      <c r="F706" s="4" t="str">
        <f>HYPERLINK("http://141.218.60.56/~jnz1568/getInfo.php?workbook=16_08.xlsx&amp;sheet=A0&amp;row=706&amp;col=6&amp;number=5610000&amp;sourceID=14","5610000")</f>
        <v>5610000</v>
      </c>
      <c r="G706" s="4" t="str">
        <f>HYPERLINK("http://141.218.60.56/~jnz1568/getInfo.php?workbook=16_08.xlsx&amp;sheet=A0&amp;row=706&amp;col=7&amp;number=0&amp;sourceID=14","0")</f>
        <v>0</v>
      </c>
    </row>
    <row r="707" spans="1:7">
      <c r="A707" s="3">
        <v>16</v>
      </c>
      <c r="B707" s="3">
        <v>8</v>
      </c>
      <c r="C707" s="3">
        <v>64</v>
      </c>
      <c r="D707" s="3">
        <v>43</v>
      </c>
      <c r="E707" s="3">
        <v>-833.15</v>
      </c>
      <c r="F707" s="4" t="str">
        <f>HYPERLINK("http://141.218.60.56/~jnz1568/getInfo.php?workbook=16_08.xlsx&amp;sheet=A0&amp;row=707&amp;col=6&amp;number=48520000&amp;sourceID=14","48520000")</f>
        <v>48520000</v>
      </c>
      <c r="G707" s="4" t="str">
        <f>HYPERLINK("http://141.218.60.56/~jnz1568/getInfo.php?workbook=16_08.xlsx&amp;sheet=A0&amp;row=707&amp;col=7&amp;number=0&amp;sourceID=14","0")</f>
        <v>0</v>
      </c>
    </row>
    <row r="708" spans="1:7">
      <c r="A708" s="3">
        <v>16</v>
      </c>
      <c r="B708" s="3">
        <v>8</v>
      </c>
      <c r="C708" s="3">
        <v>64</v>
      </c>
      <c r="D708" s="3">
        <v>44</v>
      </c>
      <c r="E708" s="3">
        <v>884.033</v>
      </c>
      <c r="F708" s="4" t="str">
        <f>HYPERLINK("http://141.218.60.56/~jnz1568/getInfo.php?workbook=16_08.xlsx&amp;sheet=A0&amp;row=708&amp;col=6&amp;number=3735000&amp;sourceID=14","3735000")</f>
        <v>3735000</v>
      </c>
      <c r="G708" s="4" t="str">
        <f>HYPERLINK("http://141.218.60.56/~jnz1568/getInfo.php?workbook=16_08.xlsx&amp;sheet=A0&amp;row=708&amp;col=7&amp;number=0&amp;sourceID=14","0")</f>
        <v>0</v>
      </c>
    </row>
    <row r="709" spans="1:7">
      <c r="A709" s="3">
        <v>16</v>
      </c>
      <c r="B709" s="3">
        <v>8</v>
      </c>
      <c r="C709" s="3">
        <v>64</v>
      </c>
      <c r="D709" s="3">
        <v>45</v>
      </c>
      <c r="E709" s="3">
        <v>-925.343</v>
      </c>
      <c r="F709" s="4" t="str">
        <f>HYPERLINK("http://141.218.60.56/~jnz1568/getInfo.php?workbook=16_08.xlsx&amp;sheet=A0&amp;row=709&amp;col=6&amp;number=1641000&amp;sourceID=14","1641000")</f>
        <v>1641000</v>
      </c>
      <c r="G709" s="4" t="str">
        <f>HYPERLINK("http://141.218.60.56/~jnz1568/getInfo.php?workbook=16_08.xlsx&amp;sheet=A0&amp;row=709&amp;col=7&amp;number=0&amp;sourceID=14","0")</f>
        <v>0</v>
      </c>
    </row>
    <row r="710" spans="1:7">
      <c r="A710" s="3">
        <v>16</v>
      </c>
      <c r="B710" s="3">
        <v>8</v>
      </c>
      <c r="C710" s="3">
        <v>64</v>
      </c>
      <c r="D710" s="3">
        <v>47</v>
      </c>
      <c r="E710" s="3">
        <v>-999.616</v>
      </c>
      <c r="F710" s="4" t="str">
        <f>HYPERLINK("http://141.218.60.56/~jnz1568/getInfo.php?workbook=16_08.xlsx&amp;sheet=A0&amp;row=710&amp;col=6&amp;number=63800000&amp;sourceID=14","63800000")</f>
        <v>63800000</v>
      </c>
      <c r="G710" s="4" t="str">
        <f>HYPERLINK("http://141.218.60.56/~jnz1568/getInfo.php?workbook=16_08.xlsx&amp;sheet=A0&amp;row=710&amp;col=7&amp;number=0&amp;sourceID=14","0")</f>
        <v>0</v>
      </c>
    </row>
    <row r="711" spans="1:7">
      <c r="A711" s="3">
        <v>16</v>
      </c>
      <c r="B711" s="3">
        <v>8</v>
      </c>
      <c r="C711" s="3">
        <v>64</v>
      </c>
      <c r="D711" s="3">
        <v>48</v>
      </c>
      <c r="E711" s="3">
        <v>-1024.99</v>
      </c>
      <c r="F711" s="4" t="str">
        <f>HYPERLINK("http://141.218.60.56/~jnz1568/getInfo.php?workbook=16_08.xlsx&amp;sheet=A0&amp;row=711&amp;col=6&amp;number=18500000&amp;sourceID=14","18500000")</f>
        <v>18500000</v>
      </c>
      <c r="G711" s="4" t="str">
        <f>HYPERLINK("http://141.218.60.56/~jnz1568/getInfo.php?workbook=16_08.xlsx&amp;sheet=A0&amp;row=711&amp;col=7&amp;number=0&amp;sourceID=14","0")</f>
        <v>0</v>
      </c>
    </row>
    <row r="712" spans="1:7">
      <c r="A712" s="3">
        <v>16</v>
      </c>
      <c r="B712" s="3">
        <v>8</v>
      </c>
      <c r="C712" s="3">
        <v>64</v>
      </c>
      <c r="D712" s="3">
        <v>52</v>
      </c>
      <c r="E712" s="3">
        <v>-1121.802</v>
      </c>
      <c r="F712" s="4" t="str">
        <f>HYPERLINK("http://141.218.60.56/~jnz1568/getInfo.php?workbook=16_08.xlsx&amp;sheet=A0&amp;row=712&amp;col=6&amp;number=38840&amp;sourceID=14","38840")</f>
        <v>38840</v>
      </c>
      <c r="G712" s="4" t="str">
        <f>HYPERLINK("http://141.218.60.56/~jnz1568/getInfo.php?workbook=16_08.xlsx&amp;sheet=A0&amp;row=712&amp;col=7&amp;number=0&amp;sourceID=14","0")</f>
        <v>0</v>
      </c>
    </row>
    <row r="713" spans="1:7">
      <c r="A713" s="3">
        <v>16</v>
      </c>
      <c r="B713" s="3">
        <v>8</v>
      </c>
      <c r="C713" s="3">
        <v>64</v>
      </c>
      <c r="D713" s="3">
        <v>53</v>
      </c>
      <c r="E713" s="3">
        <v>-1150.107</v>
      </c>
      <c r="F713" s="4" t="str">
        <f>HYPERLINK("http://141.218.60.56/~jnz1568/getInfo.php?workbook=16_08.xlsx&amp;sheet=A0&amp;row=713&amp;col=6&amp;number=526800&amp;sourceID=14","526800")</f>
        <v>526800</v>
      </c>
      <c r="G713" s="4" t="str">
        <f>HYPERLINK("http://141.218.60.56/~jnz1568/getInfo.php?workbook=16_08.xlsx&amp;sheet=A0&amp;row=713&amp;col=7&amp;number=0&amp;sourceID=14","0")</f>
        <v>0</v>
      </c>
    </row>
    <row r="714" spans="1:7">
      <c r="A714" s="3">
        <v>16</v>
      </c>
      <c r="B714" s="3">
        <v>8</v>
      </c>
      <c r="C714" s="3">
        <v>64</v>
      </c>
      <c r="D714" s="3">
        <v>54</v>
      </c>
      <c r="E714" s="3">
        <v>-1165.085</v>
      </c>
      <c r="F714" s="4" t="str">
        <f>HYPERLINK("http://141.218.60.56/~jnz1568/getInfo.php?workbook=16_08.xlsx&amp;sheet=A0&amp;row=714&amp;col=6&amp;number=5465000&amp;sourceID=14","5465000")</f>
        <v>5465000</v>
      </c>
      <c r="G714" s="4" t="str">
        <f>HYPERLINK("http://141.218.60.56/~jnz1568/getInfo.php?workbook=16_08.xlsx&amp;sheet=A0&amp;row=714&amp;col=7&amp;number=0&amp;sourceID=14","0")</f>
        <v>0</v>
      </c>
    </row>
    <row r="715" spans="1:7">
      <c r="A715" s="3">
        <v>16</v>
      </c>
      <c r="B715" s="3">
        <v>8</v>
      </c>
      <c r="C715" s="3">
        <v>64</v>
      </c>
      <c r="D715" s="3">
        <v>55</v>
      </c>
      <c r="E715" s="3">
        <v>-1649.051</v>
      </c>
      <c r="F715" s="4" t="str">
        <f>HYPERLINK("http://141.218.60.56/~jnz1568/getInfo.php?workbook=16_08.xlsx&amp;sheet=A0&amp;row=715&amp;col=6&amp;number=5188000&amp;sourceID=14","5188000")</f>
        <v>5188000</v>
      </c>
      <c r="G715" s="4" t="str">
        <f>HYPERLINK("http://141.218.60.56/~jnz1568/getInfo.php?workbook=16_08.xlsx&amp;sheet=A0&amp;row=715&amp;col=7&amp;number=0&amp;sourceID=14","0")</f>
        <v>0</v>
      </c>
    </row>
    <row r="716" spans="1:7">
      <c r="A716" s="3">
        <v>16</v>
      </c>
      <c r="B716" s="3">
        <v>8</v>
      </c>
      <c r="C716" s="3">
        <v>65</v>
      </c>
      <c r="D716" s="3">
        <v>1</v>
      </c>
      <c r="E716" s="3">
        <v>47.436</v>
      </c>
      <c r="F716" s="4" t="str">
        <f>HYPERLINK("http://141.218.60.56/~jnz1568/getInfo.php?workbook=16_08.xlsx&amp;sheet=A0&amp;row=716&amp;col=6&amp;number=73560000000&amp;sourceID=14","73560000000")</f>
        <v>73560000000</v>
      </c>
      <c r="G716" s="4" t="str">
        <f>HYPERLINK("http://141.218.60.56/~jnz1568/getInfo.php?workbook=16_08.xlsx&amp;sheet=A0&amp;row=716&amp;col=7&amp;number=0&amp;sourceID=14","0")</f>
        <v>0</v>
      </c>
    </row>
    <row r="717" spans="1:7">
      <c r="A717" s="3">
        <v>16</v>
      </c>
      <c r="B717" s="3">
        <v>8</v>
      </c>
      <c r="C717" s="3">
        <v>65</v>
      </c>
      <c r="D717" s="3">
        <v>2</v>
      </c>
      <c r="E717" s="3">
        <v>47.616</v>
      </c>
      <c r="F717" s="4" t="str">
        <f>HYPERLINK("http://141.218.60.56/~jnz1568/getInfo.php?workbook=16_08.xlsx&amp;sheet=A0&amp;row=717&amp;col=6&amp;number=689400000000&amp;sourceID=14","689400000000")</f>
        <v>689400000000</v>
      </c>
      <c r="G717" s="4" t="str">
        <f>HYPERLINK("http://141.218.60.56/~jnz1568/getInfo.php?workbook=16_08.xlsx&amp;sheet=A0&amp;row=717&amp;col=7&amp;number=0&amp;sourceID=14","0")</f>
        <v>0</v>
      </c>
    </row>
    <row r="718" spans="1:7">
      <c r="A718" s="3">
        <v>16</v>
      </c>
      <c r="B718" s="3">
        <v>8</v>
      </c>
      <c r="C718" s="3">
        <v>65</v>
      </c>
      <c r="D718" s="3">
        <v>4</v>
      </c>
      <c r="E718" s="3">
        <v>48.785</v>
      </c>
      <c r="F718" s="4" t="str">
        <f>HYPERLINK("http://141.218.60.56/~jnz1568/getInfo.php?workbook=16_08.xlsx&amp;sheet=A0&amp;row=718&amp;col=6&amp;number=360900000&amp;sourceID=14","360900000")</f>
        <v>360900000</v>
      </c>
      <c r="G718" s="4" t="str">
        <f>HYPERLINK("http://141.218.60.56/~jnz1568/getInfo.php?workbook=16_08.xlsx&amp;sheet=A0&amp;row=718&amp;col=7&amp;number=0&amp;sourceID=14","0")</f>
        <v>0</v>
      </c>
    </row>
    <row r="719" spans="1:7">
      <c r="A719" s="3">
        <v>16</v>
      </c>
      <c r="B719" s="3">
        <v>8</v>
      </c>
      <c r="C719" s="3">
        <v>65</v>
      </c>
      <c r="D719" s="3">
        <v>6</v>
      </c>
      <c r="E719" s="3">
        <v>60.128</v>
      </c>
      <c r="F719" s="4" t="str">
        <f>HYPERLINK("http://141.218.60.56/~jnz1568/getInfo.php?workbook=16_08.xlsx&amp;sheet=A0&amp;row=719&amp;col=6&amp;number=19660&amp;sourceID=14","19660")</f>
        <v>19660</v>
      </c>
      <c r="G719" s="4" t="str">
        <f>HYPERLINK("http://141.218.60.56/~jnz1568/getInfo.php?workbook=16_08.xlsx&amp;sheet=A0&amp;row=719&amp;col=7&amp;number=0&amp;sourceID=14","0")</f>
        <v>0</v>
      </c>
    </row>
    <row r="720" spans="1:7">
      <c r="A720" s="3">
        <v>16</v>
      </c>
      <c r="B720" s="3">
        <v>8</v>
      </c>
      <c r="C720" s="3">
        <v>65</v>
      </c>
      <c r="D720" s="3">
        <v>7</v>
      </c>
      <c r="E720" s="3">
        <v>60.382</v>
      </c>
      <c r="F720" s="4" t="str">
        <f>HYPERLINK("http://141.218.60.56/~jnz1568/getInfo.php?workbook=16_08.xlsx&amp;sheet=A0&amp;row=720&amp;col=6&amp;number=4733&amp;sourceID=14","4733")</f>
        <v>4733</v>
      </c>
      <c r="G720" s="4" t="str">
        <f>HYPERLINK("http://141.218.60.56/~jnz1568/getInfo.php?workbook=16_08.xlsx&amp;sheet=A0&amp;row=720&amp;col=7&amp;number=0&amp;sourceID=14","0")</f>
        <v>0</v>
      </c>
    </row>
    <row r="721" spans="1:7">
      <c r="A721" s="3">
        <v>16</v>
      </c>
      <c r="B721" s="3">
        <v>8</v>
      </c>
      <c r="C721" s="3">
        <v>65</v>
      </c>
      <c r="D721" s="3">
        <v>9</v>
      </c>
      <c r="E721" s="3">
        <v>67.022</v>
      </c>
      <c r="F721" s="4" t="str">
        <f>HYPERLINK("http://141.218.60.56/~jnz1568/getInfo.php?workbook=16_08.xlsx&amp;sheet=A0&amp;row=721&amp;col=6&amp;number=1367&amp;sourceID=14","1367")</f>
        <v>1367</v>
      </c>
      <c r="G721" s="4" t="str">
        <f>HYPERLINK("http://141.218.60.56/~jnz1568/getInfo.php?workbook=16_08.xlsx&amp;sheet=A0&amp;row=721&amp;col=7&amp;number=0&amp;sourceID=14","0")</f>
        <v>0</v>
      </c>
    </row>
    <row r="722" spans="1:7">
      <c r="A722" s="3">
        <v>16</v>
      </c>
      <c r="B722" s="3">
        <v>8</v>
      </c>
      <c r="C722" s="3">
        <v>65</v>
      </c>
      <c r="D722" s="3">
        <v>12</v>
      </c>
      <c r="E722" s="3">
        <v>307.719</v>
      </c>
      <c r="F722" s="4" t="str">
        <f>HYPERLINK("http://141.218.60.56/~jnz1568/getInfo.php?workbook=16_08.xlsx&amp;sheet=A0&amp;row=722&amp;col=6&amp;number=14750&amp;sourceID=14","14750")</f>
        <v>14750</v>
      </c>
      <c r="G722" s="4" t="str">
        <f>HYPERLINK("http://141.218.60.56/~jnz1568/getInfo.php?workbook=16_08.xlsx&amp;sheet=A0&amp;row=722&amp;col=7&amp;number=0&amp;sourceID=14","0")</f>
        <v>0</v>
      </c>
    </row>
    <row r="723" spans="1:7">
      <c r="A723" s="3">
        <v>16</v>
      </c>
      <c r="B723" s="3">
        <v>8</v>
      </c>
      <c r="C723" s="3">
        <v>65</v>
      </c>
      <c r="D723" s="3">
        <v>13</v>
      </c>
      <c r="E723" s="3">
        <v>380.016</v>
      </c>
      <c r="F723" s="4" t="str">
        <f>HYPERLINK("http://141.218.60.56/~jnz1568/getInfo.php?workbook=16_08.xlsx&amp;sheet=A0&amp;row=723&amp;col=6&amp;number=16830&amp;sourceID=14","16830")</f>
        <v>16830</v>
      </c>
      <c r="G723" s="4" t="str">
        <f>HYPERLINK("http://141.218.60.56/~jnz1568/getInfo.php?workbook=16_08.xlsx&amp;sheet=A0&amp;row=723&amp;col=7&amp;number=0&amp;sourceID=14","0")</f>
        <v>0</v>
      </c>
    </row>
    <row r="724" spans="1:7">
      <c r="A724" s="3">
        <v>16</v>
      </c>
      <c r="B724" s="3">
        <v>8</v>
      </c>
      <c r="C724" s="3">
        <v>65</v>
      </c>
      <c r="D724" s="3">
        <v>14</v>
      </c>
      <c r="E724" s="3">
        <v>380.345</v>
      </c>
      <c r="F724" s="4" t="str">
        <f>HYPERLINK("http://141.218.60.56/~jnz1568/getInfo.php?workbook=16_08.xlsx&amp;sheet=A0&amp;row=724&amp;col=6&amp;number=19940&amp;sourceID=14","19940")</f>
        <v>19940</v>
      </c>
      <c r="G724" s="4" t="str">
        <f>HYPERLINK("http://141.218.60.56/~jnz1568/getInfo.php?workbook=16_08.xlsx&amp;sheet=A0&amp;row=724&amp;col=7&amp;number=0&amp;sourceID=14","0")</f>
        <v>0</v>
      </c>
    </row>
    <row r="725" spans="1:7">
      <c r="A725" s="3">
        <v>16</v>
      </c>
      <c r="B725" s="3">
        <v>8</v>
      </c>
      <c r="C725" s="3">
        <v>65</v>
      </c>
      <c r="D725" s="3">
        <v>15</v>
      </c>
      <c r="E725" s="3">
        <v>381.292</v>
      </c>
      <c r="F725" s="4" t="str">
        <f>HYPERLINK("http://141.218.60.56/~jnz1568/getInfo.php?workbook=16_08.xlsx&amp;sheet=A0&amp;row=725&amp;col=6&amp;number=14300&amp;sourceID=14","14300")</f>
        <v>14300</v>
      </c>
      <c r="G725" s="4" t="str">
        <f>HYPERLINK("http://141.218.60.56/~jnz1568/getInfo.php?workbook=16_08.xlsx&amp;sheet=A0&amp;row=725&amp;col=7&amp;number=0&amp;sourceID=14","0")</f>
        <v>0</v>
      </c>
    </row>
    <row r="726" spans="1:7">
      <c r="A726" s="3">
        <v>16</v>
      </c>
      <c r="B726" s="3">
        <v>8</v>
      </c>
      <c r="C726" s="3">
        <v>65</v>
      </c>
      <c r="D726" s="3">
        <v>17</v>
      </c>
      <c r="E726" s="3">
        <v>416.166</v>
      </c>
      <c r="F726" s="4" t="str">
        <f>HYPERLINK("http://141.218.60.56/~jnz1568/getInfo.php?workbook=16_08.xlsx&amp;sheet=A0&amp;row=726&amp;col=6&amp;number=98040&amp;sourceID=14","98040")</f>
        <v>98040</v>
      </c>
      <c r="G726" s="4" t="str">
        <f>HYPERLINK("http://141.218.60.56/~jnz1568/getInfo.php?workbook=16_08.xlsx&amp;sheet=A0&amp;row=726&amp;col=7&amp;number=0&amp;sourceID=14","0")</f>
        <v>0</v>
      </c>
    </row>
    <row r="727" spans="1:7">
      <c r="A727" s="3">
        <v>16</v>
      </c>
      <c r="B727" s="3">
        <v>8</v>
      </c>
      <c r="C727" s="3">
        <v>65</v>
      </c>
      <c r="D727" s="3">
        <v>18</v>
      </c>
      <c r="E727" s="3">
        <v>417.258</v>
      </c>
      <c r="F727" s="4" t="str">
        <f>HYPERLINK("http://141.218.60.56/~jnz1568/getInfo.php?workbook=16_08.xlsx&amp;sheet=A0&amp;row=727&amp;col=6&amp;number=821400&amp;sourceID=14","821400")</f>
        <v>821400</v>
      </c>
      <c r="G727" s="4" t="str">
        <f>HYPERLINK("http://141.218.60.56/~jnz1568/getInfo.php?workbook=16_08.xlsx&amp;sheet=A0&amp;row=727&amp;col=7&amp;number=0&amp;sourceID=14","0")</f>
        <v>0</v>
      </c>
    </row>
    <row r="728" spans="1:7">
      <c r="A728" s="3">
        <v>16</v>
      </c>
      <c r="B728" s="3">
        <v>8</v>
      </c>
      <c r="C728" s="3">
        <v>65</v>
      </c>
      <c r="D728" s="3">
        <v>19</v>
      </c>
      <c r="E728" s="3">
        <v>419.402</v>
      </c>
      <c r="F728" s="4" t="str">
        <f>HYPERLINK("http://141.218.60.56/~jnz1568/getInfo.php?workbook=16_08.xlsx&amp;sheet=A0&amp;row=728&amp;col=6&amp;number=95610&amp;sourceID=14","95610")</f>
        <v>95610</v>
      </c>
      <c r="G728" s="4" t="str">
        <f>HYPERLINK("http://141.218.60.56/~jnz1568/getInfo.php?workbook=16_08.xlsx&amp;sheet=A0&amp;row=728&amp;col=7&amp;number=0&amp;sourceID=14","0")</f>
        <v>0</v>
      </c>
    </row>
    <row r="729" spans="1:7">
      <c r="A729" s="3">
        <v>16</v>
      </c>
      <c r="B729" s="3">
        <v>8</v>
      </c>
      <c r="C729" s="3">
        <v>65</v>
      </c>
      <c r="D729" s="3">
        <v>20</v>
      </c>
      <c r="E729" s="3">
        <v>464.419</v>
      </c>
      <c r="F729" s="4" t="str">
        <f>HYPERLINK("http://141.218.60.56/~jnz1568/getInfo.php?workbook=16_08.xlsx&amp;sheet=A0&amp;row=729&amp;col=6&amp;number=17380000&amp;sourceID=14","17380000")</f>
        <v>17380000</v>
      </c>
      <c r="G729" s="4" t="str">
        <f>HYPERLINK("http://141.218.60.56/~jnz1568/getInfo.php?workbook=16_08.xlsx&amp;sheet=A0&amp;row=729&amp;col=7&amp;number=0&amp;sourceID=14","0")</f>
        <v>0</v>
      </c>
    </row>
    <row r="730" spans="1:7">
      <c r="A730" s="3">
        <v>16</v>
      </c>
      <c r="B730" s="3">
        <v>8</v>
      </c>
      <c r="C730" s="3">
        <v>65</v>
      </c>
      <c r="D730" s="3">
        <v>21</v>
      </c>
      <c r="E730" s="3">
        <v>465.229</v>
      </c>
      <c r="F730" s="4" t="str">
        <f>HYPERLINK("http://141.218.60.56/~jnz1568/getInfo.php?workbook=16_08.xlsx&amp;sheet=A0&amp;row=730&amp;col=6&amp;number=65460000&amp;sourceID=14","65460000")</f>
        <v>65460000</v>
      </c>
      <c r="G730" s="4" t="str">
        <f>HYPERLINK("http://141.218.60.56/~jnz1568/getInfo.php?workbook=16_08.xlsx&amp;sheet=A0&amp;row=730&amp;col=7&amp;number=0&amp;sourceID=14","0")</f>
        <v>0</v>
      </c>
    </row>
    <row r="731" spans="1:7">
      <c r="A731" s="3">
        <v>16</v>
      </c>
      <c r="B731" s="3">
        <v>8</v>
      </c>
      <c r="C731" s="3">
        <v>65</v>
      </c>
      <c r="D731" s="3">
        <v>27</v>
      </c>
      <c r="E731" s="3">
        <v>-619.605</v>
      </c>
      <c r="F731" s="4" t="str">
        <f>HYPERLINK("http://141.218.60.56/~jnz1568/getInfo.php?workbook=16_08.xlsx&amp;sheet=A0&amp;row=731&amp;col=6&amp;number=1283000000&amp;sourceID=14","1283000000")</f>
        <v>1283000000</v>
      </c>
      <c r="G731" s="4" t="str">
        <f>HYPERLINK("http://141.218.60.56/~jnz1568/getInfo.php?workbook=16_08.xlsx&amp;sheet=A0&amp;row=731&amp;col=7&amp;number=0&amp;sourceID=14","0")</f>
        <v>0</v>
      </c>
    </row>
    <row r="732" spans="1:7">
      <c r="A732" s="3">
        <v>16</v>
      </c>
      <c r="B732" s="3">
        <v>8</v>
      </c>
      <c r="C732" s="3">
        <v>65</v>
      </c>
      <c r="D732" s="3">
        <v>28</v>
      </c>
      <c r="E732" s="3">
        <v>629.172</v>
      </c>
      <c r="F732" s="4" t="str">
        <f>HYPERLINK("http://141.218.60.56/~jnz1568/getInfo.php?workbook=16_08.xlsx&amp;sheet=A0&amp;row=732&amp;col=6&amp;number=110400000&amp;sourceID=14","110400000")</f>
        <v>110400000</v>
      </c>
      <c r="G732" s="4" t="str">
        <f>HYPERLINK("http://141.218.60.56/~jnz1568/getInfo.php?workbook=16_08.xlsx&amp;sheet=A0&amp;row=732&amp;col=7&amp;number=0&amp;sourceID=14","0")</f>
        <v>0</v>
      </c>
    </row>
    <row r="733" spans="1:7">
      <c r="A733" s="3">
        <v>16</v>
      </c>
      <c r="B733" s="3">
        <v>8</v>
      </c>
      <c r="C733" s="3">
        <v>65</v>
      </c>
      <c r="D733" s="3">
        <v>29</v>
      </c>
      <c r="E733" s="3">
        <v>636.112</v>
      </c>
      <c r="F733" s="4" t="str">
        <f>HYPERLINK("http://141.218.60.56/~jnz1568/getInfo.php?workbook=16_08.xlsx&amp;sheet=A0&amp;row=733&amp;col=6&amp;number=275900000&amp;sourceID=14","275900000")</f>
        <v>275900000</v>
      </c>
      <c r="G733" s="4" t="str">
        <f>HYPERLINK("http://141.218.60.56/~jnz1568/getInfo.php?workbook=16_08.xlsx&amp;sheet=A0&amp;row=733&amp;col=7&amp;number=0&amp;sourceID=14","0")</f>
        <v>0</v>
      </c>
    </row>
    <row r="734" spans="1:7">
      <c r="A734" s="3">
        <v>16</v>
      </c>
      <c r="B734" s="3">
        <v>8</v>
      </c>
      <c r="C734" s="3">
        <v>65</v>
      </c>
      <c r="D734" s="3">
        <v>30</v>
      </c>
      <c r="E734" s="3">
        <v>-598.226</v>
      </c>
      <c r="F734" s="4" t="str">
        <f>HYPERLINK("http://141.218.60.56/~jnz1568/getInfo.php?workbook=16_08.xlsx&amp;sheet=A0&amp;row=734&amp;col=6&amp;number=171400000&amp;sourceID=14","171400000")</f>
        <v>171400000</v>
      </c>
      <c r="G734" s="4" t="str">
        <f>HYPERLINK("http://141.218.60.56/~jnz1568/getInfo.php?workbook=16_08.xlsx&amp;sheet=A0&amp;row=734&amp;col=7&amp;number=0&amp;sourceID=14","0")</f>
        <v>0</v>
      </c>
    </row>
    <row r="735" spans="1:7">
      <c r="A735" s="3">
        <v>16</v>
      </c>
      <c r="B735" s="3">
        <v>8</v>
      </c>
      <c r="C735" s="3">
        <v>65</v>
      </c>
      <c r="D735" s="3">
        <v>31</v>
      </c>
      <c r="E735" s="3">
        <v>663.676</v>
      </c>
      <c r="F735" s="4" t="str">
        <f>HYPERLINK("http://141.218.60.56/~jnz1568/getInfo.php?workbook=16_08.xlsx&amp;sheet=A0&amp;row=735&amp;col=6&amp;number=120900000&amp;sourceID=14","120900000")</f>
        <v>120900000</v>
      </c>
      <c r="G735" s="4" t="str">
        <f>HYPERLINK("http://141.218.60.56/~jnz1568/getInfo.php?workbook=16_08.xlsx&amp;sheet=A0&amp;row=735&amp;col=7&amp;number=0&amp;sourceID=14","0")</f>
        <v>0</v>
      </c>
    </row>
    <row r="736" spans="1:7">
      <c r="A736" s="3">
        <v>16</v>
      </c>
      <c r="B736" s="3">
        <v>8</v>
      </c>
      <c r="C736" s="3">
        <v>65</v>
      </c>
      <c r="D736" s="3">
        <v>32</v>
      </c>
      <c r="E736" s="3">
        <v>668.422</v>
      </c>
      <c r="F736" s="4" t="str">
        <f>HYPERLINK("http://141.218.60.56/~jnz1568/getInfo.php?workbook=16_08.xlsx&amp;sheet=A0&amp;row=736&amp;col=6&amp;number=78240000&amp;sourceID=14","78240000")</f>
        <v>78240000</v>
      </c>
      <c r="G736" s="4" t="str">
        <f>HYPERLINK("http://141.218.60.56/~jnz1568/getInfo.php?workbook=16_08.xlsx&amp;sheet=A0&amp;row=736&amp;col=7&amp;number=0&amp;sourceID=14","0")</f>
        <v>0</v>
      </c>
    </row>
    <row r="737" spans="1:7">
      <c r="A737" s="3">
        <v>16</v>
      </c>
      <c r="B737" s="3">
        <v>8</v>
      </c>
      <c r="C737" s="3">
        <v>65</v>
      </c>
      <c r="D737" s="3">
        <v>34</v>
      </c>
      <c r="E737" s="3">
        <v>689.185</v>
      </c>
      <c r="F737" s="4" t="str">
        <f>HYPERLINK("http://141.218.60.56/~jnz1568/getInfo.php?workbook=16_08.xlsx&amp;sheet=A0&amp;row=737&amp;col=6&amp;number=893100&amp;sourceID=14","893100")</f>
        <v>893100</v>
      </c>
      <c r="G737" s="4" t="str">
        <f>HYPERLINK("http://141.218.60.56/~jnz1568/getInfo.php?workbook=16_08.xlsx&amp;sheet=A0&amp;row=737&amp;col=7&amp;number=0&amp;sourceID=14","0")</f>
        <v>0</v>
      </c>
    </row>
    <row r="738" spans="1:7">
      <c r="A738" s="3">
        <v>16</v>
      </c>
      <c r="B738" s="3">
        <v>8</v>
      </c>
      <c r="C738" s="3">
        <v>65</v>
      </c>
      <c r="D738" s="3">
        <v>36</v>
      </c>
      <c r="E738" s="3">
        <v>862.746</v>
      </c>
      <c r="F738" s="4" t="str">
        <f>HYPERLINK("http://141.218.60.56/~jnz1568/getInfo.php?workbook=16_08.xlsx&amp;sheet=A0&amp;row=738&amp;col=6&amp;number=250100000&amp;sourceID=14","250100000")</f>
        <v>250100000</v>
      </c>
      <c r="G738" s="4" t="str">
        <f>HYPERLINK("http://141.218.60.56/~jnz1568/getInfo.php?workbook=16_08.xlsx&amp;sheet=A0&amp;row=738&amp;col=7&amp;number=0&amp;sourceID=14","0")</f>
        <v>0</v>
      </c>
    </row>
    <row r="739" spans="1:7">
      <c r="A739" s="3">
        <v>16</v>
      </c>
      <c r="B739" s="3">
        <v>8</v>
      </c>
      <c r="C739" s="3">
        <v>65</v>
      </c>
      <c r="D739" s="3">
        <v>37</v>
      </c>
      <c r="E739" s="3">
        <v>851.317</v>
      </c>
      <c r="F739" s="4" t="str">
        <f>HYPERLINK("http://141.218.60.56/~jnz1568/getInfo.php?workbook=16_08.xlsx&amp;sheet=A0&amp;row=739&amp;col=6&amp;number=43140000&amp;sourceID=14","43140000")</f>
        <v>43140000</v>
      </c>
      <c r="G739" s="4" t="str">
        <f>HYPERLINK("http://141.218.60.56/~jnz1568/getInfo.php?workbook=16_08.xlsx&amp;sheet=A0&amp;row=739&amp;col=7&amp;number=0&amp;sourceID=14","0")</f>
        <v>0</v>
      </c>
    </row>
    <row r="740" spans="1:7">
      <c r="A740" s="3">
        <v>16</v>
      </c>
      <c r="B740" s="3">
        <v>8</v>
      </c>
      <c r="C740" s="3">
        <v>65</v>
      </c>
      <c r="D740" s="3">
        <v>43</v>
      </c>
      <c r="E740" s="3">
        <v>-810.237</v>
      </c>
      <c r="F740" s="4" t="str">
        <f>HYPERLINK("http://141.218.60.56/~jnz1568/getInfo.php?workbook=16_08.xlsx&amp;sheet=A0&amp;row=740&amp;col=6&amp;number=210400000&amp;sourceID=14","210400000")</f>
        <v>210400000</v>
      </c>
      <c r="G740" s="4" t="str">
        <f>HYPERLINK("http://141.218.60.56/~jnz1568/getInfo.php?workbook=16_08.xlsx&amp;sheet=A0&amp;row=740&amp;col=7&amp;number=0&amp;sourceID=14","0")</f>
        <v>0</v>
      </c>
    </row>
    <row r="741" spans="1:7">
      <c r="A741" s="3">
        <v>16</v>
      </c>
      <c r="B741" s="3">
        <v>8</v>
      </c>
      <c r="C741" s="3">
        <v>65</v>
      </c>
      <c r="D741" s="3">
        <v>44</v>
      </c>
      <c r="E741" s="3">
        <v>862.746</v>
      </c>
      <c r="F741" s="4" t="str">
        <f>HYPERLINK("http://141.218.60.56/~jnz1568/getInfo.php?workbook=16_08.xlsx&amp;sheet=A0&amp;row=741&amp;col=6&amp;number=26940000&amp;sourceID=14","26940000")</f>
        <v>26940000</v>
      </c>
      <c r="G741" s="4" t="str">
        <f>HYPERLINK("http://141.218.60.56/~jnz1568/getInfo.php?workbook=16_08.xlsx&amp;sheet=A0&amp;row=741&amp;col=7&amp;number=0&amp;sourceID=14","0")</f>
        <v>0</v>
      </c>
    </row>
    <row r="742" spans="1:7">
      <c r="A742" s="3">
        <v>16</v>
      </c>
      <c r="B742" s="3">
        <v>8</v>
      </c>
      <c r="C742" s="3">
        <v>65</v>
      </c>
      <c r="D742" s="3">
        <v>45</v>
      </c>
      <c r="E742" s="3">
        <v>-897.165</v>
      </c>
      <c r="F742" s="4" t="str">
        <f>HYPERLINK("http://141.218.60.56/~jnz1568/getInfo.php?workbook=16_08.xlsx&amp;sheet=A0&amp;row=742&amp;col=6&amp;number=164900&amp;sourceID=14","164900")</f>
        <v>164900</v>
      </c>
      <c r="G742" s="4" t="str">
        <f>HYPERLINK("http://141.218.60.56/~jnz1568/getInfo.php?workbook=16_08.xlsx&amp;sheet=A0&amp;row=742&amp;col=7&amp;number=0&amp;sourceID=14","0")</f>
        <v>0</v>
      </c>
    </row>
    <row r="743" spans="1:7">
      <c r="A743" s="3">
        <v>16</v>
      </c>
      <c r="B743" s="3">
        <v>8</v>
      </c>
      <c r="C743" s="3">
        <v>65</v>
      </c>
      <c r="D743" s="3">
        <v>46</v>
      </c>
      <c r="E743" s="3">
        <v>965.67</v>
      </c>
      <c r="F743" s="4" t="str">
        <f>HYPERLINK("http://141.218.60.56/~jnz1568/getInfo.php?workbook=16_08.xlsx&amp;sheet=A0&amp;row=743&amp;col=6&amp;number=204600&amp;sourceID=14","204600")</f>
        <v>204600</v>
      </c>
      <c r="G743" s="4" t="str">
        <f>HYPERLINK("http://141.218.60.56/~jnz1568/getInfo.php?workbook=16_08.xlsx&amp;sheet=A0&amp;row=743&amp;col=7&amp;number=0&amp;sourceID=14","0")</f>
        <v>0</v>
      </c>
    </row>
    <row r="744" spans="1:7">
      <c r="A744" s="3">
        <v>16</v>
      </c>
      <c r="B744" s="3">
        <v>8</v>
      </c>
      <c r="C744" s="3">
        <v>65</v>
      </c>
      <c r="D744" s="3">
        <v>47</v>
      </c>
      <c r="E744" s="3">
        <v>-966.812</v>
      </c>
      <c r="F744" s="4" t="str">
        <f>HYPERLINK("http://141.218.60.56/~jnz1568/getInfo.php?workbook=16_08.xlsx&amp;sheet=A0&amp;row=744&amp;col=6&amp;number=4171000&amp;sourceID=14","4171000")</f>
        <v>4171000</v>
      </c>
      <c r="G744" s="4" t="str">
        <f>HYPERLINK("http://141.218.60.56/~jnz1568/getInfo.php?workbook=16_08.xlsx&amp;sheet=A0&amp;row=744&amp;col=7&amp;number=0&amp;sourceID=14","0")</f>
        <v>0</v>
      </c>
    </row>
    <row r="745" spans="1:7">
      <c r="A745" s="3">
        <v>16</v>
      </c>
      <c r="B745" s="3">
        <v>8</v>
      </c>
      <c r="C745" s="3">
        <v>65</v>
      </c>
      <c r="D745" s="3">
        <v>48</v>
      </c>
      <c r="E745" s="3">
        <v>-990.529</v>
      </c>
      <c r="F745" s="4" t="str">
        <f>HYPERLINK("http://141.218.60.56/~jnz1568/getInfo.php?workbook=16_08.xlsx&amp;sheet=A0&amp;row=745&amp;col=6&amp;number=2190000&amp;sourceID=14","2190000")</f>
        <v>2190000</v>
      </c>
      <c r="G745" s="4" t="str">
        <f>HYPERLINK("http://141.218.60.56/~jnz1568/getInfo.php?workbook=16_08.xlsx&amp;sheet=A0&amp;row=745&amp;col=7&amp;number=0&amp;sourceID=14","0")</f>
        <v>0</v>
      </c>
    </row>
    <row r="746" spans="1:7">
      <c r="A746" s="3">
        <v>16</v>
      </c>
      <c r="B746" s="3">
        <v>8</v>
      </c>
      <c r="C746" s="3">
        <v>65</v>
      </c>
      <c r="D746" s="3">
        <v>52</v>
      </c>
      <c r="E746" s="3">
        <v>-1080.654</v>
      </c>
      <c r="F746" s="4" t="str">
        <f>HYPERLINK("http://141.218.60.56/~jnz1568/getInfo.php?workbook=16_08.xlsx&amp;sheet=A0&amp;row=746&amp;col=6&amp;number=1050000&amp;sourceID=14","1050000")</f>
        <v>1050000</v>
      </c>
      <c r="G746" s="4" t="str">
        <f>HYPERLINK("http://141.218.60.56/~jnz1568/getInfo.php?workbook=16_08.xlsx&amp;sheet=A0&amp;row=746&amp;col=7&amp;number=0&amp;sourceID=14","0")</f>
        <v>0</v>
      </c>
    </row>
    <row r="747" spans="1:7">
      <c r="A747" s="3">
        <v>16</v>
      </c>
      <c r="B747" s="3">
        <v>8</v>
      </c>
      <c r="C747" s="3">
        <v>65</v>
      </c>
      <c r="D747" s="3">
        <v>53</v>
      </c>
      <c r="E747" s="3">
        <v>-1106.897</v>
      </c>
      <c r="F747" s="4" t="str">
        <f>HYPERLINK("http://141.218.60.56/~jnz1568/getInfo.php?workbook=16_08.xlsx&amp;sheet=A0&amp;row=747&amp;col=6&amp;number=9462000&amp;sourceID=14","9462000")</f>
        <v>9462000</v>
      </c>
      <c r="G747" s="4" t="str">
        <f>HYPERLINK("http://141.218.60.56/~jnz1568/getInfo.php?workbook=16_08.xlsx&amp;sheet=A0&amp;row=747&amp;col=7&amp;number=0&amp;sourceID=14","0")</f>
        <v>0</v>
      </c>
    </row>
    <row r="748" spans="1:7">
      <c r="A748" s="3">
        <v>16</v>
      </c>
      <c r="B748" s="3">
        <v>8</v>
      </c>
      <c r="C748" s="3">
        <v>65</v>
      </c>
      <c r="D748" s="3">
        <v>55</v>
      </c>
      <c r="E748" s="3">
        <v>-1561.641</v>
      </c>
      <c r="F748" s="4" t="str">
        <f>HYPERLINK("http://141.218.60.56/~jnz1568/getInfo.php?workbook=16_08.xlsx&amp;sheet=A0&amp;row=748&amp;col=6&amp;number=22620&amp;sourceID=14","22620")</f>
        <v>22620</v>
      </c>
      <c r="G748" s="4" t="str">
        <f>HYPERLINK("http://141.218.60.56/~jnz1568/getInfo.php?workbook=16_08.xlsx&amp;sheet=A0&amp;row=748&amp;col=7&amp;number=0&amp;sourceID=14","0")</f>
        <v>0</v>
      </c>
    </row>
    <row r="749" spans="1:7">
      <c r="A749" s="3">
        <v>16</v>
      </c>
      <c r="B749" s="3">
        <v>8</v>
      </c>
      <c r="C749" s="3">
        <v>66</v>
      </c>
      <c r="D749" s="3">
        <v>1</v>
      </c>
      <c r="E749" s="3">
        <v>-48.009</v>
      </c>
      <c r="F749" s="4" t="str">
        <f>HYPERLINK("http://141.218.60.56/~jnz1568/getInfo.php?workbook=16_08.xlsx&amp;sheet=A0&amp;row=749&amp;col=6&amp;number=26080&amp;sourceID=14","26080")</f>
        <v>26080</v>
      </c>
      <c r="G749" s="4" t="str">
        <f>HYPERLINK("http://141.218.60.56/~jnz1568/getInfo.php?workbook=16_08.xlsx&amp;sheet=A0&amp;row=749&amp;col=7&amp;number=0&amp;sourceID=14","0")</f>
        <v>0</v>
      </c>
    </row>
    <row r="750" spans="1:7">
      <c r="A750" s="3">
        <v>16</v>
      </c>
      <c r="B750" s="3">
        <v>8</v>
      </c>
      <c r="C750" s="3">
        <v>66</v>
      </c>
      <c r="D750" s="3">
        <v>4</v>
      </c>
      <c r="E750" s="3">
        <v>-49.475</v>
      </c>
      <c r="F750" s="4" t="str">
        <f>HYPERLINK("http://141.218.60.56/~jnz1568/getInfo.php?workbook=16_08.xlsx&amp;sheet=A0&amp;row=750&amp;col=6&amp;number=44260000&amp;sourceID=14","44260000")</f>
        <v>44260000</v>
      </c>
      <c r="G750" s="4" t="str">
        <f>HYPERLINK("http://141.218.60.56/~jnz1568/getInfo.php?workbook=16_08.xlsx&amp;sheet=A0&amp;row=750&amp;col=7&amp;number=0&amp;sourceID=14","0")</f>
        <v>0</v>
      </c>
    </row>
    <row r="751" spans="1:7">
      <c r="A751" s="3">
        <v>16</v>
      </c>
      <c r="B751" s="3">
        <v>8</v>
      </c>
      <c r="C751" s="3">
        <v>66</v>
      </c>
      <c r="D751" s="3">
        <v>7</v>
      </c>
      <c r="E751" s="3">
        <v>-61.719</v>
      </c>
      <c r="F751" s="4" t="str">
        <f>HYPERLINK("http://141.218.60.56/~jnz1568/getInfo.php?workbook=16_08.xlsx&amp;sheet=A0&amp;row=751&amp;col=6&amp;number=208100000&amp;sourceID=14","208100000")</f>
        <v>208100000</v>
      </c>
      <c r="G751" s="4" t="str">
        <f>HYPERLINK("http://141.218.60.56/~jnz1568/getInfo.php?workbook=16_08.xlsx&amp;sheet=A0&amp;row=751&amp;col=7&amp;number=0&amp;sourceID=14","0")</f>
        <v>0</v>
      </c>
    </row>
    <row r="752" spans="1:7">
      <c r="A752" s="3">
        <v>16</v>
      </c>
      <c r="B752" s="3">
        <v>8</v>
      </c>
      <c r="C752" s="3">
        <v>66</v>
      </c>
      <c r="D752" s="3">
        <v>9</v>
      </c>
      <c r="E752" s="3">
        <v>-69.124</v>
      </c>
      <c r="F752" s="4" t="str">
        <f>HYPERLINK("http://141.218.60.56/~jnz1568/getInfo.php?workbook=16_08.xlsx&amp;sheet=A0&amp;row=752&amp;col=6&amp;number=11120000000&amp;sourceID=14","11120000000")</f>
        <v>11120000000</v>
      </c>
      <c r="G752" s="4" t="str">
        <f>HYPERLINK("http://141.218.60.56/~jnz1568/getInfo.php?workbook=16_08.xlsx&amp;sheet=A0&amp;row=752&amp;col=7&amp;number=0&amp;sourceID=14","0")</f>
        <v>0</v>
      </c>
    </row>
    <row r="753" spans="1:7">
      <c r="A753" s="3">
        <v>16</v>
      </c>
      <c r="B753" s="3">
        <v>8</v>
      </c>
      <c r="C753" s="3">
        <v>66</v>
      </c>
      <c r="D753" s="3">
        <v>12</v>
      </c>
      <c r="E753" s="3">
        <v>-326.466</v>
      </c>
      <c r="F753" s="4" t="str">
        <f>HYPERLINK("http://141.218.60.56/~jnz1568/getInfo.php?workbook=16_08.xlsx&amp;sheet=A0&amp;row=753&amp;col=6&amp;number=2755000&amp;sourceID=14","2755000")</f>
        <v>2755000</v>
      </c>
      <c r="G753" s="4" t="str">
        <f>HYPERLINK("http://141.218.60.56/~jnz1568/getInfo.php?workbook=16_08.xlsx&amp;sheet=A0&amp;row=753&amp;col=7&amp;number=0&amp;sourceID=14","0")</f>
        <v>0</v>
      </c>
    </row>
    <row r="754" spans="1:7">
      <c r="A754" s="3">
        <v>16</v>
      </c>
      <c r="B754" s="3">
        <v>8</v>
      </c>
      <c r="C754" s="3">
        <v>66</v>
      </c>
      <c r="D754" s="3">
        <v>14</v>
      </c>
      <c r="E754" s="3">
        <v>-410.713</v>
      </c>
      <c r="F754" s="4" t="str">
        <f>HYPERLINK("http://141.218.60.56/~jnz1568/getInfo.php?workbook=16_08.xlsx&amp;sheet=A0&amp;row=754&amp;col=6&amp;number=32520000&amp;sourceID=14","32520000")</f>
        <v>32520000</v>
      </c>
      <c r="G754" s="4" t="str">
        <f>HYPERLINK("http://141.218.60.56/~jnz1568/getInfo.php?workbook=16_08.xlsx&amp;sheet=A0&amp;row=754&amp;col=7&amp;number=0&amp;sourceID=14","0")</f>
        <v>0</v>
      </c>
    </row>
    <row r="755" spans="1:7">
      <c r="A755" s="3">
        <v>16</v>
      </c>
      <c r="B755" s="3">
        <v>8</v>
      </c>
      <c r="C755" s="3">
        <v>66</v>
      </c>
      <c r="D755" s="3">
        <v>24</v>
      </c>
      <c r="E755" s="3">
        <v>-494.323</v>
      </c>
      <c r="F755" s="4" t="str">
        <f>HYPERLINK("http://141.218.60.56/~jnz1568/getInfo.php?workbook=16_08.xlsx&amp;sheet=A0&amp;row=755&amp;col=6&amp;number=4742000&amp;sourceID=14","4742000")</f>
        <v>4742000</v>
      </c>
      <c r="G755" s="4" t="str">
        <f>HYPERLINK("http://141.218.60.56/~jnz1568/getInfo.php?workbook=16_08.xlsx&amp;sheet=A0&amp;row=755&amp;col=7&amp;number=0&amp;sourceID=14","0")</f>
        <v>0</v>
      </c>
    </row>
    <row r="756" spans="1:7">
      <c r="A756" s="3">
        <v>16</v>
      </c>
      <c r="B756" s="3">
        <v>8</v>
      </c>
      <c r="C756" s="3">
        <v>66</v>
      </c>
      <c r="D756" s="3">
        <v>26</v>
      </c>
      <c r="E756" s="3">
        <v>-535.255</v>
      </c>
      <c r="F756" s="4" t="str">
        <f>HYPERLINK("http://141.218.60.56/~jnz1568/getInfo.php?workbook=16_08.xlsx&amp;sheet=A0&amp;row=756&amp;col=6&amp;number=6439000000&amp;sourceID=14","6439000000")</f>
        <v>6439000000</v>
      </c>
      <c r="G756" s="4" t="str">
        <f>HYPERLINK("http://141.218.60.56/~jnz1568/getInfo.php?workbook=16_08.xlsx&amp;sheet=A0&amp;row=756&amp;col=7&amp;number=0&amp;sourceID=14","0")</f>
        <v>0</v>
      </c>
    </row>
    <row r="757" spans="1:7">
      <c r="A757" s="3">
        <v>16</v>
      </c>
      <c r="B757" s="3">
        <v>8</v>
      </c>
      <c r="C757" s="3">
        <v>67</v>
      </c>
      <c r="D757" s="3">
        <v>1</v>
      </c>
      <c r="E757" s="3">
        <v>47.433</v>
      </c>
      <c r="F757" s="4" t="str">
        <f>HYPERLINK("http://141.218.60.56/~jnz1568/getInfo.php?workbook=16_08.xlsx&amp;sheet=A0&amp;row=757&amp;col=6&amp;number=979700000000&amp;sourceID=14","979700000000")</f>
        <v>979700000000</v>
      </c>
      <c r="G757" s="4" t="str">
        <f>HYPERLINK("http://141.218.60.56/~jnz1568/getInfo.php?workbook=16_08.xlsx&amp;sheet=A0&amp;row=757&amp;col=7&amp;number=0&amp;sourceID=14","0")</f>
        <v>0</v>
      </c>
    </row>
    <row r="758" spans="1:7">
      <c r="A758" s="3">
        <v>16</v>
      </c>
      <c r="B758" s="3">
        <v>8</v>
      </c>
      <c r="C758" s="3">
        <v>67</v>
      </c>
      <c r="D758" s="3">
        <v>4</v>
      </c>
      <c r="E758" s="3">
        <v>48.782</v>
      </c>
      <c r="F758" s="4" t="str">
        <f>HYPERLINK("http://141.218.60.56/~jnz1568/getInfo.php?workbook=16_08.xlsx&amp;sheet=A0&amp;row=758&amp;col=6&amp;number=1739000000&amp;sourceID=14","1739000000")</f>
        <v>1739000000</v>
      </c>
      <c r="G758" s="4" t="str">
        <f>HYPERLINK("http://141.218.60.56/~jnz1568/getInfo.php?workbook=16_08.xlsx&amp;sheet=A0&amp;row=758&amp;col=7&amp;number=0&amp;sourceID=14","0")</f>
        <v>0</v>
      </c>
    </row>
    <row r="759" spans="1:7">
      <c r="A759" s="3">
        <v>16</v>
      </c>
      <c r="B759" s="3">
        <v>8</v>
      </c>
      <c r="C759" s="3">
        <v>67</v>
      </c>
      <c r="D759" s="3">
        <v>9</v>
      </c>
      <c r="E759" s="3">
        <v>67.017</v>
      </c>
      <c r="F759" s="4" t="str">
        <f>HYPERLINK("http://141.218.60.56/~jnz1568/getInfo.php?workbook=16_08.xlsx&amp;sheet=A0&amp;row=759&amp;col=6&amp;number=3229&amp;sourceID=14","3229")</f>
        <v>3229</v>
      </c>
      <c r="G759" s="4" t="str">
        <f>HYPERLINK("http://141.218.60.56/~jnz1568/getInfo.php?workbook=16_08.xlsx&amp;sheet=A0&amp;row=759&amp;col=7&amp;number=0&amp;sourceID=14","0")</f>
        <v>0</v>
      </c>
    </row>
    <row r="760" spans="1:7">
      <c r="A760" s="3">
        <v>16</v>
      </c>
      <c r="B760" s="3">
        <v>8</v>
      </c>
      <c r="C760" s="3">
        <v>67</v>
      </c>
      <c r="D760" s="3">
        <v>12</v>
      </c>
      <c r="E760" s="3">
        <v>307.607</v>
      </c>
      <c r="F760" s="4" t="str">
        <f>HYPERLINK("http://141.218.60.56/~jnz1568/getInfo.php?workbook=16_08.xlsx&amp;sheet=A0&amp;row=760&amp;col=6&amp;number=18590&amp;sourceID=14","18590")</f>
        <v>18590</v>
      </c>
      <c r="G760" s="4" t="str">
        <f>HYPERLINK("http://141.218.60.56/~jnz1568/getInfo.php?workbook=16_08.xlsx&amp;sheet=A0&amp;row=760&amp;col=7&amp;number=0&amp;sourceID=14","0")</f>
        <v>0</v>
      </c>
    </row>
    <row r="761" spans="1:7">
      <c r="A761" s="3">
        <v>16</v>
      </c>
      <c r="B761" s="3">
        <v>8</v>
      </c>
      <c r="C761" s="3">
        <v>67</v>
      </c>
      <c r="D761" s="3">
        <v>13</v>
      </c>
      <c r="E761" s="3">
        <v>379.845</v>
      </c>
      <c r="F761" s="4" t="str">
        <f>HYPERLINK("http://141.218.60.56/~jnz1568/getInfo.php?workbook=16_08.xlsx&amp;sheet=A0&amp;row=761&amp;col=6&amp;number=14920&amp;sourceID=14","14920")</f>
        <v>14920</v>
      </c>
      <c r="G761" s="4" t="str">
        <f>HYPERLINK("http://141.218.60.56/~jnz1568/getInfo.php?workbook=16_08.xlsx&amp;sheet=A0&amp;row=761&amp;col=7&amp;number=0&amp;sourceID=14","0")</f>
        <v>0</v>
      </c>
    </row>
    <row r="762" spans="1:7">
      <c r="A762" s="3">
        <v>16</v>
      </c>
      <c r="B762" s="3">
        <v>8</v>
      </c>
      <c r="C762" s="3">
        <v>67</v>
      </c>
      <c r="D762" s="3">
        <v>15</v>
      </c>
      <c r="E762" s="3">
        <v>381.121</v>
      </c>
      <c r="F762" s="4" t="str">
        <f>HYPERLINK("http://141.218.60.56/~jnz1568/getInfo.php?workbook=16_08.xlsx&amp;sheet=A0&amp;row=762&amp;col=6&amp;number=35440&amp;sourceID=14","35440")</f>
        <v>35440</v>
      </c>
      <c r="G762" s="4" t="str">
        <f>HYPERLINK("http://141.218.60.56/~jnz1568/getInfo.php?workbook=16_08.xlsx&amp;sheet=A0&amp;row=762&amp;col=7&amp;number=0&amp;sourceID=14","0")</f>
        <v>0</v>
      </c>
    </row>
    <row r="763" spans="1:7">
      <c r="A763" s="3">
        <v>16</v>
      </c>
      <c r="B763" s="3">
        <v>8</v>
      </c>
      <c r="C763" s="3">
        <v>67</v>
      </c>
      <c r="D763" s="3">
        <v>18</v>
      </c>
      <c r="E763" s="3">
        <v>417.052</v>
      </c>
      <c r="F763" s="4" t="str">
        <f>HYPERLINK("http://141.218.60.56/~jnz1568/getInfo.php?workbook=16_08.xlsx&amp;sheet=A0&amp;row=763&amp;col=6&amp;number=405500&amp;sourceID=14","405500")</f>
        <v>405500</v>
      </c>
      <c r="G763" s="4" t="str">
        <f>HYPERLINK("http://141.218.60.56/~jnz1568/getInfo.php?workbook=16_08.xlsx&amp;sheet=A0&amp;row=763&amp;col=7&amp;number=0&amp;sourceID=14","0")</f>
        <v>0</v>
      </c>
    </row>
    <row r="764" spans="1:7">
      <c r="A764" s="3">
        <v>16</v>
      </c>
      <c r="B764" s="3">
        <v>8</v>
      </c>
      <c r="C764" s="3">
        <v>67</v>
      </c>
      <c r="D764" s="3">
        <v>19</v>
      </c>
      <c r="E764" s="3">
        <v>419.194</v>
      </c>
      <c r="F764" s="4" t="str">
        <f>HYPERLINK("http://141.218.60.56/~jnz1568/getInfo.php?workbook=16_08.xlsx&amp;sheet=A0&amp;row=764&amp;col=6&amp;number=385400&amp;sourceID=14","385400")</f>
        <v>385400</v>
      </c>
      <c r="G764" s="4" t="str">
        <f>HYPERLINK("http://141.218.60.56/~jnz1568/getInfo.php?workbook=16_08.xlsx&amp;sheet=A0&amp;row=764&amp;col=7&amp;number=0&amp;sourceID=14","0")</f>
        <v>0</v>
      </c>
    </row>
    <row r="765" spans="1:7">
      <c r="A765" s="3">
        <v>16</v>
      </c>
      <c r="B765" s="3">
        <v>8</v>
      </c>
      <c r="C765" s="3">
        <v>67</v>
      </c>
      <c r="D765" s="3">
        <v>21</v>
      </c>
      <c r="E765" s="3">
        <v>464.974</v>
      </c>
      <c r="F765" s="4" t="str">
        <f>HYPERLINK("http://141.218.60.56/~jnz1568/getInfo.php?workbook=16_08.xlsx&amp;sheet=A0&amp;row=765&amp;col=6&amp;number=60510000&amp;sourceID=14","60510000")</f>
        <v>60510000</v>
      </c>
      <c r="G765" s="4" t="str">
        <f>HYPERLINK("http://141.218.60.56/~jnz1568/getInfo.php?workbook=16_08.xlsx&amp;sheet=A0&amp;row=765&amp;col=7&amp;number=0&amp;sourceID=14","0")</f>
        <v>0</v>
      </c>
    </row>
    <row r="766" spans="1:7">
      <c r="A766" s="3">
        <v>16</v>
      </c>
      <c r="B766" s="3">
        <v>8</v>
      </c>
      <c r="C766" s="3">
        <v>67</v>
      </c>
      <c r="D766" s="3">
        <v>27</v>
      </c>
      <c r="E766" s="3">
        <v>-615.58</v>
      </c>
      <c r="F766" s="4" t="str">
        <f>HYPERLINK("http://141.218.60.56/~jnz1568/getInfo.php?workbook=16_08.xlsx&amp;sheet=A0&amp;row=766&amp;col=6&amp;number=178700000&amp;sourceID=14","178700000")</f>
        <v>178700000</v>
      </c>
      <c r="G766" s="4" t="str">
        <f>HYPERLINK("http://141.218.60.56/~jnz1568/getInfo.php?workbook=16_08.xlsx&amp;sheet=A0&amp;row=766&amp;col=7&amp;number=0&amp;sourceID=14","0")</f>
        <v>0</v>
      </c>
    </row>
    <row r="767" spans="1:7">
      <c r="A767" s="3">
        <v>16</v>
      </c>
      <c r="B767" s="3">
        <v>8</v>
      </c>
      <c r="C767" s="3">
        <v>67</v>
      </c>
      <c r="D767" s="3">
        <v>29</v>
      </c>
      <c r="E767" s="3">
        <v>635.635</v>
      </c>
      <c r="F767" s="4" t="str">
        <f>HYPERLINK("http://141.218.60.56/~jnz1568/getInfo.php?workbook=16_08.xlsx&amp;sheet=A0&amp;row=767&amp;col=6&amp;number=1430000000&amp;sourceID=14","1430000000")</f>
        <v>1430000000</v>
      </c>
      <c r="G767" s="4" t="str">
        <f>HYPERLINK("http://141.218.60.56/~jnz1568/getInfo.php?workbook=16_08.xlsx&amp;sheet=A0&amp;row=767&amp;col=7&amp;number=0&amp;sourceID=14","0")</f>
        <v>0</v>
      </c>
    </row>
    <row r="768" spans="1:7">
      <c r="A768" s="3">
        <v>16</v>
      </c>
      <c r="B768" s="3">
        <v>8</v>
      </c>
      <c r="C768" s="3">
        <v>67</v>
      </c>
      <c r="D768" s="3">
        <v>31</v>
      </c>
      <c r="E768" s="3">
        <v>663.156</v>
      </c>
      <c r="F768" s="4" t="str">
        <f>HYPERLINK("http://141.218.60.56/~jnz1568/getInfo.php?workbook=16_08.xlsx&amp;sheet=A0&amp;row=768&amp;col=6&amp;number=4128000&amp;sourceID=14","4128000")</f>
        <v>4128000</v>
      </c>
      <c r="G768" s="4" t="str">
        <f>HYPERLINK("http://141.218.60.56/~jnz1568/getInfo.php?workbook=16_08.xlsx&amp;sheet=A0&amp;row=768&amp;col=7&amp;number=0&amp;sourceID=14","0")</f>
        <v>0</v>
      </c>
    </row>
    <row r="769" spans="1:7">
      <c r="A769" s="3">
        <v>16</v>
      </c>
      <c r="B769" s="3">
        <v>8</v>
      </c>
      <c r="C769" s="3">
        <v>67</v>
      </c>
      <c r="D769" s="3">
        <v>32</v>
      </c>
      <c r="E769" s="3">
        <v>667.896</v>
      </c>
      <c r="F769" s="4" t="str">
        <f>HYPERLINK("http://141.218.60.56/~jnz1568/getInfo.php?workbook=16_08.xlsx&amp;sheet=A0&amp;row=769&amp;col=6&amp;number=160400000&amp;sourceID=14","160400000")</f>
        <v>160400000</v>
      </c>
      <c r="G769" s="4" t="str">
        <f>HYPERLINK("http://141.218.60.56/~jnz1568/getInfo.php?workbook=16_08.xlsx&amp;sheet=A0&amp;row=769&amp;col=7&amp;number=0&amp;sourceID=14","0")</f>
        <v>0</v>
      </c>
    </row>
    <row r="770" spans="1:7">
      <c r="A770" s="3">
        <v>16</v>
      </c>
      <c r="B770" s="3">
        <v>8</v>
      </c>
      <c r="C770" s="3">
        <v>67</v>
      </c>
      <c r="D770" s="3">
        <v>33</v>
      </c>
      <c r="E770" s="3">
        <v>672.952</v>
      </c>
      <c r="F770" s="4" t="str">
        <f>HYPERLINK("http://141.218.60.56/~jnz1568/getInfo.php?workbook=16_08.xlsx&amp;sheet=A0&amp;row=770&amp;col=6&amp;number=140400000&amp;sourceID=14","140400000")</f>
        <v>140400000</v>
      </c>
      <c r="G770" s="4" t="str">
        <f>HYPERLINK("http://141.218.60.56/~jnz1568/getInfo.php?workbook=16_08.xlsx&amp;sheet=A0&amp;row=770&amp;col=7&amp;number=0&amp;sourceID=14","0")</f>
        <v>0</v>
      </c>
    </row>
    <row r="771" spans="1:7">
      <c r="A771" s="3">
        <v>16</v>
      </c>
      <c r="B771" s="3">
        <v>8</v>
      </c>
      <c r="C771" s="3">
        <v>67</v>
      </c>
      <c r="D771" s="3">
        <v>34</v>
      </c>
      <c r="E771" s="3">
        <v>688.625</v>
      </c>
      <c r="F771" s="4" t="str">
        <f>HYPERLINK("http://141.218.60.56/~jnz1568/getInfo.php?workbook=16_08.xlsx&amp;sheet=A0&amp;row=771&amp;col=6&amp;number=2503000&amp;sourceID=14","2503000")</f>
        <v>2503000</v>
      </c>
      <c r="G771" s="4" t="str">
        <f>HYPERLINK("http://141.218.60.56/~jnz1568/getInfo.php?workbook=16_08.xlsx&amp;sheet=A0&amp;row=771&amp;col=7&amp;number=0&amp;sourceID=14","0")</f>
        <v>0</v>
      </c>
    </row>
    <row r="772" spans="1:7">
      <c r="A772" s="3">
        <v>16</v>
      </c>
      <c r="B772" s="3">
        <v>8</v>
      </c>
      <c r="C772" s="3">
        <v>67</v>
      </c>
      <c r="D772" s="3">
        <v>37</v>
      </c>
      <c r="E772" s="3">
        <v>850.463</v>
      </c>
      <c r="F772" s="4" t="str">
        <f>HYPERLINK("http://141.218.60.56/~jnz1568/getInfo.php?workbook=16_08.xlsx&amp;sheet=A0&amp;row=772&amp;col=6&amp;number=489100000&amp;sourceID=14","489100000")</f>
        <v>489100000</v>
      </c>
      <c r="G772" s="4" t="str">
        <f>HYPERLINK("http://141.218.60.56/~jnz1568/getInfo.php?workbook=16_08.xlsx&amp;sheet=A0&amp;row=772&amp;col=7&amp;number=0&amp;sourceID=14","0")</f>
        <v>0</v>
      </c>
    </row>
    <row r="773" spans="1:7">
      <c r="A773" s="3">
        <v>16</v>
      </c>
      <c r="B773" s="3">
        <v>8</v>
      </c>
      <c r="C773" s="3">
        <v>67</v>
      </c>
      <c r="D773" s="3">
        <v>44</v>
      </c>
      <c r="E773" s="3">
        <v>861.868</v>
      </c>
      <c r="F773" s="4" t="str">
        <f>HYPERLINK("http://141.218.60.56/~jnz1568/getInfo.php?workbook=16_08.xlsx&amp;sheet=A0&amp;row=773&amp;col=6&amp;number=11890000&amp;sourceID=14","11890000")</f>
        <v>11890000</v>
      </c>
      <c r="G773" s="4" t="str">
        <f>HYPERLINK("http://141.218.60.56/~jnz1568/getInfo.php?workbook=16_08.xlsx&amp;sheet=A0&amp;row=773&amp;col=7&amp;number=0&amp;sourceID=14","0")</f>
        <v>0</v>
      </c>
    </row>
    <row r="774" spans="1:7">
      <c r="A774" s="3">
        <v>16</v>
      </c>
      <c r="B774" s="3">
        <v>8</v>
      </c>
      <c r="C774" s="3">
        <v>67</v>
      </c>
      <c r="D774" s="3">
        <v>46</v>
      </c>
      <c r="E774" s="3">
        <v>964.571</v>
      </c>
      <c r="F774" s="4" t="str">
        <f>HYPERLINK("http://141.218.60.56/~jnz1568/getInfo.php?workbook=16_08.xlsx&amp;sheet=A0&amp;row=774&amp;col=6&amp;number=9999000&amp;sourceID=14","9999000")</f>
        <v>9999000</v>
      </c>
      <c r="G774" s="4" t="str">
        <f>HYPERLINK("http://141.218.60.56/~jnz1568/getInfo.php?workbook=16_08.xlsx&amp;sheet=A0&amp;row=774&amp;col=7&amp;number=0&amp;sourceID=14","0")</f>
        <v>0</v>
      </c>
    </row>
    <row r="775" spans="1:7">
      <c r="A775" s="3">
        <v>16</v>
      </c>
      <c r="B775" s="3">
        <v>8</v>
      </c>
      <c r="C775" s="3">
        <v>67</v>
      </c>
      <c r="D775" s="3">
        <v>47</v>
      </c>
      <c r="E775" s="3">
        <v>-957.047</v>
      </c>
      <c r="F775" s="4" t="str">
        <f>HYPERLINK("http://141.218.60.56/~jnz1568/getInfo.php?workbook=16_08.xlsx&amp;sheet=A0&amp;row=775&amp;col=6&amp;number=9236000&amp;sourceID=14","9236000")</f>
        <v>9236000</v>
      </c>
      <c r="G775" s="4" t="str">
        <f>HYPERLINK("http://141.218.60.56/~jnz1568/getInfo.php?workbook=16_08.xlsx&amp;sheet=A0&amp;row=775&amp;col=7&amp;number=0&amp;sourceID=14","0")</f>
        <v>0</v>
      </c>
    </row>
    <row r="776" spans="1:7">
      <c r="A776" s="3">
        <v>16</v>
      </c>
      <c r="B776" s="3">
        <v>8</v>
      </c>
      <c r="C776" s="3">
        <v>67</v>
      </c>
      <c r="D776" s="3">
        <v>52</v>
      </c>
      <c r="E776" s="3">
        <v>-1068.468</v>
      </c>
      <c r="F776" s="4" t="str">
        <f>HYPERLINK("http://141.218.60.56/~jnz1568/getInfo.php?workbook=16_08.xlsx&amp;sheet=A0&amp;row=776&amp;col=6&amp;number=868100&amp;sourceID=14","868100")</f>
        <v>868100</v>
      </c>
      <c r="G776" s="4" t="str">
        <f>HYPERLINK("http://141.218.60.56/~jnz1568/getInfo.php?workbook=16_08.xlsx&amp;sheet=A0&amp;row=776&amp;col=7&amp;number=0&amp;sourceID=14","0")</f>
        <v>0</v>
      </c>
    </row>
    <row r="777" spans="1:7">
      <c r="A777" s="3">
        <v>16</v>
      </c>
      <c r="B777" s="3">
        <v>8</v>
      </c>
      <c r="C777" s="3">
        <v>67</v>
      </c>
      <c r="D777" s="3">
        <v>55</v>
      </c>
      <c r="E777" s="3">
        <v>-1536.32</v>
      </c>
      <c r="F777" s="4" t="str">
        <f>HYPERLINK("http://141.218.60.56/~jnz1568/getInfo.php?workbook=16_08.xlsx&amp;sheet=A0&amp;row=777&amp;col=6&amp;number=9357&amp;sourceID=14","9357")</f>
        <v>9357</v>
      </c>
      <c r="G777" s="4" t="str">
        <f>HYPERLINK("http://141.218.60.56/~jnz1568/getInfo.php?workbook=16_08.xlsx&amp;sheet=A0&amp;row=777&amp;col=7&amp;number=0&amp;sourceID=14","0")</f>
        <v>0</v>
      </c>
    </row>
    <row r="778" spans="1:7">
      <c r="A778" s="3">
        <v>16</v>
      </c>
      <c r="B778" s="3">
        <v>8</v>
      </c>
      <c r="C778" s="3">
        <v>68</v>
      </c>
      <c r="D778" s="3">
        <v>1</v>
      </c>
      <c r="E778" s="3">
        <v>47.418</v>
      </c>
      <c r="F778" s="4" t="str">
        <f>HYPERLINK("http://141.218.60.56/~jnz1568/getInfo.php?workbook=16_08.xlsx&amp;sheet=A0&amp;row=778&amp;col=6&amp;number=48480000000&amp;sourceID=14","48480000000")</f>
        <v>48480000000</v>
      </c>
      <c r="G778" s="4" t="str">
        <f>HYPERLINK("http://141.218.60.56/~jnz1568/getInfo.php?workbook=16_08.xlsx&amp;sheet=A0&amp;row=778&amp;col=7&amp;number=0&amp;sourceID=14","0")</f>
        <v>0</v>
      </c>
    </row>
    <row r="779" spans="1:7">
      <c r="A779" s="3">
        <v>16</v>
      </c>
      <c r="B779" s="3">
        <v>8</v>
      </c>
      <c r="C779" s="3">
        <v>68</v>
      </c>
      <c r="D779" s="3">
        <v>2</v>
      </c>
      <c r="E779" s="3">
        <v>47.599</v>
      </c>
      <c r="F779" s="4" t="str">
        <f>HYPERLINK("http://141.218.60.56/~jnz1568/getInfo.php?workbook=16_08.xlsx&amp;sheet=A0&amp;row=779&amp;col=6&amp;number=187800000000&amp;sourceID=14","187800000000")</f>
        <v>187800000000</v>
      </c>
      <c r="G779" s="4" t="str">
        <f>HYPERLINK("http://141.218.60.56/~jnz1568/getInfo.php?workbook=16_08.xlsx&amp;sheet=A0&amp;row=779&amp;col=7&amp;number=0&amp;sourceID=14","0")</f>
        <v>0</v>
      </c>
    </row>
    <row r="780" spans="1:7">
      <c r="A780" s="3">
        <v>16</v>
      </c>
      <c r="B780" s="3">
        <v>8</v>
      </c>
      <c r="C780" s="3">
        <v>68</v>
      </c>
      <c r="D780" s="3">
        <v>3</v>
      </c>
      <c r="E780" s="3">
        <v>47.659</v>
      </c>
      <c r="F780" s="4" t="str">
        <f>HYPERLINK("http://141.218.60.56/~jnz1568/getInfo.php?workbook=16_08.xlsx&amp;sheet=A0&amp;row=780&amp;col=6&amp;number=121900000000&amp;sourceID=14","121900000000")</f>
        <v>121900000000</v>
      </c>
      <c r="G780" s="4" t="str">
        <f>HYPERLINK("http://141.218.60.56/~jnz1568/getInfo.php?workbook=16_08.xlsx&amp;sheet=A0&amp;row=780&amp;col=7&amp;number=0&amp;sourceID=14","0")</f>
        <v>0</v>
      </c>
    </row>
    <row r="781" spans="1:7">
      <c r="A781" s="3">
        <v>16</v>
      </c>
      <c r="B781" s="3">
        <v>8</v>
      </c>
      <c r="C781" s="3">
        <v>68</v>
      </c>
      <c r="D781" s="3">
        <v>4</v>
      </c>
      <c r="E781" s="3">
        <v>48.766</v>
      </c>
      <c r="F781" s="4" t="str">
        <f>HYPERLINK("http://141.218.60.56/~jnz1568/getInfo.php?workbook=16_08.xlsx&amp;sheet=A0&amp;row=781&amp;col=6&amp;number=311400000000&amp;sourceID=14","311400000000")</f>
        <v>311400000000</v>
      </c>
      <c r="G781" s="4" t="str">
        <f>HYPERLINK("http://141.218.60.56/~jnz1568/getInfo.php?workbook=16_08.xlsx&amp;sheet=A0&amp;row=781&amp;col=7&amp;number=0&amp;sourceID=14","0")</f>
        <v>0</v>
      </c>
    </row>
    <row r="782" spans="1:7">
      <c r="A782" s="3">
        <v>16</v>
      </c>
      <c r="B782" s="3">
        <v>8</v>
      </c>
      <c r="C782" s="3">
        <v>68</v>
      </c>
      <c r="D782" s="3">
        <v>5</v>
      </c>
      <c r="E782" s="3">
        <v>50.348</v>
      </c>
      <c r="F782" s="4" t="str">
        <f>HYPERLINK("http://141.218.60.56/~jnz1568/getInfo.php?workbook=16_08.xlsx&amp;sheet=A0&amp;row=782&amp;col=6&amp;number=61840000000&amp;sourceID=14","61840000000")</f>
        <v>61840000000</v>
      </c>
      <c r="G782" s="4" t="str">
        <f>HYPERLINK("http://141.218.60.56/~jnz1568/getInfo.php?workbook=16_08.xlsx&amp;sheet=A0&amp;row=782&amp;col=7&amp;number=0&amp;sourceID=14","0")</f>
        <v>0</v>
      </c>
    </row>
    <row r="783" spans="1:7">
      <c r="A783" s="3">
        <v>16</v>
      </c>
      <c r="B783" s="3">
        <v>8</v>
      </c>
      <c r="C783" s="3">
        <v>68</v>
      </c>
      <c r="D783" s="3">
        <v>7</v>
      </c>
      <c r="E783" s="3">
        <v>60.354</v>
      </c>
      <c r="F783" s="4" t="str">
        <f>HYPERLINK("http://141.218.60.56/~jnz1568/getInfo.php?workbook=16_08.xlsx&amp;sheet=A0&amp;row=783&amp;col=6&amp;number=14430&amp;sourceID=14","14430")</f>
        <v>14430</v>
      </c>
      <c r="G783" s="4" t="str">
        <f>HYPERLINK("http://141.218.60.56/~jnz1568/getInfo.php?workbook=16_08.xlsx&amp;sheet=A0&amp;row=783&amp;col=7&amp;number=0&amp;sourceID=14","0")</f>
        <v>0</v>
      </c>
    </row>
    <row r="784" spans="1:7">
      <c r="A784" s="3">
        <v>16</v>
      </c>
      <c r="B784" s="3">
        <v>8</v>
      </c>
      <c r="C784" s="3">
        <v>68</v>
      </c>
      <c r="D784" s="3">
        <v>9</v>
      </c>
      <c r="E784" s="3">
        <v>66.987</v>
      </c>
      <c r="F784" s="4" t="str">
        <f>HYPERLINK("http://141.218.60.56/~jnz1568/getInfo.php?workbook=16_08.xlsx&amp;sheet=A0&amp;row=784&amp;col=6&amp;number=34050&amp;sourceID=14","34050")</f>
        <v>34050</v>
      </c>
      <c r="G784" s="4" t="str">
        <f>HYPERLINK("http://141.218.60.56/~jnz1568/getInfo.php?workbook=16_08.xlsx&amp;sheet=A0&amp;row=784&amp;col=7&amp;number=0&amp;sourceID=14","0")</f>
        <v>0</v>
      </c>
    </row>
    <row r="785" spans="1:7">
      <c r="A785" s="3">
        <v>16</v>
      </c>
      <c r="B785" s="3">
        <v>8</v>
      </c>
      <c r="C785" s="3">
        <v>68</v>
      </c>
      <c r="D785" s="3">
        <v>10</v>
      </c>
      <c r="E785" s="3">
        <v>93.487</v>
      </c>
      <c r="F785" s="4" t="str">
        <f>HYPERLINK("http://141.218.60.56/~jnz1568/getInfo.php?workbook=16_08.xlsx&amp;sheet=A0&amp;row=785&amp;col=6&amp;number=5170000&amp;sourceID=14","5170000")</f>
        <v>5170000</v>
      </c>
      <c r="G785" s="4" t="str">
        <f>HYPERLINK("http://141.218.60.56/~jnz1568/getInfo.php?workbook=16_08.xlsx&amp;sheet=A0&amp;row=785&amp;col=7&amp;number=0&amp;sourceID=14","0")</f>
        <v>0</v>
      </c>
    </row>
    <row r="786" spans="1:7">
      <c r="A786" s="3">
        <v>16</v>
      </c>
      <c r="B786" s="3">
        <v>8</v>
      </c>
      <c r="C786" s="3">
        <v>68</v>
      </c>
      <c r="D786" s="3">
        <v>12</v>
      </c>
      <c r="E786" s="3">
        <v>306.991</v>
      </c>
      <c r="F786" s="4" t="str">
        <f>HYPERLINK("http://141.218.60.56/~jnz1568/getInfo.php?workbook=16_08.xlsx&amp;sheet=A0&amp;row=786&amp;col=6&amp;number=7383&amp;sourceID=14","7383")</f>
        <v>7383</v>
      </c>
      <c r="G786" s="4" t="str">
        <f>HYPERLINK("http://141.218.60.56/~jnz1568/getInfo.php?workbook=16_08.xlsx&amp;sheet=A0&amp;row=786&amp;col=7&amp;number=0&amp;sourceID=14","0")</f>
        <v>0</v>
      </c>
    </row>
    <row r="787" spans="1:7">
      <c r="A787" s="3">
        <v>16</v>
      </c>
      <c r="B787" s="3">
        <v>8</v>
      </c>
      <c r="C787" s="3">
        <v>68</v>
      </c>
      <c r="D787" s="3">
        <v>13</v>
      </c>
      <c r="E787" s="3">
        <v>378.907</v>
      </c>
      <c r="F787" s="4" t="str">
        <f>HYPERLINK("http://141.218.60.56/~jnz1568/getInfo.php?workbook=16_08.xlsx&amp;sheet=A0&amp;row=787&amp;col=6&amp;number=13040&amp;sourceID=14","13040")</f>
        <v>13040</v>
      </c>
      <c r="G787" s="4" t="str">
        <f>HYPERLINK("http://141.218.60.56/~jnz1568/getInfo.php?workbook=16_08.xlsx&amp;sheet=A0&amp;row=787&amp;col=7&amp;number=0&amp;sourceID=14","0")</f>
        <v>0</v>
      </c>
    </row>
    <row r="788" spans="1:7">
      <c r="A788" s="3">
        <v>16</v>
      </c>
      <c r="B788" s="3">
        <v>8</v>
      </c>
      <c r="C788" s="3">
        <v>68</v>
      </c>
      <c r="D788" s="3">
        <v>14</v>
      </c>
      <c r="E788" s="3">
        <v>379.235</v>
      </c>
      <c r="F788" s="4" t="str">
        <f>HYPERLINK("http://141.218.60.56/~jnz1568/getInfo.php?workbook=16_08.xlsx&amp;sheet=A0&amp;row=788&amp;col=6&amp;number=6226&amp;sourceID=14","6226")</f>
        <v>6226</v>
      </c>
      <c r="G788" s="4" t="str">
        <f>HYPERLINK("http://141.218.60.56/~jnz1568/getInfo.php?workbook=16_08.xlsx&amp;sheet=A0&amp;row=788&amp;col=7&amp;number=0&amp;sourceID=14","0")</f>
        <v>0</v>
      </c>
    </row>
    <row r="789" spans="1:7">
      <c r="A789" s="3">
        <v>16</v>
      </c>
      <c r="B789" s="3">
        <v>8</v>
      </c>
      <c r="C789" s="3">
        <v>68</v>
      </c>
      <c r="D789" s="3">
        <v>15</v>
      </c>
      <c r="E789" s="3">
        <v>380.176</v>
      </c>
      <c r="F789" s="4" t="str">
        <f>HYPERLINK("http://141.218.60.56/~jnz1568/getInfo.php?workbook=16_08.xlsx&amp;sheet=A0&amp;row=789&amp;col=6&amp;number=2725&amp;sourceID=14","2725")</f>
        <v>2725</v>
      </c>
      <c r="G789" s="4" t="str">
        <f>HYPERLINK("http://141.218.60.56/~jnz1568/getInfo.php?workbook=16_08.xlsx&amp;sheet=A0&amp;row=789&amp;col=7&amp;number=0&amp;sourceID=14","0")</f>
        <v>0</v>
      </c>
    </row>
    <row r="790" spans="1:7">
      <c r="A790" s="3">
        <v>16</v>
      </c>
      <c r="B790" s="3">
        <v>8</v>
      </c>
      <c r="C790" s="3">
        <v>68</v>
      </c>
      <c r="D790" s="3">
        <v>16</v>
      </c>
      <c r="E790" s="3">
        <v>399.655</v>
      </c>
      <c r="F790" s="4" t="str">
        <f>HYPERLINK("http://141.218.60.56/~jnz1568/getInfo.php?workbook=16_08.xlsx&amp;sheet=A0&amp;row=790&amp;col=6&amp;number=23800&amp;sourceID=14","23800")</f>
        <v>23800</v>
      </c>
      <c r="G790" s="4" t="str">
        <f>HYPERLINK("http://141.218.60.56/~jnz1568/getInfo.php?workbook=16_08.xlsx&amp;sheet=A0&amp;row=790&amp;col=7&amp;number=0&amp;sourceID=14","0")</f>
        <v>0</v>
      </c>
    </row>
    <row r="791" spans="1:7">
      <c r="A791" s="3">
        <v>16</v>
      </c>
      <c r="B791" s="3">
        <v>8</v>
      </c>
      <c r="C791" s="3">
        <v>68</v>
      </c>
      <c r="D791" s="3">
        <v>17</v>
      </c>
      <c r="E791" s="3">
        <v>414.836</v>
      </c>
      <c r="F791" s="4" t="str">
        <f>HYPERLINK("http://141.218.60.56/~jnz1568/getInfo.php?workbook=16_08.xlsx&amp;sheet=A0&amp;row=791&amp;col=6&amp;number=43280&amp;sourceID=14","43280")</f>
        <v>43280</v>
      </c>
      <c r="G791" s="4" t="str">
        <f>HYPERLINK("http://141.218.60.56/~jnz1568/getInfo.php?workbook=16_08.xlsx&amp;sheet=A0&amp;row=791&amp;col=7&amp;number=0&amp;sourceID=14","0")</f>
        <v>0</v>
      </c>
    </row>
    <row r="792" spans="1:7">
      <c r="A792" s="3">
        <v>16</v>
      </c>
      <c r="B792" s="3">
        <v>8</v>
      </c>
      <c r="C792" s="3">
        <v>68</v>
      </c>
      <c r="D792" s="3">
        <v>18</v>
      </c>
      <c r="E792" s="3">
        <v>415.921</v>
      </c>
      <c r="F792" s="4" t="str">
        <f>HYPERLINK("http://141.218.60.56/~jnz1568/getInfo.php?workbook=16_08.xlsx&amp;sheet=A0&amp;row=792&amp;col=6&amp;number=46720&amp;sourceID=14","46720")</f>
        <v>46720</v>
      </c>
      <c r="G792" s="4" t="str">
        <f>HYPERLINK("http://141.218.60.56/~jnz1568/getInfo.php?workbook=16_08.xlsx&amp;sheet=A0&amp;row=792&amp;col=7&amp;number=0&amp;sourceID=14","0")</f>
        <v>0</v>
      </c>
    </row>
    <row r="793" spans="1:7">
      <c r="A793" s="3">
        <v>16</v>
      </c>
      <c r="B793" s="3">
        <v>8</v>
      </c>
      <c r="C793" s="3">
        <v>68</v>
      </c>
      <c r="D793" s="3">
        <v>20</v>
      </c>
      <c r="E793" s="3">
        <v>462.764</v>
      </c>
      <c r="F793" s="4" t="str">
        <f>HYPERLINK("http://141.218.60.56/~jnz1568/getInfo.php?workbook=16_08.xlsx&amp;sheet=A0&amp;row=793&amp;col=6&amp;number=4070000&amp;sourceID=14","4070000")</f>
        <v>4070000</v>
      </c>
      <c r="G793" s="4" t="str">
        <f>HYPERLINK("http://141.218.60.56/~jnz1568/getInfo.php?workbook=16_08.xlsx&amp;sheet=A0&amp;row=793&amp;col=7&amp;number=0&amp;sourceID=14","0")</f>
        <v>0</v>
      </c>
    </row>
    <row r="794" spans="1:7">
      <c r="A794" s="3">
        <v>16</v>
      </c>
      <c r="B794" s="3">
        <v>8</v>
      </c>
      <c r="C794" s="3">
        <v>68</v>
      </c>
      <c r="D794" s="3">
        <v>21</v>
      </c>
      <c r="E794" s="3">
        <v>463.568</v>
      </c>
      <c r="F794" s="4" t="str">
        <f>HYPERLINK("http://141.218.60.56/~jnz1568/getInfo.php?workbook=16_08.xlsx&amp;sheet=A0&amp;row=794&amp;col=6&amp;number=570900&amp;sourceID=14","570900")</f>
        <v>570900</v>
      </c>
      <c r="G794" s="4" t="str">
        <f>HYPERLINK("http://141.218.60.56/~jnz1568/getInfo.php?workbook=16_08.xlsx&amp;sheet=A0&amp;row=794&amp;col=7&amp;number=0&amp;sourceID=14","0")</f>
        <v>0</v>
      </c>
    </row>
    <row r="795" spans="1:7">
      <c r="A795" s="3">
        <v>16</v>
      </c>
      <c r="B795" s="3">
        <v>8</v>
      </c>
      <c r="C795" s="3">
        <v>68</v>
      </c>
      <c r="D795" s="3">
        <v>22</v>
      </c>
      <c r="E795" s="3">
        <v>-457.061</v>
      </c>
      <c r="F795" s="4" t="str">
        <f>HYPERLINK("http://141.218.60.56/~jnz1568/getInfo.php?workbook=16_08.xlsx&amp;sheet=A0&amp;row=795&amp;col=6&amp;number=33150000&amp;sourceID=14","33150000")</f>
        <v>33150000</v>
      </c>
      <c r="G795" s="4" t="str">
        <f>HYPERLINK("http://141.218.60.56/~jnz1568/getInfo.php?workbook=16_08.xlsx&amp;sheet=A0&amp;row=795&amp;col=7&amp;number=0&amp;sourceID=14","0")</f>
        <v>0</v>
      </c>
    </row>
    <row r="796" spans="1:7">
      <c r="A796" s="3">
        <v>16</v>
      </c>
      <c r="B796" s="3">
        <v>8</v>
      </c>
      <c r="C796" s="3">
        <v>68</v>
      </c>
      <c r="D796" s="3">
        <v>27</v>
      </c>
      <c r="E796" s="3">
        <v>-614.547</v>
      </c>
      <c r="F796" s="4" t="str">
        <f>HYPERLINK("http://141.218.60.56/~jnz1568/getInfo.php?workbook=16_08.xlsx&amp;sheet=A0&amp;row=796&amp;col=6&amp;number=343200000&amp;sourceID=14","343200000")</f>
        <v>343200000</v>
      </c>
      <c r="G796" s="4" t="str">
        <f>HYPERLINK("http://141.218.60.56/~jnz1568/getInfo.php?workbook=16_08.xlsx&amp;sheet=A0&amp;row=796&amp;col=7&amp;number=0&amp;sourceID=14","0")</f>
        <v>0</v>
      </c>
    </row>
    <row r="797" spans="1:7">
      <c r="A797" s="3">
        <v>16</v>
      </c>
      <c r="B797" s="3">
        <v>8</v>
      </c>
      <c r="C797" s="3">
        <v>68</v>
      </c>
      <c r="D797" s="3">
        <v>28</v>
      </c>
      <c r="E797" s="3">
        <v>626.139</v>
      </c>
      <c r="F797" s="4" t="str">
        <f>HYPERLINK("http://141.218.60.56/~jnz1568/getInfo.php?workbook=16_08.xlsx&amp;sheet=A0&amp;row=797&amp;col=6&amp;number=1660000000&amp;sourceID=14","1660000000")</f>
        <v>1660000000</v>
      </c>
      <c r="G797" s="4" t="str">
        <f>HYPERLINK("http://141.218.60.56/~jnz1568/getInfo.php?workbook=16_08.xlsx&amp;sheet=A0&amp;row=797&amp;col=7&amp;number=0&amp;sourceID=14","0")</f>
        <v>0</v>
      </c>
    </row>
    <row r="798" spans="1:7">
      <c r="A798" s="3">
        <v>16</v>
      </c>
      <c r="B798" s="3">
        <v>8</v>
      </c>
      <c r="C798" s="3">
        <v>68</v>
      </c>
      <c r="D798" s="3">
        <v>30</v>
      </c>
      <c r="E798" s="3">
        <v>-593.509</v>
      </c>
      <c r="F798" s="4" t="str">
        <f>HYPERLINK("http://141.218.60.56/~jnz1568/getInfo.php?workbook=16_08.xlsx&amp;sheet=A0&amp;row=798&amp;col=6&amp;number=145300000&amp;sourceID=14","145300000")</f>
        <v>145300000</v>
      </c>
      <c r="G798" s="4" t="str">
        <f>HYPERLINK("http://141.218.60.56/~jnz1568/getInfo.php?workbook=16_08.xlsx&amp;sheet=A0&amp;row=798&amp;col=7&amp;number=0&amp;sourceID=14","0")</f>
        <v>0</v>
      </c>
    </row>
    <row r="799" spans="1:7">
      <c r="A799" s="3">
        <v>16</v>
      </c>
      <c r="B799" s="3">
        <v>8</v>
      </c>
      <c r="C799" s="3">
        <v>68</v>
      </c>
      <c r="D799" s="3">
        <v>31</v>
      </c>
      <c r="E799" s="3">
        <v>660.301</v>
      </c>
      <c r="F799" s="4" t="str">
        <f>HYPERLINK("http://141.218.60.56/~jnz1568/getInfo.php?workbook=16_08.xlsx&amp;sheet=A0&amp;row=799&amp;col=6&amp;number=21590000&amp;sourceID=14","21590000")</f>
        <v>21590000</v>
      </c>
      <c r="G799" s="4" t="str">
        <f>HYPERLINK("http://141.218.60.56/~jnz1568/getInfo.php?workbook=16_08.xlsx&amp;sheet=A0&amp;row=799&amp;col=7&amp;number=0&amp;sourceID=14","0")</f>
        <v>0</v>
      </c>
    </row>
    <row r="800" spans="1:7">
      <c r="A800" s="3">
        <v>16</v>
      </c>
      <c r="B800" s="3">
        <v>8</v>
      </c>
      <c r="C800" s="3">
        <v>68</v>
      </c>
      <c r="D800" s="3">
        <v>35</v>
      </c>
      <c r="E800" s="3">
        <v>-843.831</v>
      </c>
      <c r="F800" s="4" t="str">
        <f>HYPERLINK("http://141.218.60.56/~jnz1568/getInfo.php?workbook=16_08.xlsx&amp;sheet=A0&amp;row=800&amp;col=6&amp;number=119300000&amp;sourceID=14","119300000")</f>
        <v>119300000</v>
      </c>
      <c r="G800" s="4" t="str">
        <f>HYPERLINK("http://141.218.60.56/~jnz1568/getInfo.php?workbook=16_08.xlsx&amp;sheet=A0&amp;row=800&amp;col=7&amp;number=0&amp;sourceID=14","0")</f>
        <v>0</v>
      </c>
    </row>
    <row r="801" spans="1:7">
      <c r="A801" s="3">
        <v>16</v>
      </c>
      <c r="B801" s="3">
        <v>8</v>
      </c>
      <c r="C801" s="3">
        <v>68</v>
      </c>
      <c r="D801" s="3">
        <v>36</v>
      </c>
      <c r="E801" s="3">
        <v>857.052</v>
      </c>
      <c r="F801" s="4" t="str">
        <f>HYPERLINK("http://141.218.60.56/~jnz1568/getInfo.php?workbook=16_08.xlsx&amp;sheet=A0&amp;row=801&amp;col=6&amp;number=65880000&amp;sourceID=14","65880000")</f>
        <v>65880000</v>
      </c>
      <c r="G801" s="4" t="str">
        <f>HYPERLINK("http://141.218.60.56/~jnz1568/getInfo.php?workbook=16_08.xlsx&amp;sheet=A0&amp;row=801&amp;col=7&amp;number=0&amp;sourceID=14","0")</f>
        <v>0</v>
      </c>
    </row>
    <row r="802" spans="1:7">
      <c r="A802" s="3">
        <v>16</v>
      </c>
      <c r="B802" s="3">
        <v>8</v>
      </c>
      <c r="C802" s="3">
        <v>68</v>
      </c>
      <c r="D802" s="3">
        <v>37</v>
      </c>
      <c r="E802" s="3">
        <v>845.773</v>
      </c>
      <c r="F802" s="4" t="str">
        <f>HYPERLINK("http://141.218.60.56/~jnz1568/getInfo.php?workbook=16_08.xlsx&amp;sheet=A0&amp;row=802&amp;col=6&amp;number=381500&amp;sourceID=14","381500")</f>
        <v>381500</v>
      </c>
      <c r="G802" s="4" t="str">
        <f>HYPERLINK("http://141.218.60.56/~jnz1568/getInfo.php?workbook=16_08.xlsx&amp;sheet=A0&amp;row=802&amp;col=7&amp;number=0&amp;sourceID=14","0")</f>
        <v>0</v>
      </c>
    </row>
    <row r="803" spans="1:7">
      <c r="A803" s="3">
        <v>16</v>
      </c>
      <c r="B803" s="3">
        <v>8</v>
      </c>
      <c r="C803" s="3">
        <v>68</v>
      </c>
      <c r="D803" s="3">
        <v>43</v>
      </c>
      <c r="E803" s="3">
        <v>-801.61</v>
      </c>
      <c r="F803" s="4" t="str">
        <f>HYPERLINK("http://141.218.60.56/~jnz1568/getInfo.php?workbook=16_08.xlsx&amp;sheet=A0&amp;row=803&amp;col=6&amp;number=30890000&amp;sourceID=14","30890000")</f>
        <v>30890000</v>
      </c>
      <c r="G803" s="4" t="str">
        <f>HYPERLINK("http://141.218.60.56/~jnz1568/getInfo.php?workbook=16_08.xlsx&amp;sheet=A0&amp;row=803&amp;col=7&amp;number=0&amp;sourceID=14","0")</f>
        <v>0</v>
      </c>
    </row>
    <row r="804" spans="1:7">
      <c r="A804" s="3">
        <v>16</v>
      </c>
      <c r="B804" s="3">
        <v>8</v>
      </c>
      <c r="C804" s="3">
        <v>68</v>
      </c>
      <c r="D804" s="3">
        <v>44</v>
      </c>
      <c r="E804" s="3">
        <v>857.052</v>
      </c>
      <c r="F804" s="4" t="str">
        <f>HYPERLINK("http://141.218.60.56/~jnz1568/getInfo.php?workbook=16_08.xlsx&amp;sheet=A0&amp;row=804&amp;col=6&amp;number=31570000&amp;sourceID=14","31570000")</f>
        <v>31570000</v>
      </c>
      <c r="G804" s="4" t="str">
        <f>HYPERLINK("http://141.218.60.56/~jnz1568/getInfo.php?workbook=16_08.xlsx&amp;sheet=A0&amp;row=804&amp;col=7&amp;number=0&amp;sourceID=14","0")</f>
        <v>0</v>
      </c>
    </row>
    <row r="805" spans="1:7">
      <c r="A805" s="3">
        <v>16</v>
      </c>
      <c r="B805" s="3">
        <v>8</v>
      </c>
      <c r="C805" s="3">
        <v>68</v>
      </c>
      <c r="D805" s="3">
        <v>45</v>
      </c>
      <c r="E805" s="3">
        <v>-886.598</v>
      </c>
      <c r="F805" s="4" t="str">
        <f>HYPERLINK("http://141.218.60.56/~jnz1568/getInfo.php?workbook=16_08.xlsx&amp;sheet=A0&amp;row=805&amp;col=6&amp;number=18430000&amp;sourceID=14","18430000")</f>
        <v>18430000</v>
      </c>
      <c r="G805" s="4" t="str">
        <f>HYPERLINK("http://141.218.60.56/~jnz1568/getInfo.php?workbook=16_08.xlsx&amp;sheet=A0&amp;row=805&amp;col=7&amp;number=0&amp;sourceID=14","0")</f>
        <v>0</v>
      </c>
    </row>
    <row r="806" spans="1:7">
      <c r="A806" s="3">
        <v>16</v>
      </c>
      <c r="B806" s="3">
        <v>8</v>
      </c>
      <c r="C806" s="3">
        <v>68</v>
      </c>
      <c r="D806" s="3">
        <v>47</v>
      </c>
      <c r="E806" s="3">
        <v>-954.553</v>
      </c>
      <c r="F806" s="4" t="str">
        <f>HYPERLINK("http://141.218.60.56/~jnz1568/getInfo.php?workbook=16_08.xlsx&amp;sheet=A0&amp;row=806&amp;col=6&amp;number=95010000&amp;sourceID=14","95010000")</f>
        <v>95010000</v>
      </c>
      <c r="G806" s="4" t="str">
        <f>HYPERLINK("http://141.218.60.56/~jnz1568/getInfo.php?workbook=16_08.xlsx&amp;sheet=A0&amp;row=806&amp;col=7&amp;number=0&amp;sourceID=14","0")</f>
        <v>0</v>
      </c>
    </row>
    <row r="807" spans="1:7">
      <c r="A807" s="3">
        <v>16</v>
      </c>
      <c r="B807" s="3">
        <v>8</v>
      </c>
      <c r="C807" s="3">
        <v>68</v>
      </c>
      <c r="D807" s="3">
        <v>48</v>
      </c>
      <c r="E807" s="3">
        <v>-977.665</v>
      </c>
      <c r="F807" s="4" t="str">
        <f>HYPERLINK("http://141.218.60.56/~jnz1568/getInfo.php?workbook=16_08.xlsx&amp;sheet=A0&amp;row=807&amp;col=6&amp;number=41100000&amp;sourceID=14","41100000")</f>
        <v>41100000</v>
      </c>
      <c r="G807" s="4" t="str">
        <f>HYPERLINK("http://141.218.60.56/~jnz1568/getInfo.php?workbook=16_08.xlsx&amp;sheet=A0&amp;row=807&amp;col=7&amp;number=0&amp;sourceID=14","0")</f>
        <v>0</v>
      </c>
    </row>
    <row r="808" spans="1:7">
      <c r="A808" s="3">
        <v>16</v>
      </c>
      <c r="B808" s="3">
        <v>8</v>
      </c>
      <c r="C808" s="3">
        <v>68</v>
      </c>
      <c r="D808" s="3">
        <v>52</v>
      </c>
      <c r="E808" s="3">
        <v>-1065.361</v>
      </c>
      <c r="F808" s="4" t="str">
        <f>HYPERLINK("http://141.218.60.56/~jnz1568/getInfo.php?workbook=16_08.xlsx&amp;sheet=A0&amp;row=808&amp;col=6&amp;number=706900&amp;sourceID=14","706900")</f>
        <v>706900</v>
      </c>
      <c r="G808" s="4" t="str">
        <f>HYPERLINK("http://141.218.60.56/~jnz1568/getInfo.php?workbook=16_08.xlsx&amp;sheet=A0&amp;row=808&amp;col=7&amp;number=0&amp;sourceID=14","0")</f>
        <v>0</v>
      </c>
    </row>
    <row r="809" spans="1:7">
      <c r="A809" s="3">
        <v>16</v>
      </c>
      <c r="B809" s="3">
        <v>8</v>
      </c>
      <c r="C809" s="3">
        <v>68</v>
      </c>
      <c r="D809" s="3">
        <v>53</v>
      </c>
      <c r="E809" s="3">
        <v>-1090.857</v>
      </c>
      <c r="F809" s="4" t="str">
        <f>HYPERLINK("http://141.218.60.56/~jnz1568/getInfo.php?workbook=16_08.xlsx&amp;sheet=A0&amp;row=809&amp;col=6&amp;number=891100&amp;sourceID=14","891100")</f>
        <v>891100</v>
      </c>
      <c r="G809" s="4" t="str">
        <f>HYPERLINK("http://141.218.60.56/~jnz1568/getInfo.php?workbook=16_08.xlsx&amp;sheet=A0&amp;row=809&amp;col=7&amp;number=0&amp;sourceID=14","0")</f>
        <v>0</v>
      </c>
    </row>
    <row r="810" spans="1:7">
      <c r="A810" s="3">
        <v>16</v>
      </c>
      <c r="B810" s="3">
        <v>8</v>
      </c>
      <c r="C810" s="3">
        <v>68</v>
      </c>
      <c r="D810" s="3">
        <v>54</v>
      </c>
      <c r="E810" s="3">
        <v>-1104.323</v>
      </c>
      <c r="F810" s="4" t="str">
        <f>HYPERLINK("http://141.218.60.56/~jnz1568/getInfo.php?workbook=16_08.xlsx&amp;sheet=A0&amp;row=810&amp;col=6&amp;number=1008000&amp;sourceID=14","1008000")</f>
        <v>1008000</v>
      </c>
      <c r="G810" s="4" t="str">
        <f>HYPERLINK("http://141.218.60.56/~jnz1568/getInfo.php?workbook=16_08.xlsx&amp;sheet=A0&amp;row=810&amp;col=7&amp;number=0&amp;sourceID=14","0")</f>
        <v>0</v>
      </c>
    </row>
    <row r="811" spans="1:7">
      <c r="A811" s="3">
        <v>16</v>
      </c>
      <c r="B811" s="3">
        <v>8</v>
      </c>
      <c r="C811" s="3">
        <v>68</v>
      </c>
      <c r="D811" s="3">
        <v>55</v>
      </c>
      <c r="E811" s="3">
        <v>-1529.904</v>
      </c>
      <c r="F811" s="4" t="str">
        <f>HYPERLINK("http://141.218.60.56/~jnz1568/getInfo.php?workbook=16_08.xlsx&amp;sheet=A0&amp;row=811&amp;col=6&amp;number=7582000&amp;sourceID=14","7582000")</f>
        <v>7582000</v>
      </c>
      <c r="G811" s="4" t="str">
        <f>HYPERLINK("http://141.218.60.56/~jnz1568/getInfo.php?workbook=16_08.xlsx&amp;sheet=A0&amp;row=811&amp;col=7&amp;number=0&amp;sourceID=14","0")</f>
        <v>0</v>
      </c>
    </row>
    <row r="812" spans="1:7">
      <c r="A812" s="3">
        <v>16</v>
      </c>
      <c r="B812" s="3">
        <v>8</v>
      </c>
      <c r="C812" s="3">
        <v>68</v>
      </c>
      <c r="D812" s="3">
        <v>66</v>
      </c>
      <c r="E812" s="3">
        <v>-4289.828</v>
      </c>
      <c r="F812" s="4" t="str">
        <f>HYPERLINK("http://141.218.60.56/~jnz1568/getInfo.php?workbook=16_08.xlsx&amp;sheet=A0&amp;row=812&amp;col=6&amp;number=229900&amp;sourceID=14","229900")</f>
        <v>229900</v>
      </c>
      <c r="G812" s="4" t="str">
        <f>HYPERLINK("http://141.218.60.56/~jnz1568/getInfo.php?workbook=16_08.xlsx&amp;sheet=A0&amp;row=812&amp;col=7&amp;number=0&amp;sourceID=14","0")</f>
        <v>0</v>
      </c>
    </row>
    <row r="813" spans="1:7">
      <c r="A813" s="3">
        <v>16</v>
      </c>
      <c r="B813" s="3">
        <v>8</v>
      </c>
      <c r="C813" s="3">
        <v>69</v>
      </c>
      <c r="D813" s="3">
        <v>1</v>
      </c>
      <c r="E813" s="3">
        <v>47.249</v>
      </c>
      <c r="F813" s="4" t="str">
        <f>HYPERLINK("http://141.218.60.56/~jnz1568/getInfo.php?workbook=16_08.xlsx&amp;sheet=A0&amp;row=813&amp;col=6&amp;number=1266000000000&amp;sourceID=14","1266000000000")</f>
        <v>1266000000000</v>
      </c>
      <c r="G813" s="4" t="str">
        <f>HYPERLINK("http://141.218.60.56/~jnz1568/getInfo.php?workbook=16_08.xlsx&amp;sheet=A0&amp;row=813&amp;col=7&amp;number=0&amp;sourceID=14","0")</f>
        <v>0</v>
      </c>
    </row>
    <row r="814" spans="1:7">
      <c r="A814" s="3">
        <v>16</v>
      </c>
      <c r="B814" s="3">
        <v>8</v>
      </c>
      <c r="C814" s="3">
        <v>69</v>
      </c>
      <c r="D814" s="3">
        <v>2</v>
      </c>
      <c r="E814" s="3">
        <v>47.428</v>
      </c>
      <c r="F814" s="4" t="str">
        <f>HYPERLINK("http://141.218.60.56/~jnz1568/getInfo.php?workbook=16_08.xlsx&amp;sheet=A0&amp;row=814&amp;col=6&amp;number=191800000000&amp;sourceID=14","191800000000")</f>
        <v>191800000000</v>
      </c>
      <c r="G814" s="4" t="str">
        <f>HYPERLINK("http://141.218.60.56/~jnz1568/getInfo.php?workbook=16_08.xlsx&amp;sheet=A0&amp;row=814&amp;col=7&amp;number=0&amp;sourceID=14","0")</f>
        <v>0</v>
      </c>
    </row>
    <row r="815" spans="1:7">
      <c r="A815" s="3">
        <v>16</v>
      </c>
      <c r="B815" s="3">
        <v>8</v>
      </c>
      <c r="C815" s="3">
        <v>69</v>
      </c>
      <c r="D815" s="3">
        <v>3</v>
      </c>
      <c r="E815" s="3">
        <v>47.488</v>
      </c>
      <c r="F815" s="4" t="str">
        <f>HYPERLINK("http://141.218.60.56/~jnz1568/getInfo.php?workbook=16_08.xlsx&amp;sheet=A0&amp;row=815&amp;col=6&amp;number=3252&amp;sourceID=14","3252")</f>
        <v>3252</v>
      </c>
      <c r="G815" s="4" t="str">
        <f>HYPERLINK("http://141.218.60.56/~jnz1568/getInfo.php?workbook=16_08.xlsx&amp;sheet=A0&amp;row=815&amp;col=7&amp;number=0&amp;sourceID=14","0")</f>
        <v>0</v>
      </c>
    </row>
    <row r="816" spans="1:7">
      <c r="A816" s="3">
        <v>16</v>
      </c>
      <c r="B816" s="3">
        <v>8</v>
      </c>
      <c r="C816" s="3">
        <v>69</v>
      </c>
      <c r="D816" s="3">
        <v>4</v>
      </c>
      <c r="E816" s="3">
        <v>48.587</v>
      </c>
      <c r="F816" s="4" t="str">
        <f>HYPERLINK("http://141.218.60.56/~jnz1568/getInfo.php?workbook=16_08.xlsx&amp;sheet=A0&amp;row=816&amp;col=6&amp;number=10840000000&amp;sourceID=14","10840000000")</f>
        <v>10840000000</v>
      </c>
      <c r="G816" s="4" t="str">
        <f>HYPERLINK("http://141.218.60.56/~jnz1568/getInfo.php?workbook=16_08.xlsx&amp;sheet=A0&amp;row=816&amp;col=7&amp;number=0&amp;sourceID=14","0")</f>
        <v>0</v>
      </c>
    </row>
    <row r="817" spans="1:7">
      <c r="A817" s="3">
        <v>16</v>
      </c>
      <c r="B817" s="3">
        <v>8</v>
      </c>
      <c r="C817" s="3">
        <v>69</v>
      </c>
      <c r="D817" s="3">
        <v>5</v>
      </c>
      <c r="E817" s="3">
        <v>50.157</v>
      </c>
      <c r="F817" s="4" t="str">
        <f>HYPERLINK("http://141.218.60.56/~jnz1568/getInfo.php?workbook=16_08.xlsx&amp;sheet=A0&amp;row=817&amp;col=6&amp;number=1642&amp;sourceID=14","1642")</f>
        <v>1642</v>
      </c>
      <c r="G817" s="4" t="str">
        <f>HYPERLINK("http://141.218.60.56/~jnz1568/getInfo.php?workbook=16_08.xlsx&amp;sheet=A0&amp;row=817&amp;col=7&amp;number=0&amp;sourceID=14","0")</f>
        <v>0</v>
      </c>
    </row>
    <row r="818" spans="1:7">
      <c r="A818" s="3">
        <v>16</v>
      </c>
      <c r="B818" s="3">
        <v>8</v>
      </c>
      <c r="C818" s="3">
        <v>69</v>
      </c>
      <c r="D818" s="3">
        <v>6</v>
      </c>
      <c r="E818" s="3">
        <v>59.828</v>
      </c>
      <c r="F818" s="4" t="str">
        <f>HYPERLINK("http://141.218.60.56/~jnz1568/getInfo.php?workbook=16_08.xlsx&amp;sheet=A0&amp;row=818&amp;col=6&amp;number=39790&amp;sourceID=14","39790")</f>
        <v>39790</v>
      </c>
      <c r="G818" s="4" t="str">
        <f>HYPERLINK("http://141.218.60.56/~jnz1568/getInfo.php?workbook=16_08.xlsx&amp;sheet=A0&amp;row=818&amp;col=7&amp;number=0&amp;sourceID=14","0")</f>
        <v>0</v>
      </c>
    </row>
    <row r="819" spans="1:7">
      <c r="A819" s="3">
        <v>16</v>
      </c>
      <c r="B819" s="3">
        <v>8</v>
      </c>
      <c r="C819" s="3">
        <v>69</v>
      </c>
      <c r="D819" s="3">
        <v>7</v>
      </c>
      <c r="E819" s="3">
        <v>60.08</v>
      </c>
      <c r="F819" s="4" t="str">
        <f>HYPERLINK("http://141.218.60.56/~jnz1568/getInfo.php?workbook=16_08.xlsx&amp;sheet=A0&amp;row=819&amp;col=6&amp;number=32220&amp;sourceID=14","32220")</f>
        <v>32220</v>
      </c>
      <c r="G819" s="4" t="str">
        <f>HYPERLINK("http://141.218.60.56/~jnz1568/getInfo.php?workbook=16_08.xlsx&amp;sheet=A0&amp;row=819&amp;col=7&amp;number=0&amp;sourceID=14","0")</f>
        <v>0</v>
      </c>
    </row>
    <row r="820" spans="1:7">
      <c r="A820" s="3">
        <v>16</v>
      </c>
      <c r="B820" s="3">
        <v>8</v>
      </c>
      <c r="C820" s="3">
        <v>69</v>
      </c>
      <c r="D820" s="3">
        <v>8</v>
      </c>
      <c r="E820" s="3">
        <v>60.221</v>
      </c>
      <c r="F820" s="4" t="str">
        <f>HYPERLINK("http://141.218.60.56/~jnz1568/getInfo.php?workbook=16_08.xlsx&amp;sheet=A0&amp;row=820&amp;col=6&amp;number=11520&amp;sourceID=14","11520")</f>
        <v>11520</v>
      </c>
      <c r="G820" s="4" t="str">
        <f>HYPERLINK("http://141.218.60.56/~jnz1568/getInfo.php?workbook=16_08.xlsx&amp;sheet=A0&amp;row=820&amp;col=7&amp;number=0&amp;sourceID=14","0")</f>
        <v>0</v>
      </c>
    </row>
    <row r="821" spans="1:7">
      <c r="A821" s="3">
        <v>16</v>
      </c>
      <c r="B821" s="3">
        <v>8</v>
      </c>
      <c r="C821" s="3">
        <v>69</v>
      </c>
      <c r="D821" s="3">
        <v>9</v>
      </c>
      <c r="E821" s="3">
        <v>66.65</v>
      </c>
      <c r="F821" s="4" t="str">
        <f>HYPERLINK("http://141.218.60.56/~jnz1568/getInfo.php?workbook=16_08.xlsx&amp;sheet=A0&amp;row=821&amp;col=6&amp;number=1992&amp;sourceID=14","1992")</f>
        <v>1992</v>
      </c>
      <c r="G821" s="4" t="str">
        <f>HYPERLINK("http://141.218.60.56/~jnz1568/getInfo.php?workbook=16_08.xlsx&amp;sheet=A0&amp;row=821&amp;col=7&amp;number=0&amp;sourceID=14","0")</f>
        <v>0</v>
      </c>
    </row>
    <row r="822" spans="1:7">
      <c r="A822" s="3">
        <v>16</v>
      </c>
      <c r="B822" s="3">
        <v>8</v>
      </c>
      <c r="C822" s="3">
        <v>69</v>
      </c>
      <c r="D822" s="3">
        <v>13</v>
      </c>
      <c r="E822" s="3">
        <v>368.358</v>
      </c>
      <c r="F822" s="4" t="str">
        <f>HYPERLINK("http://141.218.60.56/~jnz1568/getInfo.php?workbook=16_08.xlsx&amp;sheet=A0&amp;row=822&amp;col=6&amp;number=17760&amp;sourceID=14","17760")</f>
        <v>17760</v>
      </c>
      <c r="G822" s="4" t="str">
        <f>HYPERLINK("http://141.218.60.56/~jnz1568/getInfo.php?workbook=16_08.xlsx&amp;sheet=A0&amp;row=822&amp;col=7&amp;number=0&amp;sourceID=14","0")</f>
        <v>0</v>
      </c>
    </row>
    <row r="823" spans="1:7">
      <c r="A823" s="3">
        <v>16</v>
      </c>
      <c r="B823" s="3">
        <v>8</v>
      </c>
      <c r="C823" s="3">
        <v>69</v>
      </c>
      <c r="D823" s="3">
        <v>14</v>
      </c>
      <c r="E823" s="3">
        <v>368.668</v>
      </c>
      <c r="F823" s="4" t="str">
        <f>HYPERLINK("http://141.218.60.56/~jnz1568/getInfo.php?workbook=16_08.xlsx&amp;sheet=A0&amp;row=823&amp;col=6&amp;number=3144&amp;sourceID=14","3144")</f>
        <v>3144</v>
      </c>
      <c r="G823" s="4" t="str">
        <f>HYPERLINK("http://141.218.60.56/~jnz1568/getInfo.php?workbook=16_08.xlsx&amp;sheet=A0&amp;row=823&amp;col=7&amp;number=0&amp;sourceID=14","0")</f>
        <v>0</v>
      </c>
    </row>
    <row r="824" spans="1:7">
      <c r="A824" s="3">
        <v>16</v>
      </c>
      <c r="B824" s="3">
        <v>8</v>
      </c>
      <c r="C824" s="3">
        <v>69</v>
      </c>
      <c r="D824" s="3">
        <v>15</v>
      </c>
      <c r="E824" s="3">
        <v>369.557</v>
      </c>
      <c r="F824" s="4" t="str">
        <f>HYPERLINK("http://141.218.60.56/~jnz1568/getInfo.php?workbook=16_08.xlsx&amp;sheet=A0&amp;row=824&amp;col=6&amp;number=42200&amp;sourceID=14","42200")</f>
        <v>42200</v>
      </c>
      <c r="G824" s="4" t="str">
        <f>HYPERLINK("http://141.218.60.56/~jnz1568/getInfo.php?workbook=16_08.xlsx&amp;sheet=A0&amp;row=824&amp;col=7&amp;number=0&amp;sourceID=14","0")</f>
        <v>0</v>
      </c>
    </row>
    <row r="825" spans="1:7">
      <c r="A825" s="3">
        <v>16</v>
      </c>
      <c r="B825" s="3">
        <v>8</v>
      </c>
      <c r="C825" s="3">
        <v>69</v>
      </c>
      <c r="D825" s="3">
        <v>17</v>
      </c>
      <c r="E825" s="3">
        <v>402.225</v>
      </c>
      <c r="F825" s="4" t="str">
        <f>HYPERLINK("http://141.218.60.56/~jnz1568/getInfo.php?workbook=16_08.xlsx&amp;sheet=A0&amp;row=825&amp;col=6&amp;number=94160&amp;sourceID=14","94160")</f>
        <v>94160</v>
      </c>
      <c r="G825" s="4" t="str">
        <f>HYPERLINK("http://141.218.60.56/~jnz1568/getInfo.php?workbook=16_08.xlsx&amp;sheet=A0&amp;row=825&amp;col=7&amp;number=0&amp;sourceID=14","0")</f>
        <v>0</v>
      </c>
    </row>
    <row r="826" spans="1:7">
      <c r="A826" s="3">
        <v>16</v>
      </c>
      <c r="B826" s="3">
        <v>8</v>
      </c>
      <c r="C826" s="3">
        <v>69</v>
      </c>
      <c r="D826" s="3">
        <v>18</v>
      </c>
      <c r="E826" s="3">
        <v>403.245</v>
      </c>
      <c r="F826" s="4" t="str">
        <f>HYPERLINK("http://141.218.60.56/~jnz1568/getInfo.php?workbook=16_08.xlsx&amp;sheet=A0&amp;row=826&amp;col=6&amp;number=759300&amp;sourceID=14","759300")</f>
        <v>759300</v>
      </c>
      <c r="G826" s="4" t="str">
        <f>HYPERLINK("http://141.218.60.56/~jnz1568/getInfo.php?workbook=16_08.xlsx&amp;sheet=A0&amp;row=826&amp;col=7&amp;number=0&amp;sourceID=14","0")</f>
        <v>0</v>
      </c>
    </row>
    <row r="827" spans="1:7">
      <c r="A827" s="3">
        <v>16</v>
      </c>
      <c r="B827" s="3">
        <v>8</v>
      </c>
      <c r="C827" s="3">
        <v>69</v>
      </c>
      <c r="D827" s="3">
        <v>19</v>
      </c>
      <c r="E827" s="3">
        <v>405.247</v>
      </c>
      <c r="F827" s="4" t="str">
        <f>HYPERLINK("http://141.218.60.56/~jnz1568/getInfo.php?workbook=16_08.xlsx&amp;sheet=A0&amp;row=827&amp;col=6&amp;number=4738&amp;sourceID=14","4738")</f>
        <v>4738</v>
      </c>
      <c r="G827" s="4" t="str">
        <f>HYPERLINK("http://141.218.60.56/~jnz1568/getInfo.php?workbook=16_08.xlsx&amp;sheet=A0&amp;row=827&amp;col=7&amp;number=0&amp;sourceID=14","0")</f>
        <v>0</v>
      </c>
    </row>
    <row r="828" spans="1:7">
      <c r="A828" s="3">
        <v>16</v>
      </c>
      <c r="B828" s="3">
        <v>8</v>
      </c>
      <c r="C828" s="3">
        <v>69</v>
      </c>
      <c r="D828" s="3">
        <v>20</v>
      </c>
      <c r="E828" s="3">
        <v>447.125</v>
      </c>
      <c r="F828" s="4" t="str">
        <f>HYPERLINK("http://141.218.60.56/~jnz1568/getInfo.php?workbook=16_08.xlsx&amp;sheet=A0&amp;row=828&amp;col=6&amp;number=220700000&amp;sourceID=14","220700000")</f>
        <v>220700000</v>
      </c>
      <c r="G828" s="4" t="str">
        <f>HYPERLINK("http://141.218.60.56/~jnz1568/getInfo.php?workbook=16_08.xlsx&amp;sheet=A0&amp;row=828&amp;col=7&amp;number=0&amp;sourceID=14","0")</f>
        <v>0</v>
      </c>
    </row>
    <row r="829" spans="1:7">
      <c r="A829" s="3">
        <v>16</v>
      </c>
      <c r="B829" s="3">
        <v>8</v>
      </c>
      <c r="C829" s="3">
        <v>69</v>
      </c>
      <c r="D829" s="3">
        <v>21</v>
      </c>
      <c r="E829" s="3">
        <v>447.876</v>
      </c>
      <c r="F829" s="4" t="str">
        <f>HYPERLINK("http://141.218.60.56/~jnz1568/getInfo.php?workbook=16_08.xlsx&amp;sheet=A0&amp;row=829&amp;col=6&amp;number=566500000&amp;sourceID=14","566500000")</f>
        <v>566500000</v>
      </c>
      <c r="G829" s="4" t="str">
        <f>HYPERLINK("http://141.218.60.56/~jnz1568/getInfo.php?workbook=16_08.xlsx&amp;sheet=A0&amp;row=829&amp;col=7&amp;number=0&amp;sourceID=14","0")</f>
        <v>0</v>
      </c>
    </row>
    <row r="830" spans="1:7">
      <c r="A830" s="3">
        <v>16</v>
      </c>
      <c r="B830" s="3">
        <v>8</v>
      </c>
      <c r="C830" s="3">
        <v>69</v>
      </c>
      <c r="D830" s="3">
        <v>27</v>
      </c>
      <c r="E830" s="3">
        <v>-587.118</v>
      </c>
      <c r="F830" s="4" t="str">
        <f>HYPERLINK("http://141.218.60.56/~jnz1568/getInfo.php?workbook=16_08.xlsx&amp;sheet=A0&amp;row=830&amp;col=6&amp;number=12360000&amp;sourceID=14","12360000")</f>
        <v>12360000</v>
      </c>
      <c r="G830" s="4" t="str">
        <f>HYPERLINK("http://141.218.60.56/~jnz1568/getInfo.php?workbook=16_08.xlsx&amp;sheet=A0&amp;row=830&amp;col=7&amp;number=0&amp;sourceID=14","0")</f>
        <v>0</v>
      </c>
    </row>
    <row r="831" spans="1:7">
      <c r="A831" s="3">
        <v>16</v>
      </c>
      <c r="B831" s="3">
        <v>8</v>
      </c>
      <c r="C831" s="3">
        <v>69</v>
      </c>
      <c r="D831" s="3">
        <v>28</v>
      </c>
      <c r="E831" s="3">
        <v>597.847</v>
      </c>
      <c r="F831" s="4" t="str">
        <f>HYPERLINK("http://141.218.60.56/~jnz1568/getInfo.php?workbook=16_08.xlsx&amp;sheet=A0&amp;row=831&amp;col=6&amp;number=2053000&amp;sourceID=14","2053000")</f>
        <v>2053000</v>
      </c>
      <c r="G831" s="4" t="str">
        <f>HYPERLINK("http://141.218.60.56/~jnz1568/getInfo.php?workbook=16_08.xlsx&amp;sheet=A0&amp;row=831&amp;col=7&amp;number=0&amp;sourceID=14","0")</f>
        <v>0</v>
      </c>
    </row>
    <row r="832" spans="1:7">
      <c r="A832" s="3">
        <v>16</v>
      </c>
      <c r="B832" s="3">
        <v>8</v>
      </c>
      <c r="C832" s="3">
        <v>69</v>
      </c>
      <c r="D832" s="3">
        <v>29</v>
      </c>
      <c r="E832" s="3">
        <v>604.109</v>
      </c>
      <c r="F832" s="4" t="str">
        <f>HYPERLINK("http://141.218.60.56/~jnz1568/getInfo.php?workbook=16_08.xlsx&amp;sheet=A0&amp;row=832&amp;col=6&amp;number=687100000&amp;sourceID=14","687100000")</f>
        <v>687100000</v>
      </c>
      <c r="G832" s="4" t="str">
        <f>HYPERLINK("http://141.218.60.56/~jnz1568/getInfo.php?workbook=16_08.xlsx&amp;sheet=A0&amp;row=832&amp;col=7&amp;number=0&amp;sourceID=14","0")</f>
        <v>0</v>
      </c>
    </row>
    <row r="833" spans="1:7">
      <c r="A833" s="3">
        <v>16</v>
      </c>
      <c r="B833" s="3">
        <v>8</v>
      </c>
      <c r="C833" s="3">
        <v>69</v>
      </c>
      <c r="D833" s="3">
        <v>30</v>
      </c>
      <c r="E833" s="3">
        <v>-567.887</v>
      </c>
      <c r="F833" s="4" t="str">
        <f>HYPERLINK("http://141.218.60.56/~jnz1568/getInfo.php?workbook=16_08.xlsx&amp;sheet=A0&amp;row=833&amp;col=6&amp;number=97080&amp;sourceID=14","97080")</f>
        <v>97080</v>
      </c>
      <c r="G833" s="4" t="str">
        <f>HYPERLINK("http://141.218.60.56/~jnz1568/getInfo.php?workbook=16_08.xlsx&amp;sheet=A0&amp;row=833&amp;col=7&amp;number=0&amp;sourceID=14","0")</f>
        <v>0</v>
      </c>
    </row>
    <row r="834" spans="1:7">
      <c r="A834" s="3">
        <v>16</v>
      </c>
      <c r="B834" s="3">
        <v>8</v>
      </c>
      <c r="C834" s="3">
        <v>69</v>
      </c>
      <c r="D834" s="3">
        <v>31</v>
      </c>
      <c r="E834" s="3">
        <v>628.915</v>
      </c>
      <c r="F834" s="4" t="str">
        <f>HYPERLINK("http://141.218.60.56/~jnz1568/getInfo.php?workbook=16_08.xlsx&amp;sheet=A0&amp;row=834&amp;col=6&amp;number=1092000&amp;sourceID=14","1092000")</f>
        <v>1092000</v>
      </c>
      <c r="G834" s="4" t="str">
        <f>HYPERLINK("http://141.218.60.56/~jnz1568/getInfo.php?workbook=16_08.xlsx&amp;sheet=A0&amp;row=834&amp;col=7&amp;number=0&amp;sourceID=14","0")</f>
        <v>0</v>
      </c>
    </row>
    <row r="835" spans="1:7">
      <c r="A835" s="3">
        <v>16</v>
      </c>
      <c r="B835" s="3">
        <v>8</v>
      </c>
      <c r="C835" s="3">
        <v>69</v>
      </c>
      <c r="D835" s="3">
        <v>32</v>
      </c>
      <c r="E835" s="3">
        <v>633.176</v>
      </c>
      <c r="F835" s="4" t="str">
        <f>HYPERLINK("http://141.218.60.56/~jnz1568/getInfo.php?workbook=16_08.xlsx&amp;sheet=A0&amp;row=835&amp;col=6&amp;number=33930000&amp;sourceID=14","33930000")</f>
        <v>33930000</v>
      </c>
      <c r="G835" s="4" t="str">
        <f>HYPERLINK("http://141.218.60.56/~jnz1568/getInfo.php?workbook=16_08.xlsx&amp;sheet=A0&amp;row=835&amp;col=7&amp;number=0&amp;sourceID=14","0")</f>
        <v>0</v>
      </c>
    </row>
    <row r="836" spans="1:7">
      <c r="A836" s="3">
        <v>16</v>
      </c>
      <c r="B836" s="3">
        <v>8</v>
      </c>
      <c r="C836" s="3">
        <v>69</v>
      </c>
      <c r="D836" s="3">
        <v>34</v>
      </c>
      <c r="E836" s="3">
        <v>651.776</v>
      </c>
      <c r="F836" s="4" t="str">
        <f>HYPERLINK("http://141.218.60.56/~jnz1568/getInfo.php?workbook=16_08.xlsx&amp;sheet=A0&amp;row=836&amp;col=6&amp;number=5349000&amp;sourceID=14","5349000")</f>
        <v>5349000</v>
      </c>
      <c r="G836" s="4" t="str">
        <f>HYPERLINK("http://141.218.60.56/~jnz1568/getInfo.php?workbook=16_08.xlsx&amp;sheet=A0&amp;row=836&amp;col=7&amp;number=0&amp;sourceID=14","0")</f>
        <v>0</v>
      </c>
    </row>
    <row r="837" spans="1:7">
      <c r="A837" s="3">
        <v>16</v>
      </c>
      <c r="B837" s="3">
        <v>8</v>
      </c>
      <c r="C837" s="3">
        <v>69</v>
      </c>
      <c r="D837" s="3">
        <v>36</v>
      </c>
      <c r="E837" s="3">
        <v>804.913</v>
      </c>
      <c r="F837" s="4" t="str">
        <f>HYPERLINK("http://141.218.60.56/~jnz1568/getInfo.php?workbook=16_08.xlsx&amp;sheet=A0&amp;row=837&amp;col=6&amp;number=20530000&amp;sourceID=14","20530000")</f>
        <v>20530000</v>
      </c>
      <c r="G837" s="4" t="str">
        <f>HYPERLINK("http://141.218.60.56/~jnz1568/getInfo.php?workbook=16_08.xlsx&amp;sheet=A0&amp;row=837&amp;col=7&amp;number=0&amp;sourceID=14","0")</f>
        <v>0</v>
      </c>
    </row>
    <row r="838" spans="1:7">
      <c r="A838" s="3">
        <v>16</v>
      </c>
      <c r="B838" s="3">
        <v>8</v>
      </c>
      <c r="C838" s="3">
        <v>69</v>
      </c>
      <c r="D838" s="3">
        <v>37</v>
      </c>
      <c r="E838" s="3">
        <v>794.957</v>
      </c>
      <c r="F838" s="4" t="str">
        <f>HYPERLINK("http://141.218.60.56/~jnz1568/getInfo.php?workbook=16_08.xlsx&amp;sheet=A0&amp;row=838&amp;col=6&amp;number=729000000&amp;sourceID=14","729000000")</f>
        <v>729000000</v>
      </c>
      <c r="G838" s="4" t="str">
        <f>HYPERLINK("http://141.218.60.56/~jnz1568/getInfo.php?workbook=16_08.xlsx&amp;sheet=A0&amp;row=838&amp;col=7&amp;number=0&amp;sourceID=14","0")</f>
        <v>0</v>
      </c>
    </row>
    <row r="839" spans="1:7">
      <c r="A839" s="3">
        <v>16</v>
      </c>
      <c r="B839" s="3">
        <v>8</v>
      </c>
      <c r="C839" s="3">
        <v>69</v>
      </c>
      <c r="D839" s="3">
        <v>43</v>
      </c>
      <c r="E839" s="3">
        <v>-755.567</v>
      </c>
      <c r="F839" s="4" t="str">
        <f>HYPERLINK("http://141.218.60.56/~jnz1568/getInfo.php?workbook=16_08.xlsx&amp;sheet=A0&amp;row=839&amp;col=6&amp;number=274300000&amp;sourceID=14","274300000")</f>
        <v>274300000</v>
      </c>
      <c r="G839" s="4" t="str">
        <f>HYPERLINK("http://141.218.60.56/~jnz1568/getInfo.php?workbook=16_08.xlsx&amp;sheet=A0&amp;row=839&amp;col=7&amp;number=0&amp;sourceID=14","0")</f>
        <v>0</v>
      </c>
    </row>
    <row r="840" spans="1:7">
      <c r="A840" s="3">
        <v>16</v>
      </c>
      <c r="B840" s="3">
        <v>8</v>
      </c>
      <c r="C840" s="3">
        <v>69</v>
      </c>
      <c r="D840" s="3">
        <v>44</v>
      </c>
      <c r="E840" s="3">
        <v>804.913</v>
      </c>
      <c r="F840" s="4" t="str">
        <f>HYPERLINK("http://141.218.60.56/~jnz1568/getInfo.php?workbook=16_08.xlsx&amp;sheet=A0&amp;row=840&amp;col=6&amp;number=10570000&amp;sourceID=14","10570000")</f>
        <v>10570000</v>
      </c>
      <c r="G840" s="4" t="str">
        <f>HYPERLINK("http://141.218.60.56/~jnz1568/getInfo.php?workbook=16_08.xlsx&amp;sheet=A0&amp;row=840&amp;col=7&amp;number=0&amp;sourceID=14","0")</f>
        <v>0</v>
      </c>
    </row>
    <row r="841" spans="1:7">
      <c r="A841" s="3">
        <v>16</v>
      </c>
      <c r="B841" s="3">
        <v>8</v>
      </c>
      <c r="C841" s="3">
        <v>69</v>
      </c>
      <c r="D841" s="3">
        <v>45</v>
      </c>
      <c r="E841" s="3">
        <v>-830.616</v>
      </c>
      <c r="F841" s="4" t="str">
        <f>HYPERLINK("http://141.218.60.56/~jnz1568/getInfo.php?workbook=16_08.xlsx&amp;sheet=A0&amp;row=841&amp;col=6&amp;number=191300&amp;sourceID=14","191300")</f>
        <v>191300</v>
      </c>
      <c r="G841" s="4" t="str">
        <f>HYPERLINK("http://141.218.60.56/~jnz1568/getInfo.php?workbook=16_08.xlsx&amp;sheet=A0&amp;row=841&amp;col=7&amp;number=0&amp;sourceID=14","0")</f>
        <v>0</v>
      </c>
    </row>
    <row r="842" spans="1:7">
      <c r="A842" s="3">
        <v>16</v>
      </c>
      <c r="B842" s="3">
        <v>8</v>
      </c>
      <c r="C842" s="3">
        <v>69</v>
      </c>
      <c r="D842" s="3">
        <v>46</v>
      </c>
      <c r="E842" s="3">
        <v>893.791</v>
      </c>
      <c r="F842" s="4" t="str">
        <f>HYPERLINK("http://141.218.60.56/~jnz1568/getInfo.php?workbook=16_08.xlsx&amp;sheet=A0&amp;row=842&amp;col=6&amp;number=63350000&amp;sourceID=14","63350000")</f>
        <v>63350000</v>
      </c>
      <c r="G842" s="4" t="str">
        <f>HYPERLINK("http://141.218.60.56/~jnz1568/getInfo.php?workbook=16_08.xlsx&amp;sheet=A0&amp;row=842&amp;col=7&amp;number=0&amp;sourceID=14","0")</f>
        <v>0</v>
      </c>
    </row>
    <row r="843" spans="1:7">
      <c r="A843" s="3">
        <v>16</v>
      </c>
      <c r="B843" s="3">
        <v>8</v>
      </c>
      <c r="C843" s="3">
        <v>69</v>
      </c>
      <c r="D843" s="3">
        <v>47</v>
      </c>
      <c r="E843" s="3">
        <v>-889.972</v>
      </c>
      <c r="F843" s="4" t="str">
        <f>HYPERLINK("http://141.218.60.56/~jnz1568/getInfo.php?workbook=16_08.xlsx&amp;sheet=A0&amp;row=843&amp;col=6&amp;number=11700000&amp;sourceID=14","11700000")</f>
        <v>11700000</v>
      </c>
      <c r="G843" s="4" t="str">
        <f>HYPERLINK("http://141.218.60.56/~jnz1568/getInfo.php?workbook=16_08.xlsx&amp;sheet=A0&amp;row=843&amp;col=7&amp;number=0&amp;sourceID=14","0")</f>
        <v>0</v>
      </c>
    </row>
    <row r="844" spans="1:7">
      <c r="A844" s="3">
        <v>16</v>
      </c>
      <c r="B844" s="3">
        <v>8</v>
      </c>
      <c r="C844" s="3">
        <v>69</v>
      </c>
      <c r="D844" s="3">
        <v>48</v>
      </c>
      <c r="E844" s="3">
        <v>-910.03</v>
      </c>
      <c r="F844" s="4" t="str">
        <f>HYPERLINK("http://141.218.60.56/~jnz1568/getInfo.php?workbook=16_08.xlsx&amp;sheet=A0&amp;row=844&amp;col=6&amp;number=25590&amp;sourceID=14","25590")</f>
        <v>25590</v>
      </c>
      <c r="G844" s="4" t="str">
        <f>HYPERLINK("http://141.218.60.56/~jnz1568/getInfo.php?workbook=16_08.xlsx&amp;sheet=A0&amp;row=844&amp;col=7&amp;number=0&amp;sourceID=14","0")</f>
        <v>0</v>
      </c>
    </row>
    <row r="845" spans="1:7">
      <c r="A845" s="3">
        <v>16</v>
      </c>
      <c r="B845" s="3">
        <v>8</v>
      </c>
      <c r="C845" s="3">
        <v>69</v>
      </c>
      <c r="D845" s="3">
        <v>52</v>
      </c>
      <c r="E845" s="3">
        <v>-985.543</v>
      </c>
      <c r="F845" s="4" t="str">
        <f>HYPERLINK("http://141.218.60.56/~jnz1568/getInfo.php?workbook=16_08.xlsx&amp;sheet=A0&amp;row=845&amp;col=6&amp;number=8893000&amp;sourceID=14","8893000")</f>
        <v>8893000</v>
      </c>
      <c r="G845" s="4" t="str">
        <f>HYPERLINK("http://141.218.60.56/~jnz1568/getInfo.php?workbook=16_08.xlsx&amp;sheet=A0&amp;row=845&amp;col=7&amp;number=0&amp;sourceID=14","0")</f>
        <v>0</v>
      </c>
    </row>
    <row r="846" spans="1:7">
      <c r="A846" s="3">
        <v>16</v>
      </c>
      <c r="B846" s="3">
        <v>8</v>
      </c>
      <c r="C846" s="3">
        <v>69</v>
      </c>
      <c r="D846" s="3">
        <v>53</v>
      </c>
      <c r="E846" s="3">
        <v>-1007.323</v>
      </c>
      <c r="F846" s="4" t="str">
        <f>HYPERLINK("http://141.218.60.56/~jnz1568/getInfo.php?workbook=16_08.xlsx&amp;sheet=A0&amp;row=846&amp;col=6&amp;number=6297000&amp;sourceID=14","6297000")</f>
        <v>6297000</v>
      </c>
      <c r="G846" s="4" t="str">
        <f>HYPERLINK("http://141.218.60.56/~jnz1568/getInfo.php?workbook=16_08.xlsx&amp;sheet=A0&amp;row=846&amp;col=7&amp;number=0&amp;sourceID=14","0")</f>
        <v>0</v>
      </c>
    </row>
    <row r="847" spans="1:7">
      <c r="A847" s="3">
        <v>16</v>
      </c>
      <c r="B847" s="3">
        <v>8</v>
      </c>
      <c r="C847" s="3">
        <v>69</v>
      </c>
      <c r="D847" s="3">
        <v>55</v>
      </c>
      <c r="E847" s="3">
        <v>-1370.51</v>
      </c>
      <c r="F847" s="4" t="str">
        <f>HYPERLINK("http://141.218.60.56/~jnz1568/getInfo.php?workbook=16_08.xlsx&amp;sheet=A0&amp;row=847&amp;col=6&amp;number=340300&amp;sourceID=14","340300")</f>
        <v>340300</v>
      </c>
      <c r="G847" s="4" t="str">
        <f>HYPERLINK("http://141.218.60.56/~jnz1568/getInfo.php?workbook=16_08.xlsx&amp;sheet=A0&amp;row=847&amp;col=7&amp;number=0&amp;sourceID=14","0")</f>
        <v>0</v>
      </c>
    </row>
    <row r="848" spans="1:7">
      <c r="A848" s="3">
        <v>16</v>
      </c>
      <c r="B848" s="3">
        <v>8</v>
      </c>
      <c r="C848" s="3">
        <v>70</v>
      </c>
      <c r="D848" s="3">
        <v>1</v>
      </c>
      <c r="E848" s="3">
        <v>47.187</v>
      </c>
      <c r="F848" s="4" t="str">
        <f>HYPERLINK("http://141.218.60.56/~jnz1568/getInfo.php?workbook=16_08.xlsx&amp;sheet=A0&amp;row=848&amp;col=6&amp;number=630100000000&amp;sourceID=14","630100000000")</f>
        <v>630100000000</v>
      </c>
      <c r="G848" s="4" t="str">
        <f>HYPERLINK("http://141.218.60.56/~jnz1568/getInfo.php?workbook=16_08.xlsx&amp;sheet=A0&amp;row=848&amp;col=7&amp;number=0&amp;sourceID=14","0")</f>
        <v>0</v>
      </c>
    </row>
    <row r="849" spans="1:7">
      <c r="A849" s="3">
        <v>16</v>
      </c>
      <c r="B849" s="3">
        <v>8</v>
      </c>
      <c r="C849" s="3">
        <v>70</v>
      </c>
      <c r="D849" s="3">
        <v>2</v>
      </c>
      <c r="E849" s="3">
        <v>47.365</v>
      </c>
      <c r="F849" s="4" t="str">
        <f>HYPERLINK("http://141.218.60.56/~jnz1568/getInfo.php?workbook=16_08.xlsx&amp;sheet=A0&amp;row=849&amp;col=6&amp;number=288400000000&amp;sourceID=14","288400000000")</f>
        <v>288400000000</v>
      </c>
      <c r="G849" s="4" t="str">
        <f>HYPERLINK("http://141.218.60.56/~jnz1568/getInfo.php?workbook=16_08.xlsx&amp;sheet=A0&amp;row=849&amp;col=7&amp;number=0&amp;sourceID=14","0")</f>
        <v>0</v>
      </c>
    </row>
    <row r="850" spans="1:7">
      <c r="A850" s="3">
        <v>16</v>
      </c>
      <c r="B850" s="3">
        <v>8</v>
      </c>
      <c r="C850" s="3">
        <v>70</v>
      </c>
      <c r="D850" s="3">
        <v>3</v>
      </c>
      <c r="E850" s="3">
        <v>47.425</v>
      </c>
      <c r="F850" s="4" t="str">
        <f>HYPERLINK("http://141.218.60.56/~jnz1568/getInfo.php?workbook=16_08.xlsx&amp;sheet=A0&amp;row=850&amp;col=6&amp;number=298200000000&amp;sourceID=14","298200000000")</f>
        <v>298200000000</v>
      </c>
      <c r="G850" s="4" t="str">
        <f>HYPERLINK("http://141.218.60.56/~jnz1568/getInfo.php?workbook=16_08.xlsx&amp;sheet=A0&amp;row=850&amp;col=7&amp;number=0&amp;sourceID=14","0")</f>
        <v>0</v>
      </c>
    </row>
    <row r="851" spans="1:7">
      <c r="A851" s="3">
        <v>16</v>
      </c>
      <c r="B851" s="3">
        <v>8</v>
      </c>
      <c r="C851" s="3">
        <v>70</v>
      </c>
      <c r="D851" s="3">
        <v>4</v>
      </c>
      <c r="E851" s="3">
        <v>48.521</v>
      </c>
      <c r="F851" s="4" t="str">
        <f>HYPERLINK("http://141.218.60.56/~jnz1568/getInfo.php?workbook=16_08.xlsx&amp;sheet=A0&amp;row=851&amp;col=6&amp;number=36770000000&amp;sourceID=14","36770000000")</f>
        <v>36770000000</v>
      </c>
      <c r="G851" s="4" t="str">
        <f>HYPERLINK("http://141.218.60.56/~jnz1568/getInfo.php?workbook=16_08.xlsx&amp;sheet=A0&amp;row=851&amp;col=7&amp;number=0&amp;sourceID=14","0")</f>
        <v>0</v>
      </c>
    </row>
    <row r="852" spans="1:7">
      <c r="A852" s="3">
        <v>16</v>
      </c>
      <c r="B852" s="3">
        <v>8</v>
      </c>
      <c r="C852" s="3">
        <v>70</v>
      </c>
      <c r="D852" s="3">
        <v>5</v>
      </c>
      <c r="E852" s="3">
        <v>50.087</v>
      </c>
      <c r="F852" s="4" t="str">
        <f>HYPERLINK("http://141.218.60.56/~jnz1568/getInfo.php?workbook=16_08.xlsx&amp;sheet=A0&amp;row=852&amp;col=6&amp;number=800500000&amp;sourceID=14","800500000")</f>
        <v>800500000</v>
      </c>
      <c r="G852" s="4" t="str">
        <f>HYPERLINK("http://141.218.60.56/~jnz1568/getInfo.php?workbook=16_08.xlsx&amp;sheet=A0&amp;row=852&amp;col=7&amp;number=0&amp;sourceID=14","0")</f>
        <v>0</v>
      </c>
    </row>
    <row r="853" spans="1:7">
      <c r="A853" s="3">
        <v>16</v>
      </c>
      <c r="B853" s="3">
        <v>8</v>
      </c>
      <c r="C853" s="3">
        <v>70</v>
      </c>
      <c r="D853" s="3">
        <v>6</v>
      </c>
      <c r="E853" s="3">
        <v>59.728</v>
      </c>
      <c r="F853" s="4" t="str">
        <f>HYPERLINK("http://141.218.60.56/~jnz1568/getInfo.php?workbook=16_08.xlsx&amp;sheet=A0&amp;row=853&amp;col=6&amp;number=2004&amp;sourceID=14","2004")</f>
        <v>2004</v>
      </c>
      <c r="G853" s="4" t="str">
        <f>HYPERLINK("http://141.218.60.56/~jnz1568/getInfo.php?workbook=16_08.xlsx&amp;sheet=A0&amp;row=853&amp;col=7&amp;number=0&amp;sourceID=14","0")</f>
        <v>0</v>
      </c>
    </row>
    <row r="854" spans="1:7">
      <c r="A854" s="3">
        <v>16</v>
      </c>
      <c r="B854" s="3">
        <v>8</v>
      </c>
      <c r="C854" s="3">
        <v>70</v>
      </c>
      <c r="D854" s="3">
        <v>7</v>
      </c>
      <c r="E854" s="3">
        <v>59.979</v>
      </c>
      <c r="F854" s="4" t="str">
        <f>HYPERLINK("http://141.218.60.56/~jnz1568/getInfo.php?workbook=16_08.xlsx&amp;sheet=A0&amp;row=854&amp;col=6&amp;number=4464&amp;sourceID=14","4464")</f>
        <v>4464</v>
      </c>
      <c r="G854" s="4" t="str">
        <f>HYPERLINK("http://141.218.60.56/~jnz1568/getInfo.php?workbook=16_08.xlsx&amp;sheet=A0&amp;row=854&amp;col=7&amp;number=0&amp;sourceID=14","0")</f>
        <v>0</v>
      </c>
    </row>
    <row r="855" spans="1:7">
      <c r="A855" s="3">
        <v>16</v>
      </c>
      <c r="B855" s="3">
        <v>8</v>
      </c>
      <c r="C855" s="3">
        <v>70</v>
      </c>
      <c r="D855" s="3">
        <v>9</v>
      </c>
      <c r="E855" s="3">
        <v>66.526</v>
      </c>
      <c r="F855" s="4" t="str">
        <f>HYPERLINK("http://141.218.60.56/~jnz1568/getInfo.php?workbook=16_08.xlsx&amp;sheet=A0&amp;row=855&amp;col=6&amp;number=4061&amp;sourceID=14","4061")</f>
        <v>4061</v>
      </c>
      <c r="G855" s="4" t="str">
        <f>HYPERLINK("http://141.218.60.56/~jnz1568/getInfo.php?workbook=16_08.xlsx&amp;sheet=A0&amp;row=855&amp;col=7&amp;number=0&amp;sourceID=14","0")</f>
        <v>0</v>
      </c>
    </row>
    <row r="856" spans="1:7">
      <c r="A856" s="3">
        <v>16</v>
      </c>
      <c r="B856" s="3">
        <v>8</v>
      </c>
      <c r="C856" s="3">
        <v>70</v>
      </c>
      <c r="D856" s="3">
        <v>10</v>
      </c>
      <c r="E856" s="3">
        <v>92.591</v>
      </c>
      <c r="F856" s="4" t="str">
        <f>HYPERLINK("http://141.218.60.56/~jnz1568/getInfo.php?workbook=16_08.xlsx&amp;sheet=A0&amp;row=856&amp;col=6&amp;number=48730&amp;sourceID=14","48730")</f>
        <v>48730</v>
      </c>
      <c r="G856" s="4" t="str">
        <f>HYPERLINK("http://141.218.60.56/~jnz1568/getInfo.php?workbook=16_08.xlsx&amp;sheet=A0&amp;row=856&amp;col=7&amp;number=0&amp;sourceID=14","0")</f>
        <v>0</v>
      </c>
    </row>
    <row r="857" spans="1:7">
      <c r="A857" s="3">
        <v>16</v>
      </c>
      <c r="B857" s="3">
        <v>8</v>
      </c>
      <c r="C857" s="3">
        <v>70</v>
      </c>
      <c r="D857" s="3">
        <v>13</v>
      </c>
      <c r="E857" s="3">
        <v>364.606</v>
      </c>
      <c r="F857" s="4" t="str">
        <f>HYPERLINK("http://141.218.60.56/~jnz1568/getInfo.php?workbook=16_08.xlsx&amp;sheet=A0&amp;row=857&amp;col=6&amp;number=4294&amp;sourceID=14","4294")</f>
        <v>4294</v>
      </c>
      <c r="G857" s="4" t="str">
        <f>HYPERLINK("http://141.218.60.56/~jnz1568/getInfo.php?workbook=16_08.xlsx&amp;sheet=A0&amp;row=857&amp;col=7&amp;number=0&amp;sourceID=14","0")</f>
        <v>0</v>
      </c>
    </row>
    <row r="858" spans="1:7">
      <c r="A858" s="3">
        <v>16</v>
      </c>
      <c r="B858" s="3">
        <v>8</v>
      </c>
      <c r="C858" s="3">
        <v>70</v>
      </c>
      <c r="D858" s="3">
        <v>14</v>
      </c>
      <c r="E858" s="3">
        <v>364.909</v>
      </c>
      <c r="F858" s="4" t="str">
        <f>HYPERLINK("http://141.218.60.56/~jnz1568/getInfo.php?workbook=16_08.xlsx&amp;sheet=A0&amp;row=858&amp;col=6&amp;number=24570&amp;sourceID=14","24570")</f>
        <v>24570</v>
      </c>
      <c r="G858" s="4" t="str">
        <f>HYPERLINK("http://141.218.60.56/~jnz1568/getInfo.php?workbook=16_08.xlsx&amp;sheet=A0&amp;row=858&amp;col=7&amp;number=0&amp;sourceID=14","0")</f>
        <v>0</v>
      </c>
    </row>
    <row r="859" spans="1:7">
      <c r="A859" s="3">
        <v>16</v>
      </c>
      <c r="B859" s="3">
        <v>8</v>
      </c>
      <c r="C859" s="3">
        <v>70</v>
      </c>
      <c r="D859" s="3">
        <v>15</v>
      </c>
      <c r="E859" s="3">
        <v>365.781</v>
      </c>
      <c r="F859" s="4" t="str">
        <f>HYPERLINK("http://141.218.60.56/~jnz1568/getInfo.php?workbook=16_08.xlsx&amp;sheet=A0&amp;row=859&amp;col=6&amp;number=38700&amp;sourceID=14","38700")</f>
        <v>38700</v>
      </c>
      <c r="G859" s="4" t="str">
        <f>HYPERLINK("http://141.218.60.56/~jnz1568/getInfo.php?workbook=16_08.xlsx&amp;sheet=A0&amp;row=859&amp;col=7&amp;number=0&amp;sourceID=14","0")</f>
        <v>0</v>
      </c>
    </row>
    <row r="860" spans="1:7">
      <c r="A860" s="3">
        <v>16</v>
      </c>
      <c r="B860" s="3">
        <v>8</v>
      </c>
      <c r="C860" s="3">
        <v>70</v>
      </c>
      <c r="D860" s="3">
        <v>17</v>
      </c>
      <c r="E860" s="3">
        <v>397.755</v>
      </c>
      <c r="F860" s="4" t="str">
        <f>HYPERLINK("http://141.218.60.56/~jnz1568/getInfo.php?workbook=16_08.xlsx&amp;sheet=A0&amp;row=860&amp;col=6&amp;number=30260&amp;sourceID=14","30260")</f>
        <v>30260</v>
      </c>
      <c r="G860" s="4" t="str">
        <f>HYPERLINK("http://141.218.60.56/~jnz1568/getInfo.php?workbook=16_08.xlsx&amp;sheet=A0&amp;row=860&amp;col=7&amp;number=0&amp;sourceID=14","0")</f>
        <v>0</v>
      </c>
    </row>
    <row r="861" spans="1:7">
      <c r="A861" s="3">
        <v>16</v>
      </c>
      <c r="B861" s="3">
        <v>8</v>
      </c>
      <c r="C861" s="3">
        <v>70</v>
      </c>
      <c r="D861" s="3">
        <v>18</v>
      </c>
      <c r="E861" s="3">
        <v>398.753</v>
      </c>
      <c r="F861" s="4" t="str">
        <f>HYPERLINK("http://141.218.60.56/~jnz1568/getInfo.php?workbook=16_08.xlsx&amp;sheet=A0&amp;row=861&amp;col=6&amp;number=903300&amp;sourceID=14","903300")</f>
        <v>903300</v>
      </c>
      <c r="G861" s="4" t="str">
        <f>HYPERLINK("http://141.218.60.56/~jnz1568/getInfo.php?workbook=16_08.xlsx&amp;sheet=A0&amp;row=861&amp;col=7&amp;number=0&amp;sourceID=14","0")</f>
        <v>0</v>
      </c>
    </row>
    <row r="862" spans="1:7">
      <c r="A862" s="3">
        <v>16</v>
      </c>
      <c r="B862" s="3">
        <v>8</v>
      </c>
      <c r="C862" s="3">
        <v>70</v>
      </c>
      <c r="D862" s="3">
        <v>20</v>
      </c>
      <c r="E862" s="3">
        <v>441.608</v>
      </c>
      <c r="F862" s="4" t="str">
        <f>HYPERLINK("http://141.218.60.56/~jnz1568/getInfo.php?workbook=16_08.xlsx&amp;sheet=A0&amp;row=862&amp;col=6&amp;number=121500000&amp;sourceID=14","121500000")</f>
        <v>121500000</v>
      </c>
      <c r="G862" s="4" t="str">
        <f>HYPERLINK("http://141.218.60.56/~jnz1568/getInfo.php?workbook=16_08.xlsx&amp;sheet=A0&amp;row=862&amp;col=7&amp;number=0&amp;sourceID=14","0")</f>
        <v>0</v>
      </c>
    </row>
    <row r="863" spans="1:7">
      <c r="A863" s="3">
        <v>16</v>
      </c>
      <c r="B863" s="3">
        <v>8</v>
      </c>
      <c r="C863" s="3">
        <v>70</v>
      </c>
      <c r="D863" s="3">
        <v>21</v>
      </c>
      <c r="E863" s="3">
        <v>442.341</v>
      </c>
      <c r="F863" s="4" t="str">
        <f>HYPERLINK("http://141.218.60.56/~jnz1568/getInfo.php?workbook=16_08.xlsx&amp;sheet=A0&amp;row=863&amp;col=6&amp;number=397500000&amp;sourceID=14","397500000")</f>
        <v>397500000</v>
      </c>
      <c r="G863" s="4" t="str">
        <f>HYPERLINK("http://141.218.60.56/~jnz1568/getInfo.php?workbook=16_08.xlsx&amp;sheet=A0&amp;row=863&amp;col=7&amp;number=0&amp;sourceID=14","0")</f>
        <v>0</v>
      </c>
    </row>
    <row r="864" spans="1:7">
      <c r="A864" s="3">
        <v>16</v>
      </c>
      <c r="B864" s="3">
        <v>8</v>
      </c>
      <c r="C864" s="3">
        <v>70</v>
      </c>
      <c r="D864" s="3">
        <v>22</v>
      </c>
      <c r="E864" s="3">
        <v>-435.835</v>
      </c>
      <c r="F864" s="4" t="str">
        <f>HYPERLINK("http://141.218.60.56/~jnz1568/getInfo.php?workbook=16_08.xlsx&amp;sheet=A0&amp;row=864&amp;col=6&amp;number=213100000&amp;sourceID=14","213100000")</f>
        <v>213100000</v>
      </c>
      <c r="G864" s="4" t="str">
        <f>HYPERLINK("http://141.218.60.56/~jnz1568/getInfo.php?workbook=16_08.xlsx&amp;sheet=A0&amp;row=864&amp;col=7&amp;number=0&amp;sourceID=14","0")</f>
        <v>0</v>
      </c>
    </row>
    <row r="865" spans="1:7">
      <c r="A865" s="3">
        <v>16</v>
      </c>
      <c r="B865" s="3">
        <v>8</v>
      </c>
      <c r="C865" s="3">
        <v>70</v>
      </c>
      <c r="D865" s="3">
        <v>25</v>
      </c>
      <c r="E865" s="3">
        <v>439.624</v>
      </c>
      <c r="F865" s="4" t="str">
        <f>HYPERLINK("http://141.218.60.56/~jnz1568/getInfo.php?workbook=16_08.xlsx&amp;sheet=A0&amp;row=865&amp;col=6&amp;number=1005&amp;sourceID=14","1005")</f>
        <v>1005</v>
      </c>
      <c r="G865" s="4" t="str">
        <f>HYPERLINK("http://141.218.60.56/~jnz1568/getInfo.php?workbook=16_08.xlsx&amp;sheet=A0&amp;row=865&amp;col=7&amp;number=0&amp;sourceID=14","0")</f>
        <v>0</v>
      </c>
    </row>
    <row r="866" spans="1:7">
      <c r="A866" s="3">
        <v>16</v>
      </c>
      <c r="B866" s="3">
        <v>8</v>
      </c>
      <c r="C866" s="3">
        <v>70</v>
      </c>
      <c r="D866" s="3">
        <v>27</v>
      </c>
      <c r="E866" s="3">
        <v>-576.777</v>
      </c>
      <c r="F866" s="4" t="str">
        <f>HYPERLINK("http://141.218.60.56/~jnz1568/getInfo.php?workbook=16_08.xlsx&amp;sheet=A0&amp;row=866&amp;col=6&amp;number=757400000&amp;sourceID=14","757400000")</f>
        <v>757400000</v>
      </c>
      <c r="G866" s="4" t="str">
        <f>HYPERLINK("http://141.218.60.56/~jnz1568/getInfo.php?workbook=16_08.xlsx&amp;sheet=A0&amp;row=866&amp;col=7&amp;number=0&amp;sourceID=14","0")</f>
        <v>0</v>
      </c>
    </row>
    <row r="867" spans="1:7">
      <c r="A867" s="3">
        <v>16</v>
      </c>
      <c r="B867" s="3">
        <v>8</v>
      </c>
      <c r="C867" s="3">
        <v>70</v>
      </c>
      <c r="D867" s="3">
        <v>28</v>
      </c>
      <c r="E867" s="3">
        <v>588.024</v>
      </c>
      <c r="F867" s="4" t="str">
        <f>HYPERLINK("http://141.218.60.56/~jnz1568/getInfo.php?workbook=16_08.xlsx&amp;sheet=A0&amp;row=867&amp;col=6&amp;number=197800000&amp;sourceID=14","197800000")</f>
        <v>197800000</v>
      </c>
      <c r="G867" s="4" t="str">
        <f>HYPERLINK("http://141.218.60.56/~jnz1568/getInfo.php?workbook=16_08.xlsx&amp;sheet=A0&amp;row=867&amp;col=7&amp;number=0&amp;sourceID=14","0")</f>
        <v>0</v>
      </c>
    </row>
    <row r="868" spans="1:7">
      <c r="A868" s="3">
        <v>16</v>
      </c>
      <c r="B868" s="3">
        <v>8</v>
      </c>
      <c r="C868" s="3">
        <v>70</v>
      </c>
      <c r="D868" s="3">
        <v>30</v>
      </c>
      <c r="E868" s="3">
        <v>-558.207</v>
      </c>
      <c r="F868" s="4" t="str">
        <f>HYPERLINK("http://141.218.60.56/~jnz1568/getInfo.php?workbook=16_08.xlsx&amp;sheet=A0&amp;row=868&amp;col=6&amp;number=3233000&amp;sourceID=14","3233000")</f>
        <v>3233000</v>
      </c>
      <c r="G868" s="4" t="str">
        <f>HYPERLINK("http://141.218.60.56/~jnz1568/getInfo.php?workbook=16_08.xlsx&amp;sheet=A0&amp;row=868&amp;col=7&amp;number=0&amp;sourceID=14","0")</f>
        <v>0</v>
      </c>
    </row>
    <row r="869" spans="1:7">
      <c r="A869" s="3">
        <v>16</v>
      </c>
      <c r="B869" s="3">
        <v>8</v>
      </c>
      <c r="C869" s="3">
        <v>70</v>
      </c>
      <c r="D869" s="3">
        <v>31</v>
      </c>
      <c r="E869" s="3">
        <v>618.055</v>
      </c>
      <c r="F869" s="4" t="str">
        <f>HYPERLINK("http://141.218.60.56/~jnz1568/getInfo.php?workbook=16_08.xlsx&amp;sheet=A0&amp;row=869&amp;col=6&amp;number=24200000&amp;sourceID=14","24200000")</f>
        <v>24200000</v>
      </c>
      <c r="G869" s="4" t="str">
        <f>HYPERLINK("http://141.218.60.56/~jnz1568/getInfo.php?workbook=16_08.xlsx&amp;sheet=A0&amp;row=869&amp;col=7&amp;number=0&amp;sourceID=14","0")</f>
        <v>0</v>
      </c>
    </row>
    <row r="870" spans="1:7">
      <c r="A870" s="3">
        <v>16</v>
      </c>
      <c r="B870" s="3">
        <v>8</v>
      </c>
      <c r="C870" s="3">
        <v>70</v>
      </c>
      <c r="D870" s="3">
        <v>35</v>
      </c>
      <c r="E870" s="3">
        <v>-774.217</v>
      </c>
      <c r="F870" s="4" t="str">
        <f>HYPERLINK("http://141.218.60.56/~jnz1568/getInfo.php?workbook=16_08.xlsx&amp;sheet=A0&amp;row=870&amp;col=6&amp;number=313100000&amp;sourceID=14","313100000")</f>
        <v>313100000</v>
      </c>
      <c r="G870" s="4" t="str">
        <f>HYPERLINK("http://141.218.60.56/~jnz1568/getInfo.php?workbook=16_08.xlsx&amp;sheet=A0&amp;row=870&amp;col=7&amp;number=0&amp;sourceID=14","0")</f>
        <v>0</v>
      </c>
    </row>
    <row r="871" spans="1:7">
      <c r="A871" s="3">
        <v>16</v>
      </c>
      <c r="B871" s="3">
        <v>8</v>
      </c>
      <c r="C871" s="3">
        <v>70</v>
      </c>
      <c r="D871" s="3">
        <v>36</v>
      </c>
      <c r="E871" s="3">
        <v>787.209</v>
      </c>
      <c r="F871" s="4" t="str">
        <f>HYPERLINK("http://141.218.60.56/~jnz1568/getInfo.php?workbook=16_08.xlsx&amp;sheet=A0&amp;row=871&amp;col=6&amp;number=229000000&amp;sourceID=14","229000000")</f>
        <v>229000000</v>
      </c>
      <c r="G871" s="4" t="str">
        <f>HYPERLINK("http://141.218.60.56/~jnz1568/getInfo.php?workbook=16_08.xlsx&amp;sheet=A0&amp;row=871&amp;col=7&amp;number=0&amp;sourceID=14","0")</f>
        <v>0</v>
      </c>
    </row>
    <row r="872" spans="1:7">
      <c r="A872" s="3">
        <v>16</v>
      </c>
      <c r="B872" s="3">
        <v>8</v>
      </c>
      <c r="C872" s="3">
        <v>70</v>
      </c>
      <c r="D872" s="3">
        <v>37</v>
      </c>
      <c r="E872" s="3">
        <v>777.684</v>
      </c>
      <c r="F872" s="4" t="str">
        <f>HYPERLINK("http://141.218.60.56/~jnz1568/getInfo.php?workbook=16_08.xlsx&amp;sheet=A0&amp;row=872&amp;col=6&amp;number=456800000&amp;sourceID=14","456800000")</f>
        <v>456800000</v>
      </c>
      <c r="G872" s="4" t="str">
        <f>HYPERLINK("http://141.218.60.56/~jnz1568/getInfo.php?workbook=16_08.xlsx&amp;sheet=A0&amp;row=872&amp;col=7&amp;number=0&amp;sourceID=14","0")</f>
        <v>0</v>
      </c>
    </row>
    <row r="873" spans="1:7">
      <c r="A873" s="3">
        <v>16</v>
      </c>
      <c r="B873" s="3">
        <v>8</v>
      </c>
      <c r="C873" s="3">
        <v>70</v>
      </c>
      <c r="D873" s="3">
        <v>43</v>
      </c>
      <c r="E873" s="3">
        <v>-738.527</v>
      </c>
      <c r="F873" s="4" t="str">
        <f>HYPERLINK("http://141.218.60.56/~jnz1568/getInfo.php?workbook=16_08.xlsx&amp;sheet=A0&amp;row=873&amp;col=6&amp;number=16320000&amp;sourceID=14","16320000")</f>
        <v>16320000</v>
      </c>
      <c r="G873" s="4" t="str">
        <f>HYPERLINK("http://141.218.60.56/~jnz1568/getInfo.php?workbook=16_08.xlsx&amp;sheet=A0&amp;row=873&amp;col=7&amp;number=0&amp;sourceID=14","0")</f>
        <v>0</v>
      </c>
    </row>
    <row r="874" spans="1:7">
      <c r="A874" s="3">
        <v>16</v>
      </c>
      <c r="B874" s="3">
        <v>8</v>
      </c>
      <c r="C874" s="3">
        <v>70</v>
      </c>
      <c r="D874" s="3">
        <v>44</v>
      </c>
      <c r="E874" s="3">
        <v>787.209</v>
      </c>
      <c r="F874" s="4" t="str">
        <f>HYPERLINK("http://141.218.60.56/~jnz1568/getInfo.php?workbook=16_08.xlsx&amp;sheet=A0&amp;row=874&amp;col=6&amp;number=157000000&amp;sourceID=14","157000000")</f>
        <v>157000000</v>
      </c>
      <c r="G874" s="4" t="str">
        <f>HYPERLINK("http://141.218.60.56/~jnz1568/getInfo.php?workbook=16_08.xlsx&amp;sheet=A0&amp;row=874&amp;col=7&amp;number=0&amp;sourceID=14","0")</f>
        <v>0</v>
      </c>
    </row>
    <row r="875" spans="1:7">
      <c r="A875" s="3">
        <v>16</v>
      </c>
      <c r="B875" s="3">
        <v>8</v>
      </c>
      <c r="C875" s="3">
        <v>70</v>
      </c>
      <c r="D875" s="3">
        <v>45</v>
      </c>
      <c r="E875" s="3">
        <v>-810.069</v>
      </c>
      <c r="F875" s="4" t="str">
        <f>HYPERLINK("http://141.218.60.56/~jnz1568/getInfo.php?workbook=16_08.xlsx&amp;sheet=A0&amp;row=875&amp;col=6&amp;number=12390000&amp;sourceID=14","12390000")</f>
        <v>12390000</v>
      </c>
      <c r="G875" s="4" t="str">
        <f>HYPERLINK("http://141.218.60.56/~jnz1568/getInfo.php?workbook=16_08.xlsx&amp;sheet=A0&amp;row=875&amp;col=7&amp;number=0&amp;sourceID=14","0")</f>
        <v>0</v>
      </c>
    </row>
    <row r="876" spans="1:7">
      <c r="A876" s="3">
        <v>16</v>
      </c>
      <c r="B876" s="3">
        <v>8</v>
      </c>
      <c r="C876" s="3">
        <v>70</v>
      </c>
      <c r="D876" s="3">
        <v>47</v>
      </c>
      <c r="E876" s="3">
        <v>-866.426</v>
      </c>
      <c r="F876" s="4" t="str">
        <f>HYPERLINK("http://141.218.60.56/~jnz1568/getInfo.php?workbook=16_08.xlsx&amp;sheet=A0&amp;row=876&amp;col=6&amp;number=887300&amp;sourceID=14","887300")</f>
        <v>887300</v>
      </c>
      <c r="G876" s="4" t="str">
        <f>HYPERLINK("http://141.218.60.56/~jnz1568/getInfo.php?workbook=16_08.xlsx&amp;sheet=A0&amp;row=876&amp;col=7&amp;number=0&amp;sourceID=14","0")</f>
        <v>0</v>
      </c>
    </row>
    <row r="877" spans="1:7">
      <c r="A877" s="3">
        <v>16</v>
      </c>
      <c r="B877" s="3">
        <v>8</v>
      </c>
      <c r="C877" s="3">
        <v>70</v>
      </c>
      <c r="D877" s="3">
        <v>48</v>
      </c>
      <c r="E877" s="3">
        <v>-885.424</v>
      </c>
      <c r="F877" s="4" t="str">
        <f>HYPERLINK("http://141.218.60.56/~jnz1568/getInfo.php?workbook=16_08.xlsx&amp;sheet=A0&amp;row=877&amp;col=6&amp;number=1809000&amp;sourceID=14","1809000")</f>
        <v>1809000</v>
      </c>
      <c r="G877" s="4" t="str">
        <f>HYPERLINK("http://141.218.60.56/~jnz1568/getInfo.php?workbook=16_08.xlsx&amp;sheet=A0&amp;row=877&amp;col=7&amp;number=0&amp;sourceID=14","0")</f>
        <v>0</v>
      </c>
    </row>
    <row r="878" spans="1:7">
      <c r="A878" s="3">
        <v>16</v>
      </c>
      <c r="B878" s="3">
        <v>8</v>
      </c>
      <c r="C878" s="3">
        <v>70</v>
      </c>
      <c r="D878" s="3">
        <v>52</v>
      </c>
      <c r="E878" s="3">
        <v>-956.75</v>
      </c>
      <c r="F878" s="4" t="str">
        <f>HYPERLINK("http://141.218.60.56/~jnz1568/getInfo.php?workbook=16_08.xlsx&amp;sheet=A0&amp;row=878&amp;col=6&amp;number=772300&amp;sourceID=14","772300")</f>
        <v>772300</v>
      </c>
      <c r="G878" s="4" t="str">
        <f>HYPERLINK("http://141.218.60.56/~jnz1568/getInfo.php?workbook=16_08.xlsx&amp;sheet=A0&amp;row=878&amp;col=7&amp;number=0&amp;sourceID=14","0")</f>
        <v>0</v>
      </c>
    </row>
    <row r="879" spans="1:7">
      <c r="A879" s="3">
        <v>16</v>
      </c>
      <c r="B879" s="3">
        <v>8</v>
      </c>
      <c r="C879" s="3">
        <v>70</v>
      </c>
      <c r="D879" s="3">
        <v>53</v>
      </c>
      <c r="E879" s="3">
        <v>-977.262</v>
      </c>
      <c r="F879" s="4" t="str">
        <f>HYPERLINK("http://141.218.60.56/~jnz1568/getInfo.php?workbook=16_08.xlsx&amp;sheet=A0&amp;row=879&amp;col=6&amp;number=6576000&amp;sourceID=14","6576000")</f>
        <v>6576000</v>
      </c>
      <c r="G879" s="4" t="str">
        <f>HYPERLINK("http://141.218.60.56/~jnz1568/getInfo.php?workbook=16_08.xlsx&amp;sheet=A0&amp;row=879&amp;col=7&amp;number=0&amp;sourceID=14","0")</f>
        <v>0</v>
      </c>
    </row>
    <row r="880" spans="1:7">
      <c r="A880" s="3">
        <v>16</v>
      </c>
      <c r="B880" s="3">
        <v>8</v>
      </c>
      <c r="C880" s="3">
        <v>70</v>
      </c>
      <c r="D880" s="3">
        <v>54</v>
      </c>
      <c r="E880" s="3">
        <v>-988.055</v>
      </c>
      <c r="F880" s="4" t="str">
        <f>HYPERLINK("http://141.218.60.56/~jnz1568/getInfo.php?workbook=16_08.xlsx&amp;sheet=A0&amp;row=880&amp;col=6&amp;number=7200000&amp;sourceID=14","7200000")</f>
        <v>7200000</v>
      </c>
      <c r="G880" s="4" t="str">
        <f>HYPERLINK("http://141.218.60.56/~jnz1568/getInfo.php?workbook=16_08.xlsx&amp;sheet=A0&amp;row=880&amp;col=7&amp;number=0&amp;sourceID=14","0")</f>
        <v>0</v>
      </c>
    </row>
    <row r="881" spans="1:7">
      <c r="A881" s="3">
        <v>16</v>
      </c>
      <c r="B881" s="3">
        <v>8</v>
      </c>
      <c r="C881" s="3">
        <v>70</v>
      </c>
      <c r="D881" s="3">
        <v>55</v>
      </c>
      <c r="E881" s="3">
        <v>-1315.457</v>
      </c>
      <c r="F881" s="4" t="str">
        <f>HYPERLINK("http://141.218.60.56/~jnz1568/getInfo.php?workbook=16_08.xlsx&amp;sheet=A0&amp;row=881&amp;col=6&amp;number=1520000&amp;sourceID=14","1520000")</f>
        <v>1520000</v>
      </c>
      <c r="G881" s="4" t="str">
        <f>HYPERLINK("http://141.218.60.56/~jnz1568/getInfo.php?workbook=16_08.xlsx&amp;sheet=A0&amp;row=881&amp;col=7&amp;number=0&amp;sourceID=14","0")</f>
        <v>0</v>
      </c>
    </row>
    <row r="882" spans="1:7">
      <c r="A882" s="3">
        <v>16</v>
      </c>
      <c r="B882" s="3">
        <v>8</v>
      </c>
      <c r="C882" s="3">
        <v>70</v>
      </c>
      <c r="D882" s="3">
        <v>66</v>
      </c>
      <c r="E882" s="3">
        <v>-2944.068</v>
      </c>
      <c r="F882" s="4" t="str">
        <f>HYPERLINK("http://141.218.60.56/~jnz1568/getInfo.php?workbook=16_08.xlsx&amp;sheet=A0&amp;row=882&amp;col=6&amp;number=18310&amp;sourceID=14","18310")</f>
        <v>18310</v>
      </c>
      <c r="G882" s="4" t="str">
        <f>HYPERLINK("http://141.218.60.56/~jnz1568/getInfo.php?workbook=16_08.xlsx&amp;sheet=A0&amp;row=882&amp;col=7&amp;number=0&amp;sourceID=14","0")</f>
        <v>0</v>
      </c>
    </row>
    <row r="883" spans="1:7">
      <c r="A883" s="3">
        <v>16</v>
      </c>
      <c r="B883" s="3">
        <v>8</v>
      </c>
      <c r="C883" s="3">
        <v>71</v>
      </c>
      <c r="D883" s="3">
        <v>1</v>
      </c>
      <c r="E883" s="3">
        <v>47.182</v>
      </c>
      <c r="F883" s="4" t="str">
        <f>HYPERLINK("http://141.218.60.56/~jnz1568/getInfo.php?workbook=16_08.xlsx&amp;sheet=A0&amp;row=883&amp;col=6&amp;number=3474&amp;sourceID=14","3474")</f>
        <v>3474</v>
      </c>
      <c r="G883" s="4" t="str">
        <f>HYPERLINK("http://141.218.60.56/~jnz1568/getInfo.php?workbook=16_08.xlsx&amp;sheet=A0&amp;row=883&amp;col=7&amp;number=0&amp;sourceID=14","0")</f>
        <v>0</v>
      </c>
    </row>
    <row r="884" spans="1:7">
      <c r="A884" s="3">
        <v>16</v>
      </c>
      <c r="B884" s="3">
        <v>8</v>
      </c>
      <c r="C884" s="3">
        <v>71</v>
      </c>
      <c r="D884" s="3">
        <v>2</v>
      </c>
      <c r="E884" s="3">
        <v>47.36</v>
      </c>
      <c r="F884" s="4" t="str">
        <f>HYPERLINK("http://141.218.60.56/~jnz1568/getInfo.php?workbook=16_08.xlsx&amp;sheet=A0&amp;row=884&amp;col=6&amp;number=1056000000000&amp;sourceID=14","1056000000000")</f>
        <v>1056000000000</v>
      </c>
      <c r="G884" s="4" t="str">
        <f>HYPERLINK("http://141.218.60.56/~jnz1568/getInfo.php?workbook=16_08.xlsx&amp;sheet=A0&amp;row=884&amp;col=7&amp;number=0&amp;sourceID=14","0")</f>
        <v>0</v>
      </c>
    </row>
    <row r="885" spans="1:7">
      <c r="A885" s="3">
        <v>16</v>
      </c>
      <c r="B885" s="3">
        <v>8</v>
      </c>
      <c r="C885" s="3">
        <v>71</v>
      </c>
      <c r="D885" s="3">
        <v>4</v>
      </c>
      <c r="E885" s="3">
        <v>48.516</v>
      </c>
      <c r="F885" s="4" t="str">
        <f>HYPERLINK("http://141.218.60.56/~jnz1568/getInfo.php?workbook=16_08.xlsx&amp;sheet=A0&amp;row=885&amp;col=6&amp;number=10130&amp;sourceID=14","10130")</f>
        <v>10130</v>
      </c>
      <c r="G885" s="4" t="str">
        <f>HYPERLINK("http://141.218.60.56/~jnz1568/getInfo.php?workbook=16_08.xlsx&amp;sheet=A0&amp;row=885&amp;col=7&amp;number=0&amp;sourceID=14","0")</f>
        <v>0</v>
      </c>
    </row>
    <row r="886" spans="1:7">
      <c r="A886" s="3">
        <v>16</v>
      </c>
      <c r="B886" s="3">
        <v>8</v>
      </c>
      <c r="C886" s="3">
        <v>71</v>
      </c>
      <c r="D886" s="3">
        <v>6</v>
      </c>
      <c r="E886" s="3">
        <v>59.72</v>
      </c>
      <c r="F886" s="4" t="str">
        <f>HYPERLINK("http://141.218.60.56/~jnz1568/getInfo.php?workbook=16_08.xlsx&amp;sheet=A0&amp;row=886&amp;col=6&amp;number=85240&amp;sourceID=14","85240")</f>
        <v>85240</v>
      </c>
      <c r="G886" s="4" t="str">
        <f>HYPERLINK("http://141.218.60.56/~jnz1568/getInfo.php?workbook=16_08.xlsx&amp;sheet=A0&amp;row=886&amp;col=7&amp;number=0&amp;sourceID=14","0")</f>
        <v>0</v>
      </c>
    </row>
    <row r="887" spans="1:7">
      <c r="A887" s="3">
        <v>16</v>
      </c>
      <c r="B887" s="3">
        <v>8</v>
      </c>
      <c r="C887" s="3">
        <v>71</v>
      </c>
      <c r="D887" s="3">
        <v>13</v>
      </c>
      <c r="E887" s="3">
        <v>364.3</v>
      </c>
      <c r="F887" s="4" t="str">
        <f>HYPERLINK("http://141.218.60.56/~jnz1568/getInfo.php?workbook=16_08.xlsx&amp;sheet=A0&amp;row=887&amp;col=6&amp;number=69320&amp;sourceID=14","69320")</f>
        <v>69320</v>
      </c>
      <c r="G887" s="4" t="str">
        <f>HYPERLINK("http://141.218.60.56/~jnz1568/getInfo.php?workbook=16_08.xlsx&amp;sheet=A0&amp;row=887&amp;col=7&amp;number=0&amp;sourceID=14","0")</f>
        <v>0</v>
      </c>
    </row>
    <row r="888" spans="1:7">
      <c r="A888" s="3">
        <v>16</v>
      </c>
      <c r="B888" s="3">
        <v>8</v>
      </c>
      <c r="C888" s="3">
        <v>71</v>
      </c>
      <c r="D888" s="3">
        <v>17</v>
      </c>
      <c r="E888" s="3">
        <v>397.392</v>
      </c>
      <c r="F888" s="4" t="str">
        <f>HYPERLINK("http://141.218.60.56/~jnz1568/getInfo.php?workbook=16_08.xlsx&amp;sheet=A0&amp;row=888&amp;col=6&amp;number=304100&amp;sourceID=14","304100")</f>
        <v>304100</v>
      </c>
      <c r="G888" s="4" t="str">
        <f>HYPERLINK("http://141.218.60.56/~jnz1568/getInfo.php?workbook=16_08.xlsx&amp;sheet=A0&amp;row=888&amp;col=7&amp;number=0&amp;sourceID=14","0")</f>
        <v>0</v>
      </c>
    </row>
    <row r="889" spans="1:7">
      <c r="A889" s="3">
        <v>16</v>
      </c>
      <c r="B889" s="3">
        <v>8</v>
      </c>
      <c r="C889" s="3">
        <v>71</v>
      </c>
      <c r="D889" s="3">
        <v>20</v>
      </c>
      <c r="E889" s="3">
        <v>441.16</v>
      </c>
      <c r="F889" s="4" t="str">
        <f>HYPERLINK("http://141.218.60.56/~jnz1568/getInfo.php?workbook=16_08.xlsx&amp;sheet=A0&amp;row=889&amp;col=6&amp;number=639400000&amp;sourceID=14","639400000")</f>
        <v>639400000</v>
      </c>
      <c r="G889" s="4" t="str">
        <f>HYPERLINK("http://141.218.60.56/~jnz1568/getInfo.php?workbook=16_08.xlsx&amp;sheet=A0&amp;row=889&amp;col=7&amp;number=0&amp;sourceID=14","0")</f>
        <v>0</v>
      </c>
    </row>
    <row r="890" spans="1:7">
      <c r="A890" s="3">
        <v>16</v>
      </c>
      <c r="B890" s="3">
        <v>8</v>
      </c>
      <c r="C890" s="3">
        <v>71</v>
      </c>
      <c r="D890" s="3">
        <v>28</v>
      </c>
      <c r="E890" s="3">
        <v>587.23</v>
      </c>
      <c r="F890" s="4" t="str">
        <f>HYPERLINK("http://141.218.60.56/~jnz1568/getInfo.php?workbook=16_08.xlsx&amp;sheet=A0&amp;row=890&amp;col=6&amp;number=640500000&amp;sourceID=14","640500000")</f>
        <v>640500000</v>
      </c>
      <c r="G890" s="4" t="str">
        <f>HYPERLINK("http://141.218.60.56/~jnz1568/getInfo.php?workbook=16_08.xlsx&amp;sheet=A0&amp;row=890&amp;col=7&amp;number=0&amp;sourceID=14","0")</f>
        <v>0</v>
      </c>
    </row>
    <row r="891" spans="1:7">
      <c r="A891" s="3">
        <v>16</v>
      </c>
      <c r="B891" s="3">
        <v>8</v>
      </c>
      <c r="C891" s="3">
        <v>71</v>
      </c>
      <c r="D891" s="3">
        <v>30</v>
      </c>
      <c r="E891" s="3">
        <v>-557.499</v>
      </c>
      <c r="F891" s="4" t="str">
        <f>HYPERLINK("http://141.218.60.56/~jnz1568/getInfo.php?workbook=16_08.xlsx&amp;sheet=A0&amp;row=891&amp;col=6&amp;number=445100000&amp;sourceID=14","445100000")</f>
        <v>445100000</v>
      </c>
      <c r="G891" s="4" t="str">
        <f>HYPERLINK("http://141.218.60.56/~jnz1568/getInfo.php?workbook=16_08.xlsx&amp;sheet=A0&amp;row=891&amp;col=7&amp;number=0&amp;sourceID=14","0")</f>
        <v>0</v>
      </c>
    </row>
    <row r="892" spans="1:7">
      <c r="A892" s="3">
        <v>16</v>
      </c>
      <c r="B892" s="3">
        <v>8</v>
      </c>
      <c r="C892" s="3">
        <v>71</v>
      </c>
      <c r="D892" s="3">
        <v>36</v>
      </c>
      <c r="E892" s="3">
        <v>785.787</v>
      </c>
      <c r="F892" s="4" t="str">
        <f>HYPERLINK("http://141.218.60.56/~jnz1568/getInfo.php?workbook=16_08.xlsx&amp;sheet=A0&amp;row=892&amp;col=6&amp;number=773800000&amp;sourceID=14","773800000")</f>
        <v>773800000</v>
      </c>
      <c r="G892" s="4" t="str">
        <f>HYPERLINK("http://141.218.60.56/~jnz1568/getInfo.php?workbook=16_08.xlsx&amp;sheet=A0&amp;row=892&amp;col=7&amp;number=0&amp;sourceID=14","0")</f>
        <v>0</v>
      </c>
    </row>
    <row r="893" spans="1:7">
      <c r="A893" s="3">
        <v>16</v>
      </c>
      <c r="B893" s="3">
        <v>8</v>
      </c>
      <c r="C893" s="3">
        <v>71</v>
      </c>
      <c r="D893" s="3">
        <v>43</v>
      </c>
      <c r="E893" s="3">
        <v>-737.288</v>
      </c>
      <c r="F893" s="4" t="str">
        <f>HYPERLINK("http://141.218.60.56/~jnz1568/getInfo.php?workbook=16_08.xlsx&amp;sheet=A0&amp;row=893&amp;col=6&amp;number=344900000&amp;sourceID=14","344900000")</f>
        <v>344900000</v>
      </c>
      <c r="G893" s="4" t="str">
        <f>HYPERLINK("http://141.218.60.56/~jnz1568/getInfo.php?workbook=16_08.xlsx&amp;sheet=A0&amp;row=893&amp;col=7&amp;number=0&amp;sourceID=14","0")</f>
        <v>0</v>
      </c>
    </row>
    <row r="894" spans="1:7">
      <c r="A894" s="3">
        <v>16</v>
      </c>
      <c r="B894" s="3">
        <v>8</v>
      </c>
      <c r="C894" s="3">
        <v>71</v>
      </c>
      <c r="D894" s="3">
        <v>45</v>
      </c>
      <c r="E894" s="3">
        <v>-808.578</v>
      </c>
      <c r="F894" s="4" t="str">
        <f>HYPERLINK("http://141.218.60.56/~jnz1568/getInfo.php?workbook=16_08.xlsx&amp;sheet=A0&amp;row=894&amp;col=6&amp;number=131500000&amp;sourceID=14","131500000")</f>
        <v>131500000</v>
      </c>
      <c r="G894" s="4" t="str">
        <f>HYPERLINK("http://141.218.60.56/~jnz1568/getInfo.php?workbook=16_08.xlsx&amp;sheet=A0&amp;row=894&amp;col=7&amp;number=0&amp;sourceID=14","0")</f>
        <v>0</v>
      </c>
    </row>
    <row r="895" spans="1:7">
      <c r="A895" s="3">
        <v>16</v>
      </c>
      <c r="B895" s="3">
        <v>8</v>
      </c>
      <c r="C895" s="3">
        <v>71</v>
      </c>
      <c r="D895" s="3">
        <v>48</v>
      </c>
      <c r="E895" s="3">
        <v>-883.643</v>
      </c>
      <c r="F895" s="4" t="str">
        <f>HYPERLINK("http://141.218.60.56/~jnz1568/getInfo.php?workbook=16_08.xlsx&amp;sheet=A0&amp;row=895&amp;col=6&amp;number=5564000&amp;sourceID=14","5564000")</f>
        <v>5564000</v>
      </c>
      <c r="G895" s="4" t="str">
        <f>HYPERLINK("http://141.218.60.56/~jnz1568/getInfo.php?workbook=16_08.xlsx&amp;sheet=A0&amp;row=895&amp;col=7&amp;number=0&amp;sourceID=14","0")</f>
        <v>0</v>
      </c>
    </row>
    <row r="896" spans="1:7">
      <c r="A896" s="3">
        <v>16</v>
      </c>
      <c r="B896" s="3">
        <v>8</v>
      </c>
      <c r="C896" s="3">
        <v>71</v>
      </c>
      <c r="D896" s="3">
        <v>53</v>
      </c>
      <c r="E896" s="3">
        <v>-975.093</v>
      </c>
      <c r="F896" s="4" t="str">
        <f>HYPERLINK("http://141.218.60.56/~jnz1568/getInfo.php?workbook=16_08.xlsx&amp;sheet=A0&amp;row=896&amp;col=6&amp;number=10850000&amp;sourceID=14","10850000")</f>
        <v>10850000</v>
      </c>
      <c r="G896" s="4" t="str">
        <f>HYPERLINK("http://141.218.60.56/~jnz1568/getInfo.php?workbook=16_08.xlsx&amp;sheet=A0&amp;row=896&amp;col=7&amp;number=0&amp;sourceID=14","0")</f>
        <v>0</v>
      </c>
    </row>
    <row r="897" spans="1:7">
      <c r="A897" s="3">
        <v>16</v>
      </c>
      <c r="B897" s="3">
        <v>8</v>
      </c>
      <c r="C897" s="3">
        <v>72</v>
      </c>
      <c r="D897" s="3">
        <v>1</v>
      </c>
      <c r="E897" s="3">
        <v>47.227</v>
      </c>
      <c r="F897" s="4" t="str">
        <f>HYPERLINK("http://141.218.60.56/~jnz1568/getInfo.php?workbook=16_08.xlsx&amp;sheet=A0&amp;row=897&amp;col=6&amp;number=40540000000&amp;sourceID=14","40540000000")</f>
        <v>40540000000</v>
      </c>
      <c r="G897" s="4" t="str">
        <f>HYPERLINK("http://141.218.60.56/~jnz1568/getInfo.php?workbook=16_08.xlsx&amp;sheet=A0&amp;row=897&amp;col=7&amp;number=0&amp;sourceID=14","0")</f>
        <v>0</v>
      </c>
    </row>
    <row r="898" spans="1:7">
      <c r="A898" s="3">
        <v>16</v>
      </c>
      <c r="B898" s="3">
        <v>8</v>
      </c>
      <c r="C898" s="3">
        <v>72</v>
      </c>
      <c r="D898" s="3">
        <v>2</v>
      </c>
      <c r="E898" s="3">
        <v>47.406</v>
      </c>
      <c r="F898" s="4" t="str">
        <f>HYPERLINK("http://141.218.60.56/~jnz1568/getInfo.php?workbook=16_08.xlsx&amp;sheet=A0&amp;row=898&amp;col=6&amp;number=5672000000&amp;sourceID=14","5672000000")</f>
        <v>5672000000</v>
      </c>
      <c r="G898" s="4" t="str">
        <f>HYPERLINK("http://141.218.60.56/~jnz1568/getInfo.php?workbook=16_08.xlsx&amp;sheet=A0&amp;row=898&amp;col=7&amp;number=0&amp;sourceID=14","0")</f>
        <v>0</v>
      </c>
    </row>
    <row r="899" spans="1:7">
      <c r="A899" s="3">
        <v>16</v>
      </c>
      <c r="B899" s="3">
        <v>8</v>
      </c>
      <c r="C899" s="3">
        <v>72</v>
      </c>
      <c r="D899" s="3">
        <v>3</v>
      </c>
      <c r="E899" s="3">
        <v>47.466</v>
      </c>
      <c r="F899" s="4" t="str">
        <f>HYPERLINK("http://141.218.60.56/~jnz1568/getInfo.php?workbook=16_08.xlsx&amp;sheet=A0&amp;row=899&amp;col=6&amp;number=10380&amp;sourceID=14","10380")</f>
        <v>10380</v>
      </c>
      <c r="G899" s="4" t="str">
        <f>HYPERLINK("http://141.218.60.56/~jnz1568/getInfo.php?workbook=16_08.xlsx&amp;sheet=A0&amp;row=899&amp;col=7&amp;number=0&amp;sourceID=14","0")</f>
        <v>0</v>
      </c>
    </row>
    <row r="900" spans="1:7">
      <c r="A900" s="3">
        <v>16</v>
      </c>
      <c r="B900" s="3">
        <v>8</v>
      </c>
      <c r="C900" s="3">
        <v>72</v>
      </c>
      <c r="D900" s="3">
        <v>4</v>
      </c>
      <c r="E900" s="3">
        <v>48.564</v>
      </c>
      <c r="F900" s="4" t="str">
        <f>HYPERLINK("http://141.218.60.56/~jnz1568/getInfo.php?workbook=16_08.xlsx&amp;sheet=A0&amp;row=900&amp;col=6&amp;number=429500000000&amp;sourceID=14","429500000000")</f>
        <v>429500000000</v>
      </c>
      <c r="G900" s="4" t="str">
        <f>HYPERLINK("http://141.218.60.56/~jnz1568/getInfo.php?workbook=16_08.xlsx&amp;sheet=A0&amp;row=900&amp;col=7&amp;number=0&amp;sourceID=14","0")</f>
        <v>0</v>
      </c>
    </row>
    <row r="901" spans="1:7">
      <c r="A901" s="3">
        <v>16</v>
      </c>
      <c r="B901" s="3">
        <v>8</v>
      </c>
      <c r="C901" s="3">
        <v>72</v>
      </c>
      <c r="D901" s="3">
        <v>5</v>
      </c>
      <c r="E901" s="3">
        <v>50.132</v>
      </c>
      <c r="F901" s="4" t="str">
        <f>HYPERLINK("http://141.218.60.56/~jnz1568/getInfo.php?workbook=16_08.xlsx&amp;sheet=A0&amp;row=901&amp;col=6&amp;number=7086&amp;sourceID=14","7086")</f>
        <v>7086</v>
      </c>
      <c r="G901" s="4" t="str">
        <f>HYPERLINK("http://141.218.60.56/~jnz1568/getInfo.php?workbook=16_08.xlsx&amp;sheet=A0&amp;row=901&amp;col=7&amp;number=0&amp;sourceID=14","0")</f>
        <v>0</v>
      </c>
    </row>
    <row r="902" spans="1:7">
      <c r="A902" s="3">
        <v>16</v>
      </c>
      <c r="B902" s="3">
        <v>8</v>
      </c>
      <c r="C902" s="3">
        <v>72</v>
      </c>
      <c r="D902" s="3">
        <v>6</v>
      </c>
      <c r="E902" s="3">
        <v>59.793</v>
      </c>
      <c r="F902" s="4" t="str">
        <f>HYPERLINK("http://141.218.60.56/~jnz1568/getInfo.php?workbook=16_08.xlsx&amp;sheet=A0&amp;row=902&amp;col=6&amp;number=37180&amp;sourceID=14","37180")</f>
        <v>37180</v>
      </c>
      <c r="G902" s="4" t="str">
        <f>HYPERLINK("http://141.218.60.56/~jnz1568/getInfo.php?workbook=16_08.xlsx&amp;sheet=A0&amp;row=902&amp;col=7&amp;number=0&amp;sourceID=14","0")</f>
        <v>0</v>
      </c>
    </row>
    <row r="903" spans="1:7">
      <c r="A903" s="3">
        <v>16</v>
      </c>
      <c r="B903" s="3">
        <v>8</v>
      </c>
      <c r="C903" s="3">
        <v>72</v>
      </c>
      <c r="D903" s="3">
        <v>7</v>
      </c>
      <c r="E903" s="3">
        <v>60.044</v>
      </c>
      <c r="F903" s="4" t="str">
        <f>HYPERLINK("http://141.218.60.56/~jnz1568/getInfo.php?workbook=16_08.xlsx&amp;sheet=A0&amp;row=903&amp;col=6&amp;number=11420&amp;sourceID=14","11420")</f>
        <v>11420</v>
      </c>
      <c r="G903" s="4" t="str">
        <f>HYPERLINK("http://141.218.60.56/~jnz1568/getInfo.php?workbook=16_08.xlsx&amp;sheet=A0&amp;row=903&amp;col=7&amp;number=0&amp;sourceID=14","0")</f>
        <v>0</v>
      </c>
    </row>
    <row r="904" spans="1:7">
      <c r="A904" s="3">
        <v>16</v>
      </c>
      <c r="B904" s="3">
        <v>8</v>
      </c>
      <c r="C904" s="3">
        <v>72</v>
      </c>
      <c r="D904" s="3">
        <v>8</v>
      </c>
      <c r="E904" s="3">
        <v>60.185</v>
      </c>
      <c r="F904" s="4" t="str">
        <f>HYPERLINK("http://141.218.60.56/~jnz1568/getInfo.php?workbook=16_08.xlsx&amp;sheet=A0&amp;row=904&amp;col=6&amp;number=1170&amp;sourceID=14","1170")</f>
        <v>1170</v>
      </c>
      <c r="G904" s="4" t="str">
        <f>HYPERLINK("http://141.218.60.56/~jnz1568/getInfo.php?workbook=16_08.xlsx&amp;sheet=A0&amp;row=904&amp;col=7&amp;number=0&amp;sourceID=14","0")</f>
        <v>0</v>
      </c>
    </row>
    <row r="905" spans="1:7">
      <c r="A905" s="3">
        <v>16</v>
      </c>
      <c r="B905" s="3">
        <v>8</v>
      </c>
      <c r="C905" s="3">
        <v>72</v>
      </c>
      <c r="D905" s="3">
        <v>9</v>
      </c>
      <c r="E905" s="3">
        <v>66.606</v>
      </c>
      <c r="F905" s="4" t="str">
        <f>HYPERLINK("http://141.218.60.56/~jnz1568/getInfo.php?workbook=16_08.xlsx&amp;sheet=A0&amp;row=905&amp;col=6&amp;number=2984&amp;sourceID=14","2984")</f>
        <v>2984</v>
      </c>
      <c r="G905" s="4" t="str">
        <f>HYPERLINK("http://141.218.60.56/~jnz1568/getInfo.php?workbook=16_08.xlsx&amp;sheet=A0&amp;row=905&amp;col=7&amp;number=0&amp;sourceID=14","0")</f>
        <v>0</v>
      </c>
    </row>
    <row r="906" spans="1:7">
      <c r="A906" s="3">
        <v>16</v>
      </c>
      <c r="B906" s="3">
        <v>8</v>
      </c>
      <c r="C906" s="3">
        <v>72</v>
      </c>
      <c r="D906" s="3">
        <v>16</v>
      </c>
      <c r="E906" s="3">
        <v>386.458</v>
      </c>
      <c r="F906" s="4" t="str">
        <f>HYPERLINK("http://141.218.60.56/~jnz1568/getInfo.php?workbook=16_08.xlsx&amp;sheet=A0&amp;row=906&amp;col=6&amp;number=32630&amp;sourceID=14","32630")</f>
        <v>32630</v>
      </c>
      <c r="G906" s="4" t="str">
        <f>HYPERLINK("http://141.218.60.56/~jnz1568/getInfo.php?workbook=16_08.xlsx&amp;sheet=A0&amp;row=906&amp;col=7&amp;number=0&amp;sourceID=14","0")</f>
        <v>0</v>
      </c>
    </row>
    <row r="907" spans="1:7">
      <c r="A907" s="3">
        <v>16</v>
      </c>
      <c r="B907" s="3">
        <v>8</v>
      </c>
      <c r="C907" s="3">
        <v>72</v>
      </c>
      <c r="D907" s="3">
        <v>17</v>
      </c>
      <c r="E907" s="3">
        <v>400.636</v>
      </c>
      <c r="F907" s="4" t="str">
        <f>HYPERLINK("http://141.218.60.56/~jnz1568/getInfo.php?workbook=16_08.xlsx&amp;sheet=A0&amp;row=907&amp;col=6&amp;number=23870&amp;sourceID=14","23870")</f>
        <v>23870</v>
      </c>
      <c r="G907" s="4" t="str">
        <f>HYPERLINK("http://141.218.60.56/~jnz1568/getInfo.php?workbook=16_08.xlsx&amp;sheet=A0&amp;row=907&amp;col=7&amp;number=0&amp;sourceID=14","0")</f>
        <v>0</v>
      </c>
    </row>
    <row r="908" spans="1:7">
      <c r="A908" s="3">
        <v>16</v>
      </c>
      <c r="B908" s="3">
        <v>8</v>
      </c>
      <c r="C908" s="3">
        <v>72</v>
      </c>
      <c r="D908" s="3">
        <v>18</v>
      </c>
      <c r="E908" s="3">
        <v>401.648</v>
      </c>
      <c r="F908" s="4" t="str">
        <f>HYPERLINK("http://141.218.60.56/~jnz1568/getInfo.php?workbook=16_08.xlsx&amp;sheet=A0&amp;row=908&amp;col=6&amp;number=13540&amp;sourceID=14","13540")</f>
        <v>13540</v>
      </c>
      <c r="G908" s="4" t="str">
        <f>HYPERLINK("http://141.218.60.56/~jnz1568/getInfo.php?workbook=16_08.xlsx&amp;sheet=A0&amp;row=908&amp;col=7&amp;number=0&amp;sourceID=14","0")</f>
        <v>0</v>
      </c>
    </row>
    <row r="909" spans="1:7">
      <c r="A909" s="3">
        <v>16</v>
      </c>
      <c r="B909" s="3">
        <v>8</v>
      </c>
      <c r="C909" s="3">
        <v>72</v>
      </c>
      <c r="D909" s="3">
        <v>19</v>
      </c>
      <c r="E909" s="3">
        <v>403.634</v>
      </c>
      <c r="F909" s="4" t="str">
        <f>HYPERLINK("http://141.218.60.56/~jnz1568/getInfo.php?workbook=16_08.xlsx&amp;sheet=A0&amp;row=909&amp;col=6&amp;number=4391&amp;sourceID=14","4391")</f>
        <v>4391</v>
      </c>
      <c r="G909" s="4" t="str">
        <f>HYPERLINK("http://141.218.60.56/~jnz1568/getInfo.php?workbook=16_08.xlsx&amp;sheet=A0&amp;row=909&amp;col=7&amp;number=0&amp;sourceID=14","0")</f>
        <v>0</v>
      </c>
    </row>
    <row r="910" spans="1:7">
      <c r="A910" s="3">
        <v>16</v>
      </c>
      <c r="B910" s="3">
        <v>8</v>
      </c>
      <c r="C910" s="3">
        <v>72</v>
      </c>
      <c r="D910" s="3">
        <v>20</v>
      </c>
      <c r="E910" s="3">
        <v>445.163</v>
      </c>
      <c r="F910" s="4" t="str">
        <f>HYPERLINK("http://141.218.60.56/~jnz1568/getInfo.php?workbook=16_08.xlsx&amp;sheet=A0&amp;row=910&amp;col=6&amp;number=326300&amp;sourceID=14","326300")</f>
        <v>326300</v>
      </c>
      <c r="G910" s="4" t="str">
        <f>HYPERLINK("http://141.218.60.56/~jnz1568/getInfo.php?workbook=16_08.xlsx&amp;sheet=A0&amp;row=910&amp;col=7&amp;number=0&amp;sourceID=14","0")</f>
        <v>0</v>
      </c>
    </row>
    <row r="911" spans="1:7">
      <c r="A911" s="3">
        <v>16</v>
      </c>
      <c r="B911" s="3">
        <v>8</v>
      </c>
      <c r="C911" s="3">
        <v>72</v>
      </c>
      <c r="D911" s="3">
        <v>21</v>
      </c>
      <c r="E911" s="3">
        <v>445.907</v>
      </c>
      <c r="F911" s="4" t="str">
        <f>HYPERLINK("http://141.218.60.56/~jnz1568/getInfo.php?workbook=16_08.xlsx&amp;sheet=A0&amp;row=911&amp;col=6&amp;number=7009000&amp;sourceID=14","7009000")</f>
        <v>7009000</v>
      </c>
      <c r="G911" s="4" t="str">
        <f>HYPERLINK("http://141.218.60.56/~jnz1568/getInfo.php?workbook=16_08.xlsx&amp;sheet=A0&amp;row=911&amp;col=7&amp;number=0&amp;sourceID=14","0")</f>
        <v>0</v>
      </c>
    </row>
    <row r="912" spans="1:7">
      <c r="A912" s="3">
        <v>16</v>
      </c>
      <c r="B912" s="3">
        <v>8</v>
      </c>
      <c r="C912" s="3">
        <v>72</v>
      </c>
      <c r="D912" s="3">
        <v>26</v>
      </c>
      <c r="E912" s="3">
        <v>469.439</v>
      </c>
      <c r="F912" s="4" t="str">
        <f>HYPERLINK("http://141.218.60.56/~jnz1568/getInfo.php?workbook=16_08.xlsx&amp;sheet=A0&amp;row=912&amp;col=6&amp;number=7310&amp;sourceID=14","7310")</f>
        <v>7310</v>
      </c>
      <c r="G912" s="4" t="str">
        <f>HYPERLINK("http://141.218.60.56/~jnz1568/getInfo.php?workbook=16_08.xlsx&amp;sheet=A0&amp;row=912&amp;col=7&amp;number=0&amp;sourceID=14","0")</f>
        <v>0</v>
      </c>
    </row>
    <row r="913" spans="1:7">
      <c r="A913" s="3">
        <v>16</v>
      </c>
      <c r="B913" s="3">
        <v>8</v>
      </c>
      <c r="C913" s="3">
        <v>72</v>
      </c>
      <c r="D913" s="3">
        <v>27</v>
      </c>
      <c r="E913" s="3">
        <v>-592.82</v>
      </c>
      <c r="F913" s="4" t="str">
        <f>HYPERLINK("http://141.218.60.56/~jnz1568/getInfo.php?workbook=16_08.xlsx&amp;sheet=A0&amp;row=913&amp;col=6&amp;number=5640000&amp;sourceID=14","5640000")</f>
        <v>5640000</v>
      </c>
      <c r="G913" s="4" t="str">
        <f>HYPERLINK("http://141.218.60.56/~jnz1568/getInfo.php?workbook=16_08.xlsx&amp;sheet=A0&amp;row=913&amp;col=7&amp;number=0&amp;sourceID=14","0")</f>
        <v>0</v>
      </c>
    </row>
    <row r="914" spans="1:7">
      <c r="A914" s="3">
        <v>16</v>
      </c>
      <c r="B914" s="3">
        <v>8</v>
      </c>
      <c r="C914" s="3">
        <v>72</v>
      </c>
      <c r="D914" s="3">
        <v>28</v>
      </c>
      <c r="E914" s="3">
        <v>594.343</v>
      </c>
      <c r="F914" s="4" t="str">
        <f>HYPERLINK("http://141.218.60.56/~jnz1568/getInfo.php?workbook=16_08.xlsx&amp;sheet=A0&amp;row=914&amp;col=6&amp;number=840000000&amp;sourceID=14","840000000")</f>
        <v>840000000</v>
      </c>
      <c r="G914" s="4" t="str">
        <f>HYPERLINK("http://141.218.60.56/~jnz1568/getInfo.php?workbook=16_08.xlsx&amp;sheet=A0&amp;row=914&amp;col=7&amp;number=0&amp;sourceID=14","0")</f>
        <v>0</v>
      </c>
    </row>
    <row r="915" spans="1:7">
      <c r="A915" s="3">
        <v>16</v>
      </c>
      <c r="B915" s="3">
        <v>8</v>
      </c>
      <c r="C915" s="3">
        <v>72</v>
      </c>
      <c r="D915" s="3">
        <v>29</v>
      </c>
      <c r="E915" s="3">
        <v>600.532</v>
      </c>
      <c r="F915" s="4" t="str">
        <f>HYPERLINK("http://141.218.60.56/~jnz1568/getInfo.php?workbook=16_08.xlsx&amp;sheet=A0&amp;row=915&amp;col=6&amp;number=1099000&amp;sourceID=14","1099000")</f>
        <v>1099000</v>
      </c>
      <c r="G915" s="4" t="str">
        <f>HYPERLINK("http://141.218.60.56/~jnz1568/getInfo.php?workbook=16_08.xlsx&amp;sheet=A0&amp;row=915&amp;col=7&amp;number=0&amp;sourceID=14","0")</f>
        <v>0</v>
      </c>
    </row>
    <row r="916" spans="1:7">
      <c r="A916" s="3">
        <v>16</v>
      </c>
      <c r="B916" s="3">
        <v>8</v>
      </c>
      <c r="C916" s="3">
        <v>72</v>
      </c>
      <c r="D916" s="3">
        <v>30</v>
      </c>
      <c r="E916" s="3">
        <v>-573.22</v>
      </c>
      <c r="F916" s="4" t="str">
        <f>HYPERLINK("http://141.218.60.56/~jnz1568/getInfo.php?workbook=16_08.xlsx&amp;sheet=A0&amp;row=916&amp;col=6&amp;number=898500000&amp;sourceID=14","898500000")</f>
        <v>898500000</v>
      </c>
      <c r="G916" s="4" t="str">
        <f>HYPERLINK("http://141.218.60.56/~jnz1568/getInfo.php?workbook=16_08.xlsx&amp;sheet=A0&amp;row=916&amp;col=7&amp;number=0&amp;sourceID=14","0")</f>
        <v>0</v>
      </c>
    </row>
    <row r="917" spans="1:7">
      <c r="A917" s="3">
        <v>16</v>
      </c>
      <c r="B917" s="3">
        <v>8</v>
      </c>
      <c r="C917" s="3">
        <v>72</v>
      </c>
      <c r="D917" s="3">
        <v>31</v>
      </c>
      <c r="E917" s="3">
        <v>625.039</v>
      </c>
      <c r="F917" s="4" t="str">
        <f>HYPERLINK("http://141.218.60.56/~jnz1568/getInfo.php?workbook=16_08.xlsx&amp;sheet=A0&amp;row=917&amp;col=6&amp;number=1501000&amp;sourceID=14","1501000")</f>
        <v>1501000</v>
      </c>
      <c r="G917" s="4" t="str">
        <f>HYPERLINK("http://141.218.60.56/~jnz1568/getInfo.php?workbook=16_08.xlsx&amp;sheet=A0&amp;row=917&amp;col=7&amp;number=0&amp;sourceID=14","0")</f>
        <v>0</v>
      </c>
    </row>
    <row r="918" spans="1:7">
      <c r="A918" s="3">
        <v>16</v>
      </c>
      <c r="B918" s="3">
        <v>8</v>
      </c>
      <c r="C918" s="3">
        <v>72</v>
      </c>
      <c r="D918" s="3">
        <v>32</v>
      </c>
      <c r="E918" s="3">
        <v>629.247</v>
      </c>
      <c r="F918" s="4" t="str">
        <f>HYPERLINK("http://141.218.60.56/~jnz1568/getInfo.php?workbook=16_08.xlsx&amp;sheet=A0&amp;row=918&amp;col=6&amp;number=518600&amp;sourceID=14","518600")</f>
        <v>518600</v>
      </c>
      <c r="G918" s="4" t="str">
        <f>HYPERLINK("http://141.218.60.56/~jnz1568/getInfo.php?workbook=16_08.xlsx&amp;sheet=A0&amp;row=918&amp;col=7&amp;number=0&amp;sourceID=14","0")</f>
        <v>0</v>
      </c>
    </row>
    <row r="919" spans="1:7">
      <c r="A919" s="3">
        <v>16</v>
      </c>
      <c r="B919" s="3">
        <v>8</v>
      </c>
      <c r="C919" s="3">
        <v>72</v>
      </c>
      <c r="D919" s="3">
        <v>34</v>
      </c>
      <c r="E919" s="3">
        <v>647.614</v>
      </c>
      <c r="F919" s="4" t="str">
        <f>HYPERLINK("http://141.218.60.56/~jnz1568/getInfo.php?workbook=16_08.xlsx&amp;sheet=A0&amp;row=919&amp;col=6&amp;number=103800000&amp;sourceID=14","103800000")</f>
        <v>103800000</v>
      </c>
      <c r="G919" s="4" t="str">
        <f>HYPERLINK("http://141.218.60.56/~jnz1568/getInfo.php?workbook=16_08.xlsx&amp;sheet=A0&amp;row=919&amp;col=7&amp;number=0&amp;sourceID=14","0")</f>
        <v>0</v>
      </c>
    </row>
    <row r="920" spans="1:7">
      <c r="A920" s="3">
        <v>16</v>
      </c>
      <c r="B920" s="3">
        <v>8</v>
      </c>
      <c r="C920" s="3">
        <v>72</v>
      </c>
      <c r="D920" s="3">
        <v>36</v>
      </c>
      <c r="E920" s="3">
        <v>798.575</v>
      </c>
      <c r="F920" s="4" t="str">
        <f>HYPERLINK("http://141.218.60.56/~jnz1568/getInfo.php?workbook=16_08.xlsx&amp;sheet=A0&amp;row=920&amp;col=6&amp;number=318000&amp;sourceID=14","318000")</f>
        <v>318000</v>
      </c>
      <c r="G920" s="4" t="str">
        <f>HYPERLINK("http://141.218.60.56/~jnz1568/getInfo.php?workbook=16_08.xlsx&amp;sheet=A0&amp;row=920&amp;col=7&amp;number=0&amp;sourceID=14","0")</f>
        <v>0</v>
      </c>
    </row>
    <row r="921" spans="1:7">
      <c r="A921" s="3">
        <v>16</v>
      </c>
      <c r="B921" s="3">
        <v>8</v>
      </c>
      <c r="C921" s="3">
        <v>72</v>
      </c>
      <c r="D921" s="3">
        <v>37</v>
      </c>
      <c r="E921" s="3">
        <v>788.774</v>
      </c>
      <c r="F921" s="4" t="str">
        <f>HYPERLINK("http://141.218.60.56/~jnz1568/getInfo.php?workbook=16_08.xlsx&amp;sheet=A0&amp;row=921&amp;col=6&amp;number=21130000&amp;sourceID=14","21130000")</f>
        <v>21130000</v>
      </c>
      <c r="G921" s="4" t="str">
        <f>HYPERLINK("http://141.218.60.56/~jnz1568/getInfo.php?workbook=16_08.xlsx&amp;sheet=A0&amp;row=921&amp;col=7&amp;number=0&amp;sourceID=14","0")</f>
        <v>0</v>
      </c>
    </row>
    <row r="922" spans="1:7">
      <c r="A922" s="3">
        <v>16</v>
      </c>
      <c r="B922" s="3">
        <v>8</v>
      </c>
      <c r="C922" s="3">
        <v>72</v>
      </c>
      <c r="D922" s="3">
        <v>43</v>
      </c>
      <c r="E922" s="3">
        <v>-765.036</v>
      </c>
      <c r="F922" s="4" t="str">
        <f>HYPERLINK("http://141.218.60.56/~jnz1568/getInfo.php?workbook=16_08.xlsx&amp;sheet=A0&amp;row=922&amp;col=6&amp;number=5148000&amp;sourceID=14","5148000")</f>
        <v>5148000</v>
      </c>
      <c r="G922" s="4" t="str">
        <f>HYPERLINK("http://141.218.60.56/~jnz1568/getInfo.php?workbook=16_08.xlsx&amp;sheet=A0&amp;row=922&amp;col=7&amp;number=0&amp;sourceID=14","0")</f>
        <v>0</v>
      </c>
    </row>
    <row r="923" spans="1:7">
      <c r="A923" s="3">
        <v>16</v>
      </c>
      <c r="B923" s="3">
        <v>8</v>
      </c>
      <c r="C923" s="3">
        <v>72</v>
      </c>
      <c r="D923" s="3">
        <v>44</v>
      </c>
      <c r="E923" s="3">
        <v>798.575</v>
      </c>
      <c r="F923" s="4" t="str">
        <f>HYPERLINK("http://141.218.60.56/~jnz1568/getInfo.php?workbook=16_08.xlsx&amp;sheet=A0&amp;row=923&amp;col=6&amp;number=22480000&amp;sourceID=14","22480000")</f>
        <v>22480000</v>
      </c>
      <c r="G923" s="4" t="str">
        <f>HYPERLINK("http://141.218.60.56/~jnz1568/getInfo.php?workbook=16_08.xlsx&amp;sheet=A0&amp;row=923&amp;col=7&amp;number=0&amp;sourceID=14","0")</f>
        <v>0</v>
      </c>
    </row>
    <row r="924" spans="1:7">
      <c r="A924" s="3">
        <v>16</v>
      </c>
      <c r="B924" s="3">
        <v>8</v>
      </c>
      <c r="C924" s="3">
        <v>72</v>
      </c>
      <c r="D924" s="3">
        <v>45</v>
      </c>
      <c r="E924" s="3">
        <v>-842.074</v>
      </c>
      <c r="F924" s="4" t="str">
        <f>HYPERLINK("http://141.218.60.56/~jnz1568/getInfo.php?workbook=16_08.xlsx&amp;sheet=A0&amp;row=924&amp;col=6&amp;number=14020000&amp;sourceID=14","14020000")</f>
        <v>14020000</v>
      </c>
      <c r="G924" s="4" t="str">
        <f>HYPERLINK("http://141.218.60.56/~jnz1568/getInfo.php?workbook=16_08.xlsx&amp;sheet=A0&amp;row=924&amp;col=7&amp;number=0&amp;sourceID=14","0")</f>
        <v>0</v>
      </c>
    </row>
    <row r="925" spans="1:7">
      <c r="A925" s="3">
        <v>16</v>
      </c>
      <c r="B925" s="3">
        <v>8</v>
      </c>
      <c r="C925" s="3">
        <v>72</v>
      </c>
      <c r="D925" s="3">
        <v>46</v>
      </c>
      <c r="E925" s="3">
        <v>885.983</v>
      </c>
      <c r="F925" s="4" t="str">
        <f>HYPERLINK("http://141.218.60.56/~jnz1568/getInfo.php?workbook=16_08.xlsx&amp;sheet=A0&amp;row=925&amp;col=6&amp;number=113200&amp;sourceID=14","113200")</f>
        <v>113200</v>
      </c>
      <c r="G925" s="4" t="str">
        <f>HYPERLINK("http://141.218.60.56/~jnz1568/getInfo.php?workbook=16_08.xlsx&amp;sheet=A0&amp;row=925&amp;col=7&amp;number=0&amp;sourceID=14","0")</f>
        <v>0</v>
      </c>
    </row>
    <row r="926" spans="1:7">
      <c r="A926" s="3">
        <v>16</v>
      </c>
      <c r="B926" s="3">
        <v>8</v>
      </c>
      <c r="C926" s="3">
        <v>72</v>
      </c>
      <c r="D926" s="3">
        <v>47</v>
      </c>
      <c r="E926" s="3">
        <v>-903.14</v>
      </c>
      <c r="F926" s="4" t="str">
        <f>HYPERLINK("http://141.218.60.56/~jnz1568/getInfo.php?workbook=16_08.xlsx&amp;sheet=A0&amp;row=926&amp;col=6&amp;number=418600000&amp;sourceID=14","418600000")</f>
        <v>418600000</v>
      </c>
      <c r="G926" s="4" t="str">
        <f>HYPERLINK("http://141.218.60.56/~jnz1568/getInfo.php?workbook=16_08.xlsx&amp;sheet=A0&amp;row=926&amp;col=7&amp;number=0&amp;sourceID=14","0")</f>
        <v>0</v>
      </c>
    </row>
    <row r="927" spans="1:7">
      <c r="A927" s="3">
        <v>16</v>
      </c>
      <c r="B927" s="3">
        <v>8</v>
      </c>
      <c r="C927" s="3">
        <v>72</v>
      </c>
      <c r="D927" s="3">
        <v>48</v>
      </c>
      <c r="E927" s="3">
        <v>-923.802</v>
      </c>
      <c r="F927" s="4" t="str">
        <f>HYPERLINK("http://141.218.60.56/~jnz1568/getInfo.php?workbook=16_08.xlsx&amp;sheet=A0&amp;row=927&amp;col=6&amp;number=106100000&amp;sourceID=14","106100000")</f>
        <v>106100000</v>
      </c>
      <c r="G927" s="4" t="str">
        <f>HYPERLINK("http://141.218.60.56/~jnz1568/getInfo.php?workbook=16_08.xlsx&amp;sheet=A0&amp;row=927&amp;col=7&amp;number=0&amp;sourceID=14","0")</f>
        <v>0</v>
      </c>
    </row>
    <row r="928" spans="1:7">
      <c r="A928" s="3">
        <v>16</v>
      </c>
      <c r="B928" s="3">
        <v>8</v>
      </c>
      <c r="C928" s="3">
        <v>72</v>
      </c>
      <c r="D928" s="3">
        <v>52</v>
      </c>
      <c r="E928" s="3">
        <v>-1001.717</v>
      </c>
      <c r="F928" s="4" t="str">
        <f>HYPERLINK("http://141.218.60.56/~jnz1568/getInfo.php?workbook=16_08.xlsx&amp;sheet=A0&amp;row=928&amp;col=6&amp;number=1802000&amp;sourceID=14","1802000")</f>
        <v>1802000</v>
      </c>
      <c r="G928" s="4" t="str">
        <f>HYPERLINK("http://141.218.60.56/~jnz1568/getInfo.php?workbook=16_08.xlsx&amp;sheet=A0&amp;row=928&amp;col=7&amp;number=0&amp;sourceID=14","0")</f>
        <v>0</v>
      </c>
    </row>
    <row r="929" spans="1:7">
      <c r="A929" s="3">
        <v>16</v>
      </c>
      <c r="B929" s="3">
        <v>8</v>
      </c>
      <c r="C929" s="3">
        <v>72</v>
      </c>
      <c r="D929" s="3">
        <v>53</v>
      </c>
      <c r="E929" s="3">
        <v>-1024.225</v>
      </c>
      <c r="F929" s="4" t="str">
        <f>HYPERLINK("http://141.218.60.56/~jnz1568/getInfo.php?workbook=16_08.xlsx&amp;sheet=A0&amp;row=929&amp;col=6&amp;number=855400&amp;sourceID=14","855400")</f>
        <v>855400</v>
      </c>
      <c r="G929" s="4" t="str">
        <f>HYPERLINK("http://141.218.60.56/~jnz1568/getInfo.php?workbook=16_08.xlsx&amp;sheet=A0&amp;row=929&amp;col=7&amp;number=0&amp;sourceID=14","0")</f>
        <v>0</v>
      </c>
    </row>
    <row r="930" spans="1:7">
      <c r="A930" s="3">
        <v>16</v>
      </c>
      <c r="B930" s="3">
        <v>8</v>
      </c>
      <c r="C930" s="3">
        <v>72</v>
      </c>
      <c r="D930" s="3">
        <v>55</v>
      </c>
      <c r="E930" s="3">
        <v>-1401.988</v>
      </c>
      <c r="F930" s="4" t="str">
        <f>HYPERLINK("http://141.218.60.56/~jnz1568/getInfo.php?workbook=16_08.xlsx&amp;sheet=A0&amp;row=930&amp;col=6&amp;number=14210000&amp;sourceID=14","14210000")</f>
        <v>14210000</v>
      </c>
      <c r="G930" s="4" t="str">
        <f>HYPERLINK("http://141.218.60.56/~jnz1568/getInfo.php?workbook=16_08.xlsx&amp;sheet=A0&amp;row=930&amp;col=7&amp;number=0&amp;sourceID=14","0")</f>
        <v>0</v>
      </c>
    </row>
    <row r="931" spans="1:7">
      <c r="A931" s="3">
        <v>16</v>
      </c>
      <c r="B931" s="3">
        <v>8</v>
      </c>
      <c r="C931" s="3">
        <v>73</v>
      </c>
      <c r="D931" s="3">
        <v>1</v>
      </c>
      <c r="E931" s="3">
        <v>47.049</v>
      </c>
      <c r="F931" s="4" t="str">
        <f>HYPERLINK("http://141.218.60.56/~jnz1568/getInfo.php?workbook=16_08.xlsx&amp;sheet=A0&amp;row=931&amp;col=6&amp;number=808200000000&amp;sourceID=14","808200000000")</f>
        <v>808200000000</v>
      </c>
      <c r="G931" s="4" t="str">
        <f>HYPERLINK("http://141.218.60.56/~jnz1568/getInfo.php?workbook=16_08.xlsx&amp;sheet=A0&amp;row=931&amp;col=7&amp;number=0&amp;sourceID=14","0")</f>
        <v>0</v>
      </c>
    </row>
    <row r="932" spans="1:7">
      <c r="A932" s="3">
        <v>16</v>
      </c>
      <c r="B932" s="3">
        <v>8</v>
      </c>
      <c r="C932" s="3">
        <v>73</v>
      </c>
      <c r="D932" s="3">
        <v>2</v>
      </c>
      <c r="E932" s="3">
        <v>47.227</v>
      </c>
      <c r="F932" s="4" t="str">
        <f>HYPERLINK("http://141.218.60.56/~jnz1568/getInfo.php?workbook=16_08.xlsx&amp;sheet=A0&amp;row=932&amp;col=6&amp;number=423100000000&amp;sourceID=14","423100000000")</f>
        <v>423100000000</v>
      </c>
      <c r="G932" s="4" t="str">
        <f>HYPERLINK("http://141.218.60.56/~jnz1568/getInfo.php?workbook=16_08.xlsx&amp;sheet=A0&amp;row=932&amp;col=7&amp;number=0&amp;sourceID=14","0")</f>
        <v>0</v>
      </c>
    </row>
    <row r="933" spans="1:7">
      <c r="A933" s="3">
        <v>16</v>
      </c>
      <c r="B933" s="3">
        <v>8</v>
      </c>
      <c r="C933" s="3">
        <v>73</v>
      </c>
      <c r="D933" s="3">
        <v>3</v>
      </c>
      <c r="E933" s="3">
        <v>47.286</v>
      </c>
      <c r="F933" s="4" t="str">
        <f>HYPERLINK("http://141.218.60.56/~jnz1568/getInfo.php?workbook=16_08.xlsx&amp;sheet=A0&amp;row=933&amp;col=6&amp;number=131700000000&amp;sourceID=14","131700000000")</f>
        <v>131700000000</v>
      </c>
      <c r="G933" s="4" t="str">
        <f>HYPERLINK("http://141.218.60.56/~jnz1568/getInfo.php?workbook=16_08.xlsx&amp;sheet=A0&amp;row=933&amp;col=7&amp;number=0&amp;sourceID=14","0")</f>
        <v>0</v>
      </c>
    </row>
    <row r="934" spans="1:7">
      <c r="A934" s="3">
        <v>16</v>
      </c>
      <c r="B934" s="3">
        <v>8</v>
      </c>
      <c r="C934" s="3">
        <v>73</v>
      </c>
      <c r="D934" s="3">
        <v>4</v>
      </c>
      <c r="E934" s="3">
        <v>48.376</v>
      </c>
      <c r="F934" s="4" t="str">
        <f>HYPERLINK("http://141.218.60.56/~jnz1568/getInfo.php?workbook=16_08.xlsx&amp;sheet=A0&amp;row=934&amp;col=6&amp;number=6472000000&amp;sourceID=14","6472000000")</f>
        <v>6472000000</v>
      </c>
      <c r="G934" s="4" t="str">
        <f>HYPERLINK("http://141.218.60.56/~jnz1568/getInfo.php?workbook=16_08.xlsx&amp;sheet=A0&amp;row=934&amp;col=7&amp;number=0&amp;sourceID=14","0")</f>
        <v>0</v>
      </c>
    </row>
    <row r="935" spans="1:7">
      <c r="A935" s="3">
        <v>16</v>
      </c>
      <c r="B935" s="3">
        <v>8</v>
      </c>
      <c r="C935" s="3">
        <v>73</v>
      </c>
      <c r="D935" s="3">
        <v>5</v>
      </c>
      <c r="E935" s="3">
        <v>49.932</v>
      </c>
      <c r="F935" s="4" t="str">
        <f>HYPERLINK("http://141.218.60.56/~jnz1568/getInfo.php?workbook=16_08.xlsx&amp;sheet=A0&amp;row=935&amp;col=6&amp;number=2886000000&amp;sourceID=14","2886000000")</f>
        <v>2886000000</v>
      </c>
      <c r="G935" s="4" t="str">
        <f>HYPERLINK("http://141.218.60.56/~jnz1568/getInfo.php?workbook=16_08.xlsx&amp;sheet=A0&amp;row=935&amp;col=7&amp;number=0&amp;sourceID=14","0")</f>
        <v>0</v>
      </c>
    </row>
    <row r="936" spans="1:7">
      <c r="A936" s="3">
        <v>16</v>
      </c>
      <c r="B936" s="3">
        <v>8</v>
      </c>
      <c r="C936" s="3">
        <v>73</v>
      </c>
      <c r="D936" s="3">
        <v>6</v>
      </c>
      <c r="E936" s="3">
        <v>59.508</v>
      </c>
      <c r="F936" s="4" t="str">
        <f>HYPERLINK("http://141.218.60.56/~jnz1568/getInfo.php?workbook=16_08.xlsx&amp;sheet=A0&amp;row=936&amp;col=6&amp;number=120000&amp;sourceID=14","120000")</f>
        <v>120000</v>
      </c>
      <c r="G936" s="4" t="str">
        <f>HYPERLINK("http://141.218.60.56/~jnz1568/getInfo.php?workbook=16_08.xlsx&amp;sheet=A0&amp;row=936&amp;col=7&amp;number=0&amp;sourceID=14","0")</f>
        <v>0</v>
      </c>
    </row>
    <row r="937" spans="1:7">
      <c r="A937" s="3">
        <v>16</v>
      </c>
      <c r="B937" s="3">
        <v>8</v>
      </c>
      <c r="C937" s="3">
        <v>73</v>
      </c>
      <c r="D937" s="3">
        <v>7</v>
      </c>
      <c r="E937" s="3">
        <v>59.757</v>
      </c>
      <c r="F937" s="4" t="str">
        <f>HYPERLINK("http://141.218.60.56/~jnz1568/getInfo.php?workbook=16_08.xlsx&amp;sheet=A0&amp;row=937&amp;col=6&amp;number=44190&amp;sourceID=14","44190")</f>
        <v>44190</v>
      </c>
      <c r="G937" s="4" t="str">
        <f>HYPERLINK("http://141.218.60.56/~jnz1568/getInfo.php?workbook=16_08.xlsx&amp;sheet=A0&amp;row=937&amp;col=7&amp;number=0&amp;sourceID=14","0")</f>
        <v>0</v>
      </c>
    </row>
    <row r="938" spans="1:7">
      <c r="A938" s="3">
        <v>16</v>
      </c>
      <c r="B938" s="3">
        <v>8</v>
      </c>
      <c r="C938" s="3">
        <v>73</v>
      </c>
      <c r="D938" s="3">
        <v>10</v>
      </c>
      <c r="E938" s="3">
        <v>92.063</v>
      </c>
      <c r="F938" s="4" t="str">
        <f>HYPERLINK("http://141.218.60.56/~jnz1568/getInfo.php?workbook=16_08.xlsx&amp;sheet=A0&amp;row=938&amp;col=6&amp;number=139400&amp;sourceID=14","139400")</f>
        <v>139400</v>
      </c>
      <c r="G938" s="4" t="str">
        <f>HYPERLINK("http://141.218.60.56/~jnz1568/getInfo.php?workbook=16_08.xlsx&amp;sheet=A0&amp;row=938&amp;col=7&amp;number=0&amp;sourceID=14","0")</f>
        <v>0</v>
      </c>
    </row>
    <row r="939" spans="1:7">
      <c r="A939" s="3">
        <v>16</v>
      </c>
      <c r="B939" s="3">
        <v>8</v>
      </c>
      <c r="C939" s="3">
        <v>73</v>
      </c>
      <c r="D939" s="3">
        <v>13</v>
      </c>
      <c r="E939" s="3">
        <v>356.56</v>
      </c>
      <c r="F939" s="4" t="str">
        <f>HYPERLINK("http://141.218.60.56/~jnz1568/getInfo.php?workbook=16_08.xlsx&amp;sheet=A0&amp;row=939&amp;col=6&amp;number=29140&amp;sourceID=14","29140")</f>
        <v>29140</v>
      </c>
      <c r="G939" s="4" t="str">
        <f>HYPERLINK("http://141.218.60.56/~jnz1568/getInfo.php?workbook=16_08.xlsx&amp;sheet=A0&amp;row=939&amp;col=7&amp;number=0&amp;sourceID=14","0")</f>
        <v>0</v>
      </c>
    </row>
    <row r="940" spans="1:7">
      <c r="A940" s="3">
        <v>16</v>
      </c>
      <c r="B940" s="3">
        <v>8</v>
      </c>
      <c r="C940" s="3">
        <v>73</v>
      </c>
      <c r="D940" s="3">
        <v>14</v>
      </c>
      <c r="E940" s="3">
        <v>356.85</v>
      </c>
      <c r="F940" s="4" t="str">
        <f>HYPERLINK("http://141.218.60.56/~jnz1568/getInfo.php?workbook=16_08.xlsx&amp;sheet=A0&amp;row=940&amp;col=6&amp;number=22010&amp;sourceID=14","22010")</f>
        <v>22010</v>
      </c>
      <c r="G940" s="4" t="str">
        <f>HYPERLINK("http://141.218.60.56/~jnz1568/getInfo.php?workbook=16_08.xlsx&amp;sheet=A0&amp;row=940&amp;col=7&amp;number=0&amp;sourceID=14","0")</f>
        <v>0</v>
      </c>
    </row>
    <row r="941" spans="1:7">
      <c r="A941" s="3">
        <v>16</v>
      </c>
      <c r="B941" s="3">
        <v>8</v>
      </c>
      <c r="C941" s="3">
        <v>73</v>
      </c>
      <c r="D941" s="3">
        <v>15</v>
      </c>
      <c r="E941" s="3">
        <v>357.683</v>
      </c>
      <c r="F941" s="4" t="str">
        <f>HYPERLINK("http://141.218.60.56/~jnz1568/getInfo.php?workbook=16_08.xlsx&amp;sheet=A0&amp;row=941&amp;col=6&amp;number=27840&amp;sourceID=14","27840")</f>
        <v>27840</v>
      </c>
      <c r="G941" s="4" t="str">
        <f>HYPERLINK("http://141.218.60.56/~jnz1568/getInfo.php?workbook=16_08.xlsx&amp;sheet=A0&amp;row=941&amp;col=7&amp;number=0&amp;sourceID=14","0")</f>
        <v>0</v>
      </c>
    </row>
    <row r="942" spans="1:7">
      <c r="A942" s="3">
        <v>16</v>
      </c>
      <c r="B942" s="3">
        <v>8</v>
      </c>
      <c r="C942" s="3">
        <v>73</v>
      </c>
      <c r="D942" s="3">
        <v>17</v>
      </c>
      <c r="E942" s="3">
        <v>388.199</v>
      </c>
      <c r="F942" s="4" t="str">
        <f>HYPERLINK("http://141.218.60.56/~jnz1568/getInfo.php?workbook=16_08.xlsx&amp;sheet=A0&amp;row=942&amp;col=6&amp;number=1064000&amp;sourceID=14","1064000")</f>
        <v>1064000</v>
      </c>
      <c r="G942" s="4" t="str">
        <f>HYPERLINK("http://141.218.60.56/~jnz1568/getInfo.php?workbook=16_08.xlsx&amp;sheet=A0&amp;row=942&amp;col=7&amp;number=0&amp;sourceID=14","0")</f>
        <v>0</v>
      </c>
    </row>
    <row r="943" spans="1:7">
      <c r="A943" s="3">
        <v>16</v>
      </c>
      <c r="B943" s="3">
        <v>8</v>
      </c>
      <c r="C943" s="3">
        <v>73</v>
      </c>
      <c r="D943" s="3">
        <v>18</v>
      </c>
      <c r="E943" s="3">
        <v>389.149</v>
      </c>
      <c r="F943" s="4" t="str">
        <f>HYPERLINK("http://141.218.60.56/~jnz1568/getInfo.php?workbook=16_08.xlsx&amp;sheet=A0&amp;row=943&amp;col=6&amp;number=4573000&amp;sourceID=14","4573000")</f>
        <v>4573000</v>
      </c>
      <c r="G943" s="4" t="str">
        <f>HYPERLINK("http://141.218.60.56/~jnz1568/getInfo.php?workbook=16_08.xlsx&amp;sheet=A0&amp;row=943&amp;col=7&amp;number=0&amp;sourceID=14","0")</f>
        <v>0</v>
      </c>
    </row>
    <row r="944" spans="1:7">
      <c r="A944" s="3">
        <v>16</v>
      </c>
      <c r="B944" s="3">
        <v>8</v>
      </c>
      <c r="C944" s="3">
        <v>73</v>
      </c>
      <c r="D944" s="3">
        <v>20</v>
      </c>
      <c r="E944" s="3">
        <v>429.86</v>
      </c>
      <c r="F944" s="4" t="str">
        <f>HYPERLINK("http://141.218.60.56/~jnz1568/getInfo.php?workbook=16_08.xlsx&amp;sheet=A0&amp;row=944&amp;col=6&amp;number=555200000&amp;sourceID=14","555200000")</f>
        <v>555200000</v>
      </c>
      <c r="G944" s="4" t="str">
        <f>HYPERLINK("http://141.218.60.56/~jnz1568/getInfo.php?workbook=16_08.xlsx&amp;sheet=A0&amp;row=944&amp;col=7&amp;number=0&amp;sourceID=14","0")</f>
        <v>0</v>
      </c>
    </row>
    <row r="945" spans="1:7">
      <c r="A945" s="3">
        <v>16</v>
      </c>
      <c r="B945" s="3">
        <v>8</v>
      </c>
      <c r="C945" s="3">
        <v>73</v>
      </c>
      <c r="D945" s="3">
        <v>21</v>
      </c>
      <c r="E945" s="3">
        <v>430.554</v>
      </c>
      <c r="F945" s="4" t="str">
        <f>HYPERLINK("http://141.218.60.56/~jnz1568/getInfo.php?workbook=16_08.xlsx&amp;sheet=A0&amp;row=945&amp;col=6&amp;number=874400000&amp;sourceID=14","874400000")</f>
        <v>874400000</v>
      </c>
      <c r="G945" s="4" t="str">
        <f>HYPERLINK("http://141.218.60.56/~jnz1568/getInfo.php?workbook=16_08.xlsx&amp;sheet=A0&amp;row=945&amp;col=7&amp;number=0&amp;sourceID=14","0")</f>
        <v>0</v>
      </c>
    </row>
    <row r="946" spans="1:7">
      <c r="A946" s="3">
        <v>16</v>
      </c>
      <c r="B946" s="3">
        <v>8</v>
      </c>
      <c r="C946" s="3">
        <v>73</v>
      </c>
      <c r="D946" s="3">
        <v>22</v>
      </c>
      <c r="E946" s="3">
        <v>-427.991</v>
      </c>
      <c r="F946" s="4" t="str">
        <f>HYPERLINK("http://141.218.60.56/~jnz1568/getInfo.php?workbook=16_08.xlsx&amp;sheet=A0&amp;row=946&amp;col=6&amp;number=190900000&amp;sourceID=14","190900000")</f>
        <v>190900000</v>
      </c>
      <c r="G946" s="4" t="str">
        <f>HYPERLINK("http://141.218.60.56/~jnz1568/getInfo.php?workbook=16_08.xlsx&amp;sheet=A0&amp;row=946&amp;col=7&amp;number=0&amp;sourceID=14","0")</f>
        <v>0</v>
      </c>
    </row>
    <row r="947" spans="1:7">
      <c r="A947" s="3">
        <v>16</v>
      </c>
      <c r="B947" s="3">
        <v>8</v>
      </c>
      <c r="C947" s="3">
        <v>73</v>
      </c>
      <c r="D947" s="3">
        <v>27</v>
      </c>
      <c r="E947" s="3">
        <v>-563.119</v>
      </c>
      <c r="F947" s="4" t="str">
        <f>HYPERLINK("http://141.218.60.56/~jnz1568/getInfo.php?workbook=16_08.xlsx&amp;sheet=A0&amp;row=947&amp;col=6&amp;number=7445000&amp;sourceID=14","7445000")</f>
        <v>7445000</v>
      </c>
      <c r="G947" s="4" t="str">
        <f>HYPERLINK("http://141.218.60.56/~jnz1568/getInfo.php?workbook=16_08.xlsx&amp;sheet=A0&amp;row=947&amp;col=7&amp;number=0&amp;sourceID=14","0")</f>
        <v>0</v>
      </c>
    </row>
    <row r="948" spans="1:7">
      <c r="A948" s="3">
        <v>16</v>
      </c>
      <c r="B948" s="3">
        <v>8</v>
      </c>
      <c r="C948" s="3">
        <v>73</v>
      </c>
      <c r="D948" s="3">
        <v>28</v>
      </c>
      <c r="E948" s="3">
        <v>567.376</v>
      </c>
      <c r="F948" s="4" t="str">
        <f>HYPERLINK("http://141.218.60.56/~jnz1568/getInfo.php?workbook=16_08.xlsx&amp;sheet=A0&amp;row=948&amp;col=6&amp;number=3757000&amp;sourceID=14","3757000")</f>
        <v>3757000</v>
      </c>
      <c r="G948" s="4" t="str">
        <f>HYPERLINK("http://141.218.60.56/~jnz1568/getInfo.php?workbook=16_08.xlsx&amp;sheet=A0&amp;row=948&amp;col=7&amp;number=0&amp;sourceID=14","0")</f>
        <v>0</v>
      </c>
    </row>
    <row r="949" spans="1:7">
      <c r="A949" s="3">
        <v>16</v>
      </c>
      <c r="B949" s="3">
        <v>8</v>
      </c>
      <c r="C949" s="3">
        <v>73</v>
      </c>
      <c r="D949" s="3">
        <v>30</v>
      </c>
      <c r="E949" s="3">
        <v>-545.404</v>
      </c>
      <c r="F949" s="4" t="str">
        <f>HYPERLINK("http://141.218.60.56/~jnz1568/getInfo.php?workbook=16_08.xlsx&amp;sheet=A0&amp;row=949&amp;col=6&amp;number=5542&amp;sourceID=14","5542")</f>
        <v>5542</v>
      </c>
      <c r="G949" s="4" t="str">
        <f>HYPERLINK("http://141.218.60.56/~jnz1568/getInfo.php?workbook=16_08.xlsx&amp;sheet=A0&amp;row=949&amp;col=7&amp;number=0&amp;sourceID=14","0")</f>
        <v>0</v>
      </c>
    </row>
    <row r="950" spans="1:7">
      <c r="A950" s="3">
        <v>16</v>
      </c>
      <c r="B950" s="3">
        <v>8</v>
      </c>
      <c r="C950" s="3">
        <v>73</v>
      </c>
      <c r="D950" s="3">
        <v>31</v>
      </c>
      <c r="E950" s="3">
        <v>595.284</v>
      </c>
      <c r="F950" s="4" t="str">
        <f>HYPERLINK("http://141.218.60.56/~jnz1568/getInfo.php?workbook=16_08.xlsx&amp;sheet=A0&amp;row=950&amp;col=6&amp;number=1789000&amp;sourceID=14","1789000")</f>
        <v>1789000</v>
      </c>
      <c r="G950" s="4" t="str">
        <f>HYPERLINK("http://141.218.60.56/~jnz1568/getInfo.php?workbook=16_08.xlsx&amp;sheet=A0&amp;row=950&amp;col=7&amp;number=0&amp;sourceID=14","0")</f>
        <v>0</v>
      </c>
    </row>
    <row r="951" spans="1:7">
      <c r="A951" s="3">
        <v>16</v>
      </c>
      <c r="B951" s="3">
        <v>8</v>
      </c>
      <c r="C951" s="3">
        <v>73</v>
      </c>
      <c r="D951" s="3">
        <v>35</v>
      </c>
      <c r="E951" s="3">
        <v>-749.805</v>
      </c>
      <c r="F951" s="4" t="str">
        <f>HYPERLINK("http://141.218.60.56/~jnz1568/getInfo.php?workbook=16_08.xlsx&amp;sheet=A0&amp;row=951&amp;col=6&amp;number=289700000&amp;sourceID=14","289700000")</f>
        <v>289700000</v>
      </c>
      <c r="G951" s="4" t="str">
        <f>HYPERLINK("http://141.218.60.56/~jnz1568/getInfo.php?workbook=16_08.xlsx&amp;sheet=A0&amp;row=951&amp;col=7&amp;number=0&amp;sourceID=14","0")</f>
        <v>0</v>
      </c>
    </row>
    <row r="952" spans="1:7">
      <c r="A952" s="3">
        <v>16</v>
      </c>
      <c r="B952" s="3">
        <v>8</v>
      </c>
      <c r="C952" s="3">
        <v>73</v>
      </c>
      <c r="D952" s="3">
        <v>36</v>
      </c>
      <c r="E952" s="3">
        <v>750.638</v>
      </c>
      <c r="F952" s="4" t="str">
        <f>HYPERLINK("http://141.218.60.56/~jnz1568/getInfo.php?workbook=16_08.xlsx&amp;sheet=A0&amp;row=952&amp;col=6&amp;number=283700000&amp;sourceID=14","283700000")</f>
        <v>283700000</v>
      </c>
      <c r="G952" s="4" t="str">
        <f>HYPERLINK("http://141.218.60.56/~jnz1568/getInfo.php?workbook=16_08.xlsx&amp;sheet=A0&amp;row=952&amp;col=7&amp;number=0&amp;sourceID=14","0")</f>
        <v>0</v>
      </c>
    </row>
    <row r="953" spans="1:7">
      <c r="A953" s="3">
        <v>16</v>
      </c>
      <c r="B953" s="3">
        <v>8</v>
      </c>
      <c r="C953" s="3">
        <v>73</v>
      </c>
      <c r="D953" s="3">
        <v>37</v>
      </c>
      <c r="E953" s="3">
        <v>741.972</v>
      </c>
      <c r="F953" s="4" t="str">
        <f>HYPERLINK("http://141.218.60.56/~jnz1568/getInfo.php?workbook=16_08.xlsx&amp;sheet=A0&amp;row=953&amp;col=6&amp;number=598900000&amp;sourceID=14","598900000")</f>
        <v>598900000</v>
      </c>
      <c r="G953" s="4" t="str">
        <f>HYPERLINK("http://141.218.60.56/~jnz1568/getInfo.php?workbook=16_08.xlsx&amp;sheet=A0&amp;row=953&amp;col=7&amp;number=0&amp;sourceID=14","0")</f>
        <v>0</v>
      </c>
    </row>
    <row r="954" spans="1:7">
      <c r="A954" s="3">
        <v>16</v>
      </c>
      <c r="B954" s="3">
        <v>8</v>
      </c>
      <c r="C954" s="3">
        <v>73</v>
      </c>
      <c r="D954" s="3">
        <v>43</v>
      </c>
      <c r="E954" s="3">
        <v>-716.281</v>
      </c>
      <c r="F954" s="4" t="str">
        <f>HYPERLINK("http://141.218.60.56/~jnz1568/getInfo.php?workbook=16_08.xlsx&amp;sheet=A0&amp;row=954&amp;col=6&amp;number=440500000&amp;sourceID=14","440500000")</f>
        <v>440500000</v>
      </c>
      <c r="G954" s="4" t="str">
        <f>HYPERLINK("http://141.218.60.56/~jnz1568/getInfo.php?workbook=16_08.xlsx&amp;sheet=A0&amp;row=954&amp;col=7&amp;number=0&amp;sourceID=14","0")</f>
        <v>0</v>
      </c>
    </row>
    <row r="955" spans="1:7">
      <c r="A955" s="3">
        <v>16</v>
      </c>
      <c r="B955" s="3">
        <v>8</v>
      </c>
      <c r="C955" s="3">
        <v>73</v>
      </c>
      <c r="D955" s="3">
        <v>44</v>
      </c>
      <c r="E955" s="3">
        <v>750.638</v>
      </c>
      <c r="F955" s="4" t="str">
        <f>HYPERLINK("http://141.218.60.56/~jnz1568/getInfo.php?workbook=16_08.xlsx&amp;sheet=A0&amp;row=955&amp;col=6&amp;number=32710000&amp;sourceID=14","32710000")</f>
        <v>32710000</v>
      </c>
      <c r="G955" s="4" t="str">
        <f>HYPERLINK("http://141.218.60.56/~jnz1568/getInfo.php?workbook=16_08.xlsx&amp;sheet=A0&amp;row=955&amp;col=7&amp;number=0&amp;sourceID=14","0")</f>
        <v>0</v>
      </c>
    </row>
    <row r="956" spans="1:7">
      <c r="A956" s="3">
        <v>16</v>
      </c>
      <c r="B956" s="3">
        <v>8</v>
      </c>
      <c r="C956" s="3">
        <v>73</v>
      </c>
      <c r="D956" s="3">
        <v>45</v>
      </c>
      <c r="E956" s="3">
        <v>-783.382</v>
      </c>
      <c r="F956" s="4" t="str">
        <f>HYPERLINK("http://141.218.60.56/~jnz1568/getInfo.php?workbook=16_08.xlsx&amp;sheet=A0&amp;row=956&amp;col=6&amp;number=2786000&amp;sourceID=14","2786000")</f>
        <v>2786000</v>
      </c>
      <c r="G956" s="4" t="str">
        <f>HYPERLINK("http://141.218.60.56/~jnz1568/getInfo.php?workbook=16_08.xlsx&amp;sheet=A0&amp;row=956&amp;col=7&amp;number=0&amp;sourceID=14","0")</f>
        <v>0</v>
      </c>
    </row>
    <row r="957" spans="1:7">
      <c r="A957" s="3">
        <v>16</v>
      </c>
      <c r="B957" s="3">
        <v>8</v>
      </c>
      <c r="C957" s="3">
        <v>73</v>
      </c>
      <c r="D957" s="3">
        <v>47</v>
      </c>
      <c r="E957" s="3">
        <v>-835.966</v>
      </c>
      <c r="F957" s="4" t="str">
        <f>HYPERLINK("http://141.218.60.56/~jnz1568/getInfo.php?workbook=16_08.xlsx&amp;sheet=A0&amp;row=957&amp;col=6&amp;number=18800000&amp;sourceID=14","18800000")</f>
        <v>18800000</v>
      </c>
      <c r="G957" s="4" t="str">
        <f>HYPERLINK("http://141.218.60.56/~jnz1568/getInfo.php?workbook=16_08.xlsx&amp;sheet=A0&amp;row=957&amp;col=7&amp;number=0&amp;sourceID=14","0")</f>
        <v>0</v>
      </c>
    </row>
    <row r="958" spans="1:7">
      <c r="A958" s="3">
        <v>16</v>
      </c>
      <c r="B958" s="3">
        <v>8</v>
      </c>
      <c r="C958" s="3">
        <v>73</v>
      </c>
      <c r="D958" s="3">
        <v>48</v>
      </c>
      <c r="E958" s="3">
        <v>-853.639</v>
      </c>
      <c r="F958" s="4" t="str">
        <f>HYPERLINK("http://141.218.60.56/~jnz1568/getInfo.php?workbook=16_08.xlsx&amp;sheet=A0&amp;row=958&amp;col=6&amp;number=7203000&amp;sourceID=14","7203000")</f>
        <v>7203000</v>
      </c>
      <c r="G958" s="4" t="str">
        <f>HYPERLINK("http://141.218.60.56/~jnz1568/getInfo.php?workbook=16_08.xlsx&amp;sheet=A0&amp;row=958&amp;col=7&amp;number=0&amp;sourceID=14","0")</f>
        <v>0</v>
      </c>
    </row>
    <row r="959" spans="1:7">
      <c r="A959" s="3">
        <v>16</v>
      </c>
      <c r="B959" s="3">
        <v>8</v>
      </c>
      <c r="C959" s="3">
        <v>73</v>
      </c>
      <c r="D959" s="3">
        <v>52</v>
      </c>
      <c r="E959" s="3">
        <v>-919.744</v>
      </c>
      <c r="F959" s="4" t="str">
        <f>HYPERLINK("http://141.218.60.56/~jnz1568/getInfo.php?workbook=16_08.xlsx&amp;sheet=A0&amp;row=959&amp;col=6&amp;number=11110000&amp;sourceID=14","11110000")</f>
        <v>11110000</v>
      </c>
      <c r="G959" s="4" t="str">
        <f>HYPERLINK("http://141.218.60.56/~jnz1568/getInfo.php?workbook=16_08.xlsx&amp;sheet=A0&amp;row=959&amp;col=7&amp;number=0&amp;sourceID=14","0")</f>
        <v>0</v>
      </c>
    </row>
    <row r="960" spans="1:7">
      <c r="A960" s="3">
        <v>16</v>
      </c>
      <c r="B960" s="3">
        <v>8</v>
      </c>
      <c r="C960" s="3">
        <v>73</v>
      </c>
      <c r="D960" s="3">
        <v>53</v>
      </c>
      <c r="E960" s="3">
        <v>-938.685</v>
      </c>
      <c r="F960" s="4" t="str">
        <f>HYPERLINK("http://141.218.60.56/~jnz1568/getInfo.php?workbook=16_08.xlsx&amp;sheet=A0&amp;row=960&amp;col=6&amp;number=4281000&amp;sourceID=14","4281000")</f>
        <v>4281000</v>
      </c>
      <c r="G960" s="4" t="str">
        <f>HYPERLINK("http://141.218.60.56/~jnz1568/getInfo.php?workbook=16_08.xlsx&amp;sheet=A0&amp;row=960&amp;col=7&amp;number=0&amp;sourceID=14","0")</f>
        <v>0</v>
      </c>
    </row>
    <row r="961" spans="1:7">
      <c r="A961" s="3">
        <v>16</v>
      </c>
      <c r="B961" s="3">
        <v>8</v>
      </c>
      <c r="C961" s="3">
        <v>73</v>
      </c>
      <c r="D961" s="3">
        <v>54</v>
      </c>
      <c r="E961" s="3">
        <v>-948.639</v>
      </c>
      <c r="F961" s="4" t="str">
        <f>HYPERLINK("http://141.218.60.56/~jnz1568/getInfo.php?workbook=16_08.xlsx&amp;sheet=A0&amp;row=961&amp;col=6&amp;number=783800&amp;sourceID=14","783800")</f>
        <v>783800</v>
      </c>
      <c r="G961" s="4" t="str">
        <f>HYPERLINK("http://141.218.60.56/~jnz1568/getInfo.php?workbook=16_08.xlsx&amp;sheet=A0&amp;row=961&amp;col=7&amp;number=0&amp;sourceID=14","0")</f>
        <v>0</v>
      </c>
    </row>
    <row r="962" spans="1:7">
      <c r="A962" s="3">
        <v>16</v>
      </c>
      <c r="B962" s="3">
        <v>8</v>
      </c>
      <c r="C962" s="3">
        <v>73</v>
      </c>
      <c r="D962" s="3">
        <v>55</v>
      </c>
      <c r="E962" s="3">
        <v>-1246.501</v>
      </c>
      <c r="F962" s="4" t="str">
        <f>HYPERLINK("http://141.218.60.56/~jnz1568/getInfo.php?workbook=16_08.xlsx&amp;sheet=A0&amp;row=962&amp;col=6&amp;number=568900&amp;sourceID=14","568900")</f>
        <v>568900</v>
      </c>
      <c r="G962" s="4" t="str">
        <f>HYPERLINK("http://141.218.60.56/~jnz1568/getInfo.php?workbook=16_08.xlsx&amp;sheet=A0&amp;row=962&amp;col=7&amp;number=0&amp;sourceID=14","0")</f>
        <v>0</v>
      </c>
    </row>
    <row r="963" spans="1:7">
      <c r="A963" s="3">
        <v>16</v>
      </c>
      <c r="B963" s="3">
        <v>8</v>
      </c>
      <c r="C963" s="3">
        <v>73</v>
      </c>
      <c r="D963" s="3">
        <v>66</v>
      </c>
      <c r="E963" s="3">
        <v>-2619.726</v>
      </c>
      <c r="F963" s="4" t="str">
        <f>HYPERLINK("http://141.218.60.56/~jnz1568/getInfo.php?workbook=16_08.xlsx&amp;sheet=A0&amp;row=963&amp;col=6&amp;number=18950&amp;sourceID=14","18950")</f>
        <v>18950</v>
      </c>
      <c r="G963" s="4" t="str">
        <f>HYPERLINK("http://141.218.60.56/~jnz1568/getInfo.php?workbook=16_08.xlsx&amp;sheet=A0&amp;row=963&amp;col=7&amp;number=0&amp;sourceID=14","0")</f>
        <v>0</v>
      </c>
    </row>
    <row r="964" spans="1:7">
      <c r="A964" s="3">
        <v>16</v>
      </c>
      <c r="B964" s="3">
        <v>8</v>
      </c>
      <c r="C964" s="3">
        <v>74</v>
      </c>
      <c r="D964" s="3">
        <v>1</v>
      </c>
      <c r="E964" s="3">
        <v>46.843</v>
      </c>
      <c r="F964" s="4" t="str">
        <f>HYPERLINK("http://141.218.60.56/~jnz1568/getInfo.php?workbook=16_08.xlsx&amp;sheet=A0&amp;row=964&amp;col=6&amp;number=41570000000&amp;sourceID=14","41570000000")</f>
        <v>41570000000</v>
      </c>
      <c r="G964" s="4" t="str">
        <f>HYPERLINK("http://141.218.60.56/~jnz1568/getInfo.php?workbook=16_08.xlsx&amp;sheet=A0&amp;row=964&amp;col=7&amp;number=0&amp;sourceID=14","0")</f>
        <v>0</v>
      </c>
    </row>
    <row r="965" spans="1:7">
      <c r="A965" s="3">
        <v>16</v>
      </c>
      <c r="B965" s="3">
        <v>8</v>
      </c>
      <c r="C965" s="3">
        <v>74</v>
      </c>
      <c r="D965" s="3">
        <v>2</v>
      </c>
      <c r="E965" s="3">
        <v>47.019</v>
      </c>
      <c r="F965" s="4" t="str">
        <f>HYPERLINK("http://141.218.60.56/~jnz1568/getInfo.php?workbook=16_08.xlsx&amp;sheet=A0&amp;row=965&amp;col=6&amp;number=1211&amp;sourceID=14","1211")</f>
        <v>1211</v>
      </c>
      <c r="G965" s="4" t="str">
        <f>HYPERLINK("http://141.218.60.56/~jnz1568/getInfo.php?workbook=16_08.xlsx&amp;sheet=A0&amp;row=965&amp;col=7&amp;number=0&amp;sourceID=14","0")</f>
        <v>0</v>
      </c>
    </row>
    <row r="966" spans="1:7">
      <c r="A966" s="3">
        <v>16</v>
      </c>
      <c r="B966" s="3">
        <v>8</v>
      </c>
      <c r="C966" s="3">
        <v>74</v>
      </c>
      <c r="D966" s="3">
        <v>4</v>
      </c>
      <c r="E966" s="3">
        <v>48.158</v>
      </c>
      <c r="F966" s="4" t="str">
        <f>HYPERLINK("http://141.218.60.56/~jnz1568/getInfo.php?workbook=16_08.xlsx&amp;sheet=A0&amp;row=966&amp;col=6&amp;number=475200000000&amp;sourceID=14","475200000000")</f>
        <v>475200000000</v>
      </c>
      <c r="G966" s="4" t="str">
        <f>HYPERLINK("http://141.218.60.56/~jnz1568/getInfo.php?workbook=16_08.xlsx&amp;sheet=A0&amp;row=966&amp;col=7&amp;number=0&amp;sourceID=14","0")</f>
        <v>0</v>
      </c>
    </row>
    <row r="967" spans="1:7">
      <c r="A967" s="3">
        <v>16</v>
      </c>
      <c r="B967" s="3">
        <v>8</v>
      </c>
      <c r="C967" s="3">
        <v>74</v>
      </c>
      <c r="D967" s="3">
        <v>6</v>
      </c>
      <c r="E967" s="3">
        <v>59.178</v>
      </c>
      <c r="F967" s="4" t="str">
        <f>HYPERLINK("http://141.218.60.56/~jnz1568/getInfo.php?workbook=16_08.xlsx&amp;sheet=A0&amp;row=967&amp;col=6&amp;number=237500&amp;sourceID=14","237500")</f>
        <v>237500</v>
      </c>
      <c r="G967" s="4" t="str">
        <f>HYPERLINK("http://141.218.60.56/~jnz1568/getInfo.php?workbook=16_08.xlsx&amp;sheet=A0&amp;row=967&amp;col=7&amp;number=0&amp;sourceID=14","0")</f>
        <v>0</v>
      </c>
    </row>
    <row r="968" spans="1:7">
      <c r="A968" s="3">
        <v>16</v>
      </c>
      <c r="B968" s="3">
        <v>8</v>
      </c>
      <c r="C968" s="3">
        <v>74</v>
      </c>
      <c r="D968" s="3">
        <v>7</v>
      </c>
      <c r="E968" s="3">
        <v>59.425</v>
      </c>
      <c r="F968" s="4" t="str">
        <f>HYPERLINK("http://141.218.60.56/~jnz1568/getInfo.php?workbook=16_08.xlsx&amp;sheet=A0&amp;row=968&amp;col=6&amp;number=206700&amp;sourceID=14","206700")</f>
        <v>206700</v>
      </c>
      <c r="G968" s="4" t="str">
        <f>HYPERLINK("http://141.218.60.56/~jnz1568/getInfo.php?workbook=16_08.xlsx&amp;sheet=A0&amp;row=968&amp;col=7&amp;number=0&amp;sourceID=14","0")</f>
        <v>0</v>
      </c>
    </row>
    <row r="969" spans="1:7">
      <c r="A969" s="3">
        <v>16</v>
      </c>
      <c r="B969" s="3">
        <v>8</v>
      </c>
      <c r="C969" s="3">
        <v>74</v>
      </c>
      <c r="D969" s="3">
        <v>9</v>
      </c>
      <c r="E969" s="3">
        <v>65.845</v>
      </c>
      <c r="F969" s="4" t="str">
        <f>HYPERLINK("http://141.218.60.56/~jnz1568/getInfo.php?workbook=16_08.xlsx&amp;sheet=A0&amp;row=969&amp;col=6&amp;number=53330&amp;sourceID=14","53330")</f>
        <v>53330</v>
      </c>
      <c r="G969" s="4" t="str">
        <f>HYPERLINK("http://141.218.60.56/~jnz1568/getInfo.php?workbook=16_08.xlsx&amp;sheet=A0&amp;row=969&amp;col=7&amp;number=0&amp;sourceID=14","0")</f>
        <v>0</v>
      </c>
    </row>
    <row r="970" spans="1:7">
      <c r="A970" s="3">
        <v>16</v>
      </c>
      <c r="B970" s="3">
        <v>8</v>
      </c>
      <c r="C970" s="3">
        <v>74</v>
      </c>
      <c r="D970" s="3">
        <v>15</v>
      </c>
      <c r="E970" s="3">
        <v>346.093</v>
      </c>
      <c r="F970" s="4" t="str">
        <f>HYPERLINK("http://141.218.60.56/~jnz1568/getInfo.php?workbook=16_08.xlsx&amp;sheet=A0&amp;row=970&amp;col=6&amp;number=1138&amp;sourceID=14","1138")</f>
        <v>1138</v>
      </c>
      <c r="G970" s="4" t="str">
        <f>HYPERLINK("http://141.218.60.56/~jnz1568/getInfo.php?workbook=16_08.xlsx&amp;sheet=A0&amp;row=970&amp;col=7&amp;number=0&amp;sourceID=14","0")</f>
        <v>0</v>
      </c>
    </row>
    <row r="971" spans="1:7">
      <c r="A971" s="3">
        <v>16</v>
      </c>
      <c r="B971" s="3">
        <v>8</v>
      </c>
      <c r="C971" s="3">
        <v>74</v>
      </c>
      <c r="D971" s="3">
        <v>16</v>
      </c>
      <c r="E971" s="3">
        <v>362.161</v>
      </c>
      <c r="F971" s="4" t="str">
        <f>HYPERLINK("http://141.218.60.56/~jnz1568/getInfo.php?workbook=16_08.xlsx&amp;sheet=A0&amp;row=971&amp;col=6&amp;number=51840&amp;sourceID=14","51840")</f>
        <v>51840</v>
      </c>
      <c r="G971" s="4" t="str">
        <f>HYPERLINK("http://141.218.60.56/~jnz1568/getInfo.php?workbook=16_08.xlsx&amp;sheet=A0&amp;row=971&amp;col=7&amp;number=0&amp;sourceID=14","0")</f>
        <v>0</v>
      </c>
    </row>
    <row r="972" spans="1:7">
      <c r="A972" s="3">
        <v>16</v>
      </c>
      <c r="B972" s="3">
        <v>8</v>
      </c>
      <c r="C972" s="3">
        <v>74</v>
      </c>
      <c r="D972" s="3">
        <v>18</v>
      </c>
      <c r="E972" s="3">
        <v>375.468</v>
      </c>
      <c r="F972" s="4" t="str">
        <f>HYPERLINK("http://141.218.60.56/~jnz1568/getInfo.php?workbook=16_08.xlsx&amp;sheet=A0&amp;row=972&amp;col=6&amp;number=9245&amp;sourceID=14","9245")</f>
        <v>9245</v>
      </c>
      <c r="G972" s="4" t="str">
        <f>HYPERLINK("http://141.218.60.56/~jnz1568/getInfo.php?workbook=16_08.xlsx&amp;sheet=A0&amp;row=972&amp;col=7&amp;number=0&amp;sourceID=14","0")</f>
        <v>0</v>
      </c>
    </row>
    <row r="973" spans="1:7">
      <c r="A973" s="3">
        <v>16</v>
      </c>
      <c r="B973" s="3">
        <v>8</v>
      </c>
      <c r="C973" s="3">
        <v>74</v>
      </c>
      <c r="D973" s="3">
        <v>19</v>
      </c>
      <c r="E973" s="3">
        <v>377.203</v>
      </c>
      <c r="F973" s="4" t="str">
        <f>HYPERLINK("http://141.218.60.56/~jnz1568/getInfo.php?workbook=16_08.xlsx&amp;sheet=A0&amp;row=973&amp;col=6&amp;number=48880&amp;sourceID=14","48880")</f>
        <v>48880</v>
      </c>
      <c r="G973" s="4" t="str">
        <f>HYPERLINK("http://141.218.60.56/~jnz1568/getInfo.php?workbook=16_08.xlsx&amp;sheet=A0&amp;row=973&amp;col=7&amp;number=0&amp;sourceID=14","0")</f>
        <v>0</v>
      </c>
    </row>
    <row r="974" spans="1:7">
      <c r="A974" s="3">
        <v>16</v>
      </c>
      <c r="B974" s="3">
        <v>8</v>
      </c>
      <c r="C974" s="3">
        <v>74</v>
      </c>
      <c r="D974" s="3">
        <v>21</v>
      </c>
      <c r="E974" s="3">
        <v>413.87</v>
      </c>
      <c r="F974" s="4" t="str">
        <f>HYPERLINK("http://141.218.60.56/~jnz1568/getInfo.php?workbook=16_08.xlsx&amp;sheet=A0&amp;row=974&amp;col=6&amp;number=66480&amp;sourceID=14","66480")</f>
        <v>66480</v>
      </c>
      <c r="G974" s="4" t="str">
        <f>HYPERLINK("http://141.218.60.56/~jnz1568/getInfo.php?workbook=16_08.xlsx&amp;sheet=A0&amp;row=974&amp;col=7&amp;number=0&amp;sourceID=14","0")</f>
        <v>0</v>
      </c>
    </row>
    <row r="975" spans="1:7">
      <c r="A975" s="3">
        <v>16</v>
      </c>
      <c r="B975" s="3">
        <v>8</v>
      </c>
      <c r="C975" s="3">
        <v>74</v>
      </c>
      <c r="D975" s="3">
        <v>24</v>
      </c>
      <c r="E975" s="3">
        <v>408.991</v>
      </c>
      <c r="F975" s="4" t="str">
        <f>HYPERLINK("http://141.218.60.56/~jnz1568/getInfo.php?workbook=16_08.xlsx&amp;sheet=A0&amp;row=975&amp;col=6&amp;number=6898&amp;sourceID=14","6898")</f>
        <v>6898</v>
      </c>
      <c r="G975" s="4" t="str">
        <f>HYPERLINK("http://141.218.60.56/~jnz1568/getInfo.php?workbook=16_08.xlsx&amp;sheet=A0&amp;row=975&amp;col=7&amp;number=0&amp;sourceID=14","0")</f>
        <v>0</v>
      </c>
    </row>
    <row r="976" spans="1:7">
      <c r="A976" s="3">
        <v>16</v>
      </c>
      <c r="B976" s="3">
        <v>8</v>
      </c>
      <c r="C976" s="3">
        <v>74</v>
      </c>
      <c r="D976" s="3">
        <v>25</v>
      </c>
      <c r="E976" s="3">
        <v>411.49</v>
      </c>
      <c r="F976" s="4" t="str">
        <f>HYPERLINK("http://141.218.60.56/~jnz1568/getInfo.php?workbook=16_08.xlsx&amp;sheet=A0&amp;row=976&amp;col=6&amp;number=3747&amp;sourceID=14","3747")</f>
        <v>3747</v>
      </c>
      <c r="G976" s="4" t="str">
        <f>HYPERLINK("http://141.218.60.56/~jnz1568/getInfo.php?workbook=16_08.xlsx&amp;sheet=A0&amp;row=976&amp;col=7&amp;number=0&amp;sourceID=14","0")</f>
        <v>0</v>
      </c>
    </row>
    <row r="977" spans="1:7">
      <c r="A977" s="3">
        <v>16</v>
      </c>
      <c r="B977" s="3">
        <v>8</v>
      </c>
      <c r="C977" s="3">
        <v>74</v>
      </c>
      <c r="D977" s="3">
        <v>26</v>
      </c>
      <c r="E977" s="3">
        <v>434.065</v>
      </c>
      <c r="F977" s="4" t="str">
        <f>HYPERLINK("http://141.218.60.56/~jnz1568/getInfo.php?workbook=16_08.xlsx&amp;sheet=A0&amp;row=977&amp;col=6&amp;number=1805&amp;sourceID=14","1805")</f>
        <v>1805</v>
      </c>
      <c r="G977" s="4" t="str">
        <f>HYPERLINK("http://141.218.60.56/~jnz1568/getInfo.php?workbook=16_08.xlsx&amp;sheet=A0&amp;row=977&amp;col=7&amp;number=0&amp;sourceID=14","0")</f>
        <v>0</v>
      </c>
    </row>
    <row r="978" spans="1:7">
      <c r="A978" s="3">
        <v>16</v>
      </c>
      <c r="B978" s="3">
        <v>8</v>
      </c>
      <c r="C978" s="3">
        <v>74</v>
      </c>
      <c r="D978" s="3">
        <v>27</v>
      </c>
      <c r="E978" s="3">
        <v>-527.327</v>
      </c>
      <c r="F978" s="4" t="str">
        <f>HYPERLINK("http://141.218.60.56/~jnz1568/getInfo.php?workbook=16_08.xlsx&amp;sheet=A0&amp;row=978&amp;col=6&amp;number=988100&amp;sourceID=14","988100")</f>
        <v>988100</v>
      </c>
      <c r="G978" s="4" t="str">
        <f>HYPERLINK("http://141.218.60.56/~jnz1568/getInfo.php?workbook=16_08.xlsx&amp;sheet=A0&amp;row=978&amp;col=7&amp;number=0&amp;sourceID=14","0")</f>
        <v>0</v>
      </c>
    </row>
    <row r="979" spans="1:7">
      <c r="A979" s="3">
        <v>16</v>
      </c>
      <c r="B979" s="3">
        <v>8</v>
      </c>
      <c r="C979" s="3">
        <v>74</v>
      </c>
      <c r="D979" s="3">
        <v>29</v>
      </c>
      <c r="E979" s="3">
        <v>543.836</v>
      </c>
      <c r="F979" s="4" t="str">
        <f>HYPERLINK("http://141.218.60.56/~jnz1568/getInfo.php?workbook=16_08.xlsx&amp;sheet=A0&amp;row=979&amp;col=6&amp;number=3199000&amp;sourceID=14","3199000")</f>
        <v>3199000</v>
      </c>
      <c r="G979" s="4" t="str">
        <f>HYPERLINK("http://141.218.60.56/~jnz1568/getInfo.php?workbook=16_08.xlsx&amp;sheet=A0&amp;row=979&amp;col=7&amp;number=0&amp;sourceID=14","0")</f>
        <v>0</v>
      </c>
    </row>
    <row r="980" spans="1:7">
      <c r="A980" s="3">
        <v>16</v>
      </c>
      <c r="B980" s="3">
        <v>8</v>
      </c>
      <c r="C980" s="3">
        <v>74</v>
      </c>
      <c r="D980" s="3">
        <v>31</v>
      </c>
      <c r="E980" s="3">
        <v>563.857</v>
      </c>
      <c r="F980" s="4" t="str">
        <f>HYPERLINK("http://141.218.60.56/~jnz1568/getInfo.php?workbook=16_08.xlsx&amp;sheet=A0&amp;row=980&amp;col=6&amp;number=11310000&amp;sourceID=14","11310000")</f>
        <v>11310000</v>
      </c>
      <c r="G980" s="4" t="str">
        <f>HYPERLINK("http://141.218.60.56/~jnz1568/getInfo.php?workbook=16_08.xlsx&amp;sheet=A0&amp;row=980&amp;col=7&amp;number=0&amp;sourceID=14","0")</f>
        <v>0</v>
      </c>
    </row>
    <row r="981" spans="1:7">
      <c r="A981" s="3">
        <v>16</v>
      </c>
      <c r="B981" s="3">
        <v>8</v>
      </c>
      <c r="C981" s="3">
        <v>74</v>
      </c>
      <c r="D981" s="3">
        <v>32</v>
      </c>
      <c r="E981" s="3">
        <v>567.279</v>
      </c>
      <c r="F981" s="4" t="str">
        <f>HYPERLINK("http://141.218.60.56/~jnz1568/getInfo.php?workbook=16_08.xlsx&amp;sheet=A0&amp;row=981&amp;col=6&amp;number=60490000&amp;sourceID=14","60490000")</f>
        <v>60490000</v>
      </c>
      <c r="G981" s="4" t="str">
        <f>HYPERLINK("http://141.218.60.56/~jnz1568/getInfo.php?workbook=16_08.xlsx&amp;sheet=A0&amp;row=981&amp;col=7&amp;number=0&amp;sourceID=14","0")</f>
        <v>0</v>
      </c>
    </row>
    <row r="982" spans="1:7">
      <c r="A982" s="3">
        <v>16</v>
      </c>
      <c r="B982" s="3">
        <v>8</v>
      </c>
      <c r="C982" s="3">
        <v>74</v>
      </c>
      <c r="D982" s="3">
        <v>33</v>
      </c>
      <c r="E982" s="3">
        <v>570.923</v>
      </c>
      <c r="F982" s="4" t="str">
        <f>HYPERLINK("http://141.218.60.56/~jnz1568/getInfo.php?workbook=16_08.xlsx&amp;sheet=A0&amp;row=982&amp;col=6&amp;number=3522000&amp;sourceID=14","3522000")</f>
        <v>3522000</v>
      </c>
      <c r="G982" s="4" t="str">
        <f>HYPERLINK("http://141.218.60.56/~jnz1568/getInfo.php?workbook=16_08.xlsx&amp;sheet=A0&amp;row=982&amp;col=7&amp;number=0&amp;sourceID=14","0")</f>
        <v>0</v>
      </c>
    </row>
    <row r="983" spans="1:7">
      <c r="A983" s="3">
        <v>16</v>
      </c>
      <c r="B983" s="3">
        <v>8</v>
      </c>
      <c r="C983" s="3">
        <v>74</v>
      </c>
      <c r="D983" s="3">
        <v>34</v>
      </c>
      <c r="E983" s="3">
        <v>582.164</v>
      </c>
      <c r="F983" s="4" t="str">
        <f>HYPERLINK("http://141.218.60.56/~jnz1568/getInfo.php?workbook=16_08.xlsx&amp;sheet=A0&amp;row=983&amp;col=6&amp;number=967700000&amp;sourceID=14","967700000")</f>
        <v>967700000</v>
      </c>
      <c r="G983" s="4" t="str">
        <f>HYPERLINK("http://141.218.60.56/~jnz1568/getInfo.php?workbook=16_08.xlsx&amp;sheet=A0&amp;row=983&amp;col=7&amp;number=0&amp;sourceID=14","0")</f>
        <v>0</v>
      </c>
    </row>
    <row r="984" spans="1:7">
      <c r="A984" s="3">
        <v>16</v>
      </c>
      <c r="B984" s="3">
        <v>8</v>
      </c>
      <c r="C984" s="3">
        <v>74</v>
      </c>
      <c r="D984" s="3">
        <v>37</v>
      </c>
      <c r="E984" s="3">
        <v>693.775</v>
      </c>
      <c r="F984" s="4" t="str">
        <f>HYPERLINK("http://141.218.60.56/~jnz1568/getInfo.php?workbook=16_08.xlsx&amp;sheet=A0&amp;row=984&amp;col=6&amp;number=131800000&amp;sourceID=14","131800000")</f>
        <v>131800000</v>
      </c>
      <c r="G984" s="4" t="str">
        <f>HYPERLINK("http://141.218.60.56/~jnz1568/getInfo.php?workbook=16_08.xlsx&amp;sheet=A0&amp;row=984&amp;col=7&amp;number=0&amp;sourceID=14","0")</f>
        <v>0</v>
      </c>
    </row>
    <row r="985" spans="1:7">
      <c r="A985" s="3">
        <v>16</v>
      </c>
      <c r="B985" s="3">
        <v>8</v>
      </c>
      <c r="C985" s="3">
        <v>74</v>
      </c>
      <c r="D985" s="3">
        <v>44</v>
      </c>
      <c r="E985" s="3">
        <v>701.346</v>
      </c>
      <c r="F985" s="4" t="str">
        <f>HYPERLINK("http://141.218.60.56/~jnz1568/getInfo.php?workbook=16_08.xlsx&amp;sheet=A0&amp;row=985&amp;col=6&amp;number=1049000000&amp;sourceID=14","1049000000")</f>
        <v>1049000000</v>
      </c>
      <c r="G985" s="4" t="str">
        <f>HYPERLINK("http://141.218.60.56/~jnz1568/getInfo.php?workbook=16_08.xlsx&amp;sheet=A0&amp;row=985&amp;col=7&amp;number=0&amp;sourceID=14","0")</f>
        <v>0</v>
      </c>
    </row>
    <row r="986" spans="1:7">
      <c r="A986" s="3">
        <v>16</v>
      </c>
      <c r="B986" s="3">
        <v>8</v>
      </c>
      <c r="C986" s="3">
        <v>74</v>
      </c>
      <c r="D986" s="3">
        <v>46</v>
      </c>
      <c r="E986" s="3">
        <v>767.878</v>
      </c>
      <c r="F986" s="4" t="str">
        <f>HYPERLINK("http://141.218.60.56/~jnz1568/getInfo.php?workbook=16_08.xlsx&amp;sheet=A0&amp;row=986&amp;col=6&amp;number=102400000&amp;sourceID=14","102400000")</f>
        <v>102400000</v>
      </c>
      <c r="G986" s="4" t="str">
        <f>HYPERLINK("http://141.218.60.56/~jnz1568/getInfo.php?workbook=16_08.xlsx&amp;sheet=A0&amp;row=986&amp;col=7&amp;number=0&amp;sourceID=14","0")</f>
        <v>0</v>
      </c>
    </row>
    <row r="987" spans="1:7">
      <c r="A987" s="3">
        <v>16</v>
      </c>
      <c r="B987" s="3">
        <v>8</v>
      </c>
      <c r="C987" s="3">
        <v>74</v>
      </c>
      <c r="D987" s="3">
        <v>47</v>
      </c>
      <c r="E987" s="3">
        <v>-759.444</v>
      </c>
      <c r="F987" s="4" t="str">
        <f>HYPERLINK("http://141.218.60.56/~jnz1568/getInfo.php?workbook=16_08.xlsx&amp;sheet=A0&amp;row=987&amp;col=6&amp;number=428100000&amp;sourceID=14","428100000")</f>
        <v>428100000</v>
      </c>
      <c r="G987" s="4" t="str">
        <f>HYPERLINK("http://141.218.60.56/~jnz1568/getInfo.php?workbook=16_08.xlsx&amp;sheet=A0&amp;row=987&amp;col=7&amp;number=0&amp;sourceID=14","0")</f>
        <v>0</v>
      </c>
    </row>
    <row r="988" spans="1:7">
      <c r="A988" s="3">
        <v>16</v>
      </c>
      <c r="B988" s="3">
        <v>8</v>
      </c>
      <c r="C988" s="3">
        <v>74</v>
      </c>
      <c r="D988" s="3">
        <v>52</v>
      </c>
      <c r="E988" s="3">
        <v>-827.957</v>
      </c>
      <c r="F988" s="4" t="str">
        <f>HYPERLINK("http://141.218.60.56/~jnz1568/getInfo.php?workbook=16_08.xlsx&amp;sheet=A0&amp;row=988&amp;col=6&amp;number=846900&amp;sourceID=14","846900")</f>
        <v>846900</v>
      </c>
      <c r="G988" s="4" t="str">
        <f>HYPERLINK("http://141.218.60.56/~jnz1568/getInfo.php?workbook=16_08.xlsx&amp;sheet=A0&amp;row=988&amp;col=7&amp;number=0&amp;sourceID=14","0")</f>
        <v>0</v>
      </c>
    </row>
    <row r="989" spans="1:7">
      <c r="A989" s="3">
        <v>16</v>
      </c>
      <c r="B989" s="3">
        <v>8</v>
      </c>
      <c r="C989" s="3">
        <v>74</v>
      </c>
      <c r="D989" s="3">
        <v>55</v>
      </c>
      <c r="E989" s="3">
        <v>-1083.684</v>
      </c>
      <c r="F989" s="4" t="str">
        <f>HYPERLINK("http://141.218.60.56/~jnz1568/getInfo.php?workbook=16_08.xlsx&amp;sheet=A0&amp;row=989&amp;col=6&amp;number=39790000&amp;sourceID=14","39790000")</f>
        <v>39790000</v>
      </c>
      <c r="G989" s="4" t="str">
        <f>HYPERLINK("http://141.218.60.56/~jnz1568/getInfo.php?workbook=16_08.xlsx&amp;sheet=A0&amp;row=989&amp;col=7&amp;number=0&amp;sourceID=14","0")</f>
        <v>0</v>
      </c>
    </row>
    <row r="990" spans="1:7">
      <c r="A990" s="3">
        <v>16</v>
      </c>
      <c r="B990" s="3">
        <v>8</v>
      </c>
      <c r="C990" s="3">
        <v>75</v>
      </c>
      <c r="D990" s="3">
        <v>1</v>
      </c>
      <c r="E990" s="3">
        <v>46.641</v>
      </c>
      <c r="F990" s="4" t="str">
        <f>HYPERLINK("http://141.218.60.56/~jnz1568/getInfo.php?workbook=16_08.xlsx&amp;sheet=A0&amp;row=990&amp;col=6&amp;number=6536&amp;sourceID=14","6536")</f>
        <v>6536</v>
      </c>
      <c r="G990" s="4" t="str">
        <f>HYPERLINK("http://141.218.60.56/~jnz1568/getInfo.php?workbook=16_08.xlsx&amp;sheet=A0&amp;row=990&amp;col=7&amp;number=0&amp;sourceID=14","0")</f>
        <v>0</v>
      </c>
    </row>
    <row r="991" spans="1:7">
      <c r="A991" s="3">
        <v>16</v>
      </c>
      <c r="B991" s="3">
        <v>8</v>
      </c>
      <c r="C991" s="3">
        <v>75</v>
      </c>
      <c r="D991" s="3">
        <v>4</v>
      </c>
      <c r="E991" s="3">
        <v>47.944</v>
      </c>
      <c r="F991" s="4" t="str">
        <f>HYPERLINK("http://141.218.60.56/~jnz1568/getInfo.php?workbook=16_08.xlsx&amp;sheet=A0&amp;row=991&amp;col=6&amp;number=11500&amp;sourceID=14","11500")</f>
        <v>11500</v>
      </c>
      <c r="G991" s="4" t="str">
        <f>HYPERLINK("http://141.218.60.56/~jnz1568/getInfo.php?workbook=16_08.xlsx&amp;sheet=A0&amp;row=991&amp;col=7&amp;number=0&amp;sourceID=14","0")</f>
        <v>0</v>
      </c>
    </row>
    <row r="992" spans="1:7">
      <c r="A992" s="3">
        <v>16</v>
      </c>
      <c r="B992" s="3">
        <v>8</v>
      </c>
      <c r="C992" s="3">
        <v>75</v>
      </c>
      <c r="D992" s="3">
        <v>6</v>
      </c>
      <c r="E992" s="3">
        <v>58.856</v>
      </c>
      <c r="F992" s="4" t="str">
        <f>HYPERLINK("http://141.218.60.56/~jnz1568/getInfo.php?workbook=16_08.xlsx&amp;sheet=A0&amp;row=992&amp;col=6&amp;number=1083000&amp;sourceID=14","1083000")</f>
        <v>1083000</v>
      </c>
      <c r="G992" s="4" t="str">
        <f>HYPERLINK("http://141.218.60.56/~jnz1568/getInfo.php?workbook=16_08.xlsx&amp;sheet=A0&amp;row=992&amp;col=7&amp;number=0&amp;sourceID=14","0")</f>
        <v>0</v>
      </c>
    </row>
    <row r="993" spans="1:7">
      <c r="A993" s="3">
        <v>16</v>
      </c>
      <c r="B993" s="3">
        <v>8</v>
      </c>
      <c r="C993" s="3">
        <v>75</v>
      </c>
      <c r="D993" s="3">
        <v>13</v>
      </c>
      <c r="E993" s="3">
        <v>334.356</v>
      </c>
      <c r="F993" s="4" t="str">
        <f>HYPERLINK("http://141.218.60.56/~jnz1568/getInfo.php?workbook=16_08.xlsx&amp;sheet=A0&amp;row=993&amp;col=6&amp;number=1203&amp;sourceID=14","1203")</f>
        <v>1203</v>
      </c>
      <c r="G993" s="4" t="str">
        <f>HYPERLINK("http://141.218.60.56/~jnz1568/getInfo.php?workbook=16_08.xlsx&amp;sheet=A0&amp;row=993&amp;col=7&amp;number=0&amp;sourceID=14","0")</f>
        <v>0</v>
      </c>
    </row>
    <row r="994" spans="1:7">
      <c r="A994" s="3">
        <v>16</v>
      </c>
      <c r="B994" s="3">
        <v>8</v>
      </c>
      <c r="C994" s="3">
        <v>75</v>
      </c>
      <c r="D994" s="3">
        <v>15</v>
      </c>
      <c r="E994" s="3">
        <v>335.344</v>
      </c>
      <c r="F994" s="4" t="str">
        <f>HYPERLINK("http://141.218.60.56/~jnz1568/getInfo.php?workbook=16_08.xlsx&amp;sheet=A0&amp;row=994&amp;col=6&amp;number=6260&amp;sourceID=14","6260")</f>
        <v>6260</v>
      </c>
      <c r="G994" s="4" t="str">
        <f>HYPERLINK("http://141.218.60.56/~jnz1568/getInfo.php?workbook=16_08.xlsx&amp;sheet=A0&amp;row=994&amp;col=7&amp;number=0&amp;sourceID=14","0")</f>
        <v>0</v>
      </c>
    </row>
    <row r="995" spans="1:7">
      <c r="A995" s="3">
        <v>16</v>
      </c>
      <c r="B995" s="3">
        <v>8</v>
      </c>
      <c r="C995" s="3">
        <v>75</v>
      </c>
      <c r="D995" s="3">
        <v>19</v>
      </c>
      <c r="E995" s="3">
        <v>364.471</v>
      </c>
      <c r="F995" s="4" t="str">
        <f>HYPERLINK("http://141.218.60.56/~jnz1568/getInfo.php?workbook=16_08.xlsx&amp;sheet=A0&amp;row=995&amp;col=6&amp;number=159100&amp;sourceID=14","159100")</f>
        <v>159100</v>
      </c>
      <c r="G995" s="4" t="str">
        <f>HYPERLINK("http://141.218.60.56/~jnz1568/getInfo.php?workbook=16_08.xlsx&amp;sheet=A0&amp;row=995&amp;col=7&amp;number=0&amp;sourceID=14","0")</f>
        <v>0</v>
      </c>
    </row>
    <row r="996" spans="1:7">
      <c r="A996" s="3">
        <v>16</v>
      </c>
      <c r="B996" s="3">
        <v>8</v>
      </c>
      <c r="C996" s="3">
        <v>75</v>
      </c>
      <c r="D996" s="3">
        <v>25</v>
      </c>
      <c r="E996" s="3">
        <v>396.385</v>
      </c>
      <c r="F996" s="4" t="str">
        <f>HYPERLINK("http://141.218.60.56/~jnz1568/getInfo.php?workbook=16_08.xlsx&amp;sheet=A0&amp;row=996&amp;col=6&amp;number=39590&amp;sourceID=14","39590")</f>
        <v>39590</v>
      </c>
      <c r="G996" s="4" t="str">
        <f>HYPERLINK("http://141.218.60.56/~jnz1568/getInfo.php?workbook=16_08.xlsx&amp;sheet=A0&amp;row=996&amp;col=7&amp;number=0&amp;sourceID=14","0")</f>
        <v>0</v>
      </c>
    </row>
    <row r="997" spans="1:7">
      <c r="A997" s="3">
        <v>16</v>
      </c>
      <c r="B997" s="3">
        <v>8</v>
      </c>
      <c r="C997" s="3">
        <v>75</v>
      </c>
      <c r="D997" s="3">
        <v>29</v>
      </c>
      <c r="E997" s="3">
        <v>517.759</v>
      </c>
      <c r="F997" s="4" t="str">
        <f>HYPERLINK("http://141.218.60.56/~jnz1568/getInfo.php?workbook=16_08.xlsx&amp;sheet=A0&amp;row=997&amp;col=6&amp;number=1616000&amp;sourceID=14","1616000")</f>
        <v>1616000</v>
      </c>
      <c r="G997" s="4" t="str">
        <f>HYPERLINK("http://141.218.60.56/~jnz1568/getInfo.php?workbook=16_08.xlsx&amp;sheet=A0&amp;row=997&amp;col=7&amp;number=0&amp;sourceID=14","0")</f>
        <v>0</v>
      </c>
    </row>
    <row r="998" spans="1:7">
      <c r="A998" s="3">
        <v>16</v>
      </c>
      <c r="B998" s="3">
        <v>8</v>
      </c>
      <c r="C998" s="3">
        <v>75</v>
      </c>
      <c r="D998" s="3">
        <v>32</v>
      </c>
      <c r="E998" s="3">
        <v>538.964</v>
      </c>
      <c r="F998" s="4" t="str">
        <f>HYPERLINK("http://141.218.60.56/~jnz1568/getInfo.php?workbook=16_08.xlsx&amp;sheet=A0&amp;row=998&amp;col=6&amp;number=14020000&amp;sourceID=14","14020000")</f>
        <v>14020000</v>
      </c>
      <c r="G998" s="4" t="str">
        <f>HYPERLINK("http://141.218.60.56/~jnz1568/getInfo.php?workbook=16_08.xlsx&amp;sheet=A0&amp;row=998&amp;col=7&amp;number=0&amp;sourceID=14","0")</f>
        <v>0</v>
      </c>
    </row>
    <row r="999" spans="1:7">
      <c r="A999" s="3">
        <v>16</v>
      </c>
      <c r="B999" s="3">
        <v>8</v>
      </c>
      <c r="C999" s="3">
        <v>75</v>
      </c>
      <c r="D999" s="3">
        <v>33</v>
      </c>
      <c r="E999" s="3">
        <v>542.252</v>
      </c>
      <c r="F999" s="4" t="str">
        <f>HYPERLINK("http://141.218.60.56/~jnz1568/getInfo.php?workbook=16_08.xlsx&amp;sheet=A0&amp;row=999&amp;col=6&amp;number=172400000&amp;sourceID=14","172400000")</f>
        <v>172400000</v>
      </c>
      <c r="G999" s="4" t="str">
        <f>HYPERLINK("http://141.218.60.56/~jnz1568/getInfo.php?workbook=16_08.xlsx&amp;sheet=A0&amp;row=999&amp;col=7&amp;number=0&amp;sourceID=14","0")</f>
        <v>0</v>
      </c>
    </row>
    <row r="1000" spans="1:7">
      <c r="A1000" s="3">
        <v>16</v>
      </c>
      <c r="B1000" s="3">
        <v>8</v>
      </c>
      <c r="C1000" s="3">
        <v>75</v>
      </c>
      <c r="D1000" s="3">
        <v>34</v>
      </c>
      <c r="E1000" s="3">
        <v>552.382</v>
      </c>
      <c r="F1000" s="4" t="str">
        <f>HYPERLINK("http://141.218.60.56/~jnz1568/getInfo.php?workbook=16_08.xlsx&amp;sheet=A0&amp;row=1000&amp;col=6&amp;number=662000&amp;sourceID=14","662000")</f>
        <v>662000</v>
      </c>
      <c r="G1000" s="4" t="str">
        <f>HYPERLINK("http://141.218.60.56/~jnz1568/getInfo.php?workbook=16_08.xlsx&amp;sheet=A0&amp;row=1000&amp;col=7&amp;number=0&amp;sourceID=14","0")</f>
        <v>0</v>
      </c>
    </row>
    <row r="1001" spans="1:7">
      <c r="A1001" s="3">
        <v>16</v>
      </c>
      <c r="B1001" s="3">
        <v>8</v>
      </c>
      <c r="C1001" s="3">
        <v>75</v>
      </c>
      <c r="D1001" s="3">
        <v>46</v>
      </c>
      <c r="E1001" s="3">
        <v>716.897</v>
      </c>
      <c r="F1001" s="4" t="str">
        <f>HYPERLINK("http://141.218.60.56/~jnz1568/getInfo.php?workbook=16_08.xlsx&amp;sheet=A0&amp;row=1001&amp;col=6&amp;number=2343000000&amp;sourceID=14","2343000000")</f>
        <v>2343000000</v>
      </c>
      <c r="G1001" s="4" t="str">
        <f>HYPERLINK("http://141.218.60.56/~jnz1568/getInfo.php?workbook=16_08.xlsx&amp;sheet=A0&amp;row=1001&amp;col=7&amp;number=0&amp;sourceID=14","0")</f>
        <v>0</v>
      </c>
    </row>
    <row r="1002" spans="1:7">
      <c r="A1002" s="3">
        <v>16</v>
      </c>
      <c r="B1002" s="3">
        <v>8</v>
      </c>
      <c r="C1002" s="3">
        <v>76</v>
      </c>
      <c r="D1002" s="3">
        <v>1</v>
      </c>
      <c r="E1002" s="3">
        <v>46.845</v>
      </c>
      <c r="F1002" s="4" t="str">
        <f>HYPERLINK("http://141.218.60.56/~jnz1568/getInfo.php?workbook=16_08.xlsx&amp;sheet=A0&amp;row=1002&amp;col=6&amp;number=115200000000&amp;sourceID=14","115200000000")</f>
        <v>115200000000</v>
      </c>
      <c r="G1002" s="4" t="str">
        <f>HYPERLINK("http://141.218.60.56/~jnz1568/getInfo.php?workbook=16_08.xlsx&amp;sheet=A0&amp;row=1002&amp;col=7&amp;number=0&amp;sourceID=14","0")</f>
        <v>0</v>
      </c>
    </row>
    <row r="1003" spans="1:7">
      <c r="A1003" s="3">
        <v>16</v>
      </c>
      <c r="B1003" s="3">
        <v>8</v>
      </c>
      <c r="C1003" s="3">
        <v>76</v>
      </c>
      <c r="D1003" s="3">
        <v>2</v>
      </c>
      <c r="E1003" s="3">
        <v>47.021</v>
      </c>
      <c r="F1003" s="4" t="str">
        <f>HYPERLINK("http://141.218.60.56/~jnz1568/getInfo.php?workbook=16_08.xlsx&amp;sheet=A0&amp;row=1003&amp;col=6&amp;number=7119&amp;sourceID=14","7119")</f>
        <v>7119</v>
      </c>
      <c r="G1003" s="4" t="str">
        <f>HYPERLINK("http://141.218.60.56/~jnz1568/getInfo.php?workbook=16_08.xlsx&amp;sheet=A0&amp;row=1003&amp;col=7&amp;number=0&amp;sourceID=14","0")</f>
        <v>0</v>
      </c>
    </row>
    <row r="1004" spans="1:7">
      <c r="A1004" s="3">
        <v>16</v>
      </c>
      <c r="B1004" s="3">
        <v>8</v>
      </c>
      <c r="C1004" s="3">
        <v>76</v>
      </c>
      <c r="D1004" s="3">
        <v>4</v>
      </c>
      <c r="E1004" s="3">
        <v>48.16</v>
      </c>
      <c r="F1004" s="4" t="str">
        <f>HYPERLINK("http://141.218.60.56/~jnz1568/getInfo.php?workbook=16_08.xlsx&amp;sheet=A0&amp;row=1004&amp;col=6&amp;number=221700000000&amp;sourceID=14","221700000000")</f>
        <v>221700000000</v>
      </c>
      <c r="G1004" s="4" t="str">
        <f>HYPERLINK("http://141.218.60.56/~jnz1568/getInfo.php?workbook=16_08.xlsx&amp;sheet=A0&amp;row=1004&amp;col=7&amp;number=0&amp;sourceID=14","0")</f>
        <v>0</v>
      </c>
    </row>
    <row r="1005" spans="1:7">
      <c r="A1005" s="3">
        <v>16</v>
      </c>
      <c r="B1005" s="3">
        <v>8</v>
      </c>
      <c r="C1005" s="3">
        <v>76</v>
      </c>
      <c r="D1005" s="3">
        <v>6</v>
      </c>
      <c r="E1005" s="3">
        <v>59.181</v>
      </c>
      <c r="F1005" s="4" t="str">
        <f>HYPERLINK("http://141.218.60.56/~jnz1568/getInfo.php?workbook=16_08.xlsx&amp;sheet=A0&amp;row=1005&amp;col=6&amp;number=47360&amp;sourceID=14","47360")</f>
        <v>47360</v>
      </c>
      <c r="G1005" s="4" t="str">
        <f>HYPERLINK("http://141.218.60.56/~jnz1568/getInfo.php?workbook=16_08.xlsx&amp;sheet=A0&amp;row=1005&amp;col=7&amp;number=0&amp;sourceID=14","0")</f>
        <v>0</v>
      </c>
    </row>
    <row r="1006" spans="1:7">
      <c r="A1006" s="3">
        <v>16</v>
      </c>
      <c r="B1006" s="3">
        <v>8</v>
      </c>
      <c r="C1006" s="3">
        <v>76</v>
      </c>
      <c r="D1006" s="3">
        <v>7</v>
      </c>
      <c r="E1006" s="3">
        <v>59.428</v>
      </c>
      <c r="F1006" s="4" t="str">
        <f>HYPERLINK("http://141.218.60.56/~jnz1568/getInfo.php?workbook=16_08.xlsx&amp;sheet=A0&amp;row=1006&amp;col=6&amp;number=631300&amp;sourceID=14","631300")</f>
        <v>631300</v>
      </c>
      <c r="G1006" s="4" t="str">
        <f>HYPERLINK("http://141.218.60.56/~jnz1568/getInfo.php?workbook=16_08.xlsx&amp;sheet=A0&amp;row=1006&amp;col=7&amp;number=0&amp;sourceID=14","0")</f>
        <v>0</v>
      </c>
    </row>
    <row r="1007" spans="1:7">
      <c r="A1007" s="3">
        <v>16</v>
      </c>
      <c r="B1007" s="3">
        <v>8</v>
      </c>
      <c r="C1007" s="3">
        <v>76</v>
      </c>
      <c r="D1007" s="3">
        <v>9</v>
      </c>
      <c r="E1007" s="3">
        <v>65.849</v>
      </c>
      <c r="F1007" s="4" t="str">
        <f>HYPERLINK("http://141.218.60.56/~jnz1568/getInfo.php?workbook=16_08.xlsx&amp;sheet=A0&amp;row=1007&amp;col=6&amp;number=44980&amp;sourceID=14","44980")</f>
        <v>44980</v>
      </c>
      <c r="G1007" s="4" t="str">
        <f>HYPERLINK("http://141.218.60.56/~jnz1568/getInfo.php?workbook=16_08.xlsx&amp;sheet=A0&amp;row=1007&amp;col=7&amp;number=0&amp;sourceID=14","0")</f>
        <v>0</v>
      </c>
    </row>
    <row r="1008" spans="1:7">
      <c r="A1008" s="3">
        <v>16</v>
      </c>
      <c r="B1008" s="3">
        <v>8</v>
      </c>
      <c r="C1008" s="3">
        <v>76</v>
      </c>
      <c r="D1008" s="3">
        <v>13</v>
      </c>
      <c r="E1008" s="3">
        <v>345.143</v>
      </c>
      <c r="F1008" s="4" t="str">
        <f>HYPERLINK("http://141.218.60.56/~jnz1568/getInfo.php?workbook=16_08.xlsx&amp;sheet=A0&amp;row=1008&amp;col=6&amp;number=2569&amp;sourceID=14","2569")</f>
        <v>2569</v>
      </c>
      <c r="G1008" s="4" t="str">
        <f>HYPERLINK("http://141.218.60.56/~jnz1568/getInfo.php?workbook=16_08.xlsx&amp;sheet=A0&amp;row=1008&amp;col=7&amp;number=0&amp;sourceID=14","0")</f>
        <v>0</v>
      </c>
    </row>
    <row r="1009" spans="1:7">
      <c r="A1009" s="3">
        <v>16</v>
      </c>
      <c r="B1009" s="3">
        <v>8</v>
      </c>
      <c r="C1009" s="3">
        <v>76</v>
      </c>
      <c r="D1009" s="3">
        <v>16</v>
      </c>
      <c r="E1009" s="3">
        <v>362.274</v>
      </c>
      <c r="F1009" s="4" t="str">
        <f>HYPERLINK("http://141.218.60.56/~jnz1568/getInfo.php?workbook=16_08.xlsx&amp;sheet=A0&amp;row=1009&amp;col=6&amp;number=17810&amp;sourceID=14","17810")</f>
        <v>17810</v>
      </c>
      <c r="G1009" s="4" t="str">
        <f>HYPERLINK("http://141.218.60.56/~jnz1568/getInfo.php?workbook=16_08.xlsx&amp;sheet=A0&amp;row=1009&amp;col=7&amp;number=0&amp;sourceID=14","0")</f>
        <v>0</v>
      </c>
    </row>
    <row r="1010" spans="1:7">
      <c r="A1010" s="3">
        <v>16</v>
      </c>
      <c r="B1010" s="3">
        <v>8</v>
      </c>
      <c r="C1010" s="3">
        <v>76</v>
      </c>
      <c r="D1010" s="3">
        <v>17</v>
      </c>
      <c r="E1010" s="3">
        <v>374.704</v>
      </c>
      <c r="F1010" s="4" t="str">
        <f>HYPERLINK("http://141.218.60.56/~jnz1568/getInfo.php?workbook=16_08.xlsx&amp;sheet=A0&amp;row=1010&amp;col=6&amp;number=0.0001504&amp;sourceID=14","0.0001504")</f>
        <v>0.0001504</v>
      </c>
      <c r="G1010" s="4" t="str">
        <f>HYPERLINK("http://141.218.60.56/~jnz1568/getInfo.php?workbook=16_08.xlsx&amp;sheet=A0&amp;row=1010&amp;col=7&amp;number=0&amp;sourceID=14","0")</f>
        <v>0</v>
      </c>
    </row>
    <row r="1011" spans="1:7">
      <c r="A1011" s="3">
        <v>16</v>
      </c>
      <c r="B1011" s="3">
        <v>8</v>
      </c>
      <c r="C1011" s="3">
        <v>76</v>
      </c>
      <c r="D1011" s="3">
        <v>18</v>
      </c>
      <c r="E1011" s="3">
        <v>375.59</v>
      </c>
      <c r="F1011" s="4" t="str">
        <f>HYPERLINK("http://141.218.60.56/~jnz1568/getInfo.php?workbook=16_08.xlsx&amp;sheet=A0&amp;row=1011&amp;col=6&amp;number=40310&amp;sourceID=14","40310")</f>
        <v>40310</v>
      </c>
      <c r="G1011" s="4" t="str">
        <f>HYPERLINK("http://141.218.60.56/~jnz1568/getInfo.php?workbook=16_08.xlsx&amp;sheet=A0&amp;row=1011&amp;col=7&amp;number=0&amp;sourceID=14","0")</f>
        <v>0</v>
      </c>
    </row>
    <row r="1012" spans="1:7">
      <c r="A1012" s="3">
        <v>16</v>
      </c>
      <c r="B1012" s="3">
        <v>8</v>
      </c>
      <c r="C1012" s="3">
        <v>76</v>
      </c>
      <c r="D1012" s="3">
        <v>19</v>
      </c>
      <c r="E1012" s="3">
        <v>377.326</v>
      </c>
      <c r="F1012" s="4" t="str">
        <f>HYPERLINK("http://141.218.60.56/~jnz1568/getInfo.php?workbook=16_08.xlsx&amp;sheet=A0&amp;row=1012&amp;col=6&amp;number=36680&amp;sourceID=14","36680")</f>
        <v>36680</v>
      </c>
      <c r="G1012" s="4" t="str">
        <f>HYPERLINK("http://141.218.60.56/~jnz1568/getInfo.php?workbook=16_08.xlsx&amp;sheet=A0&amp;row=1012&amp;col=7&amp;number=0&amp;sourceID=14","0")</f>
        <v>0</v>
      </c>
    </row>
    <row r="1013" spans="1:7">
      <c r="A1013" s="3">
        <v>16</v>
      </c>
      <c r="B1013" s="3">
        <v>8</v>
      </c>
      <c r="C1013" s="3">
        <v>76</v>
      </c>
      <c r="D1013" s="3">
        <v>21</v>
      </c>
      <c r="E1013" s="3">
        <v>414.017</v>
      </c>
      <c r="F1013" s="4" t="str">
        <f>HYPERLINK("http://141.218.60.56/~jnz1568/getInfo.php?workbook=16_08.xlsx&amp;sheet=A0&amp;row=1013&amp;col=6&amp;number=78460&amp;sourceID=14","78460")</f>
        <v>78460</v>
      </c>
      <c r="G1013" s="4" t="str">
        <f>HYPERLINK("http://141.218.60.56/~jnz1568/getInfo.php?workbook=16_08.xlsx&amp;sheet=A0&amp;row=1013&amp;col=7&amp;number=0&amp;sourceID=14","0")</f>
        <v>0</v>
      </c>
    </row>
    <row r="1014" spans="1:7">
      <c r="A1014" s="3">
        <v>16</v>
      </c>
      <c r="B1014" s="3">
        <v>8</v>
      </c>
      <c r="C1014" s="3">
        <v>76</v>
      </c>
      <c r="D1014" s="3">
        <v>24</v>
      </c>
      <c r="E1014" s="3">
        <v>409.135</v>
      </c>
      <c r="F1014" s="4" t="str">
        <f>HYPERLINK("http://141.218.60.56/~jnz1568/getInfo.php?workbook=16_08.xlsx&amp;sheet=A0&amp;row=1014&amp;col=6&amp;number=23120&amp;sourceID=14","23120")</f>
        <v>23120</v>
      </c>
      <c r="G1014" s="4" t="str">
        <f>HYPERLINK("http://141.218.60.56/~jnz1568/getInfo.php?workbook=16_08.xlsx&amp;sheet=A0&amp;row=1014&amp;col=7&amp;number=0&amp;sourceID=14","0")</f>
        <v>0</v>
      </c>
    </row>
    <row r="1015" spans="1:7">
      <c r="A1015" s="3">
        <v>16</v>
      </c>
      <c r="B1015" s="3">
        <v>8</v>
      </c>
      <c r="C1015" s="3">
        <v>76</v>
      </c>
      <c r="D1015" s="3">
        <v>25</v>
      </c>
      <c r="E1015" s="3">
        <v>411.636</v>
      </c>
      <c r="F1015" s="4" t="str">
        <f>HYPERLINK("http://141.218.60.56/~jnz1568/getInfo.php?workbook=16_08.xlsx&amp;sheet=A0&amp;row=1015&amp;col=6&amp;number=2465&amp;sourceID=14","2465")</f>
        <v>2465</v>
      </c>
      <c r="G1015" s="4" t="str">
        <f>HYPERLINK("http://141.218.60.56/~jnz1568/getInfo.php?workbook=16_08.xlsx&amp;sheet=A0&amp;row=1015&amp;col=7&amp;number=0&amp;sourceID=14","0")</f>
        <v>0</v>
      </c>
    </row>
    <row r="1016" spans="1:7">
      <c r="A1016" s="3">
        <v>16</v>
      </c>
      <c r="B1016" s="3">
        <v>8</v>
      </c>
      <c r="C1016" s="3">
        <v>76</v>
      </c>
      <c r="D1016" s="3">
        <v>27</v>
      </c>
      <c r="E1016" s="3">
        <v>-515.152</v>
      </c>
      <c r="F1016" s="4" t="str">
        <f>HYPERLINK("http://141.218.60.56/~jnz1568/getInfo.php?workbook=16_08.xlsx&amp;sheet=A0&amp;row=1016&amp;col=6&amp;number=119500&amp;sourceID=14","119500")</f>
        <v>119500</v>
      </c>
      <c r="G1016" s="4" t="str">
        <f>HYPERLINK("http://141.218.60.56/~jnz1568/getInfo.php?workbook=16_08.xlsx&amp;sheet=A0&amp;row=1016&amp;col=7&amp;number=0&amp;sourceID=14","0")</f>
        <v>0</v>
      </c>
    </row>
    <row r="1017" spans="1:7">
      <c r="A1017" s="3">
        <v>16</v>
      </c>
      <c r="B1017" s="3">
        <v>8</v>
      </c>
      <c r="C1017" s="3">
        <v>76</v>
      </c>
      <c r="D1017" s="3">
        <v>29</v>
      </c>
      <c r="E1017" s="3">
        <v>544.09</v>
      </c>
      <c r="F1017" s="4" t="str">
        <f>HYPERLINK("http://141.218.60.56/~jnz1568/getInfo.php?workbook=16_08.xlsx&amp;sheet=A0&amp;row=1017&amp;col=6&amp;number=19710000&amp;sourceID=14","19710000")</f>
        <v>19710000</v>
      </c>
      <c r="G1017" s="4" t="str">
        <f>HYPERLINK("http://141.218.60.56/~jnz1568/getInfo.php?workbook=16_08.xlsx&amp;sheet=A0&amp;row=1017&amp;col=7&amp;number=0&amp;sourceID=14","0")</f>
        <v>0</v>
      </c>
    </row>
    <row r="1018" spans="1:7">
      <c r="A1018" s="3">
        <v>16</v>
      </c>
      <c r="B1018" s="3">
        <v>8</v>
      </c>
      <c r="C1018" s="3">
        <v>76</v>
      </c>
      <c r="D1018" s="3">
        <v>31</v>
      </c>
      <c r="E1018" s="3">
        <v>564.13</v>
      </c>
      <c r="F1018" s="4" t="str">
        <f>HYPERLINK("http://141.218.60.56/~jnz1568/getInfo.php?workbook=16_08.xlsx&amp;sheet=A0&amp;row=1018&amp;col=6&amp;number=3711000&amp;sourceID=14","3711000")</f>
        <v>3711000</v>
      </c>
      <c r="G1018" s="4" t="str">
        <f>HYPERLINK("http://141.218.60.56/~jnz1568/getInfo.php?workbook=16_08.xlsx&amp;sheet=A0&amp;row=1018&amp;col=7&amp;number=0&amp;sourceID=14","0")</f>
        <v>0</v>
      </c>
    </row>
    <row r="1019" spans="1:7">
      <c r="A1019" s="3">
        <v>16</v>
      </c>
      <c r="B1019" s="3">
        <v>8</v>
      </c>
      <c r="C1019" s="3">
        <v>76</v>
      </c>
      <c r="D1019" s="3">
        <v>32</v>
      </c>
      <c r="E1019" s="3">
        <v>567.556</v>
      </c>
      <c r="F1019" s="4" t="str">
        <f>HYPERLINK("http://141.218.60.56/~jnz1568/getInfo.php?workbook=16_08.xlsx&amp;sheet=A0&amp;row=1019&amp;col=6&amp;number=43690000&amp;sourceID=14","43690000")</f>
        <v>43690000</v>
      </c>
      <c r="G1019" s="4" t="str">
        <f>HYPERLINK("http://141.218.60.56/~jnz1568/getInfo.php?workbook=16_08.xlsx&amp;sheet=A0&amp;row=1019&amp;col=7&amp;number=0&amp;sourceID=14","0")</f>
        <v>0</v>
      </c>
    </row>
    <row r="1020" spans="1:7">
      <c r="A1020" s="3">
        <v>16</v>
      </c>
      <c r="B1020" s="3">
        <v>8</v>
      </c>
      <c r="C1020" s="3">
        <v>76</v>
      </c>
      <c r="D1020" s="3">
        <v>33</v>
      </c>
      <c r="E1020" s="3">
        <v>571.203</v>
      </c>
      <c r="F1020" s="4" t="str">
        <f>HYPERLINK("http://141.218.60.56/~jnz1568/getInfo.php?workbook=16_08.xlsx&amp;sheet=A0&amp;row=1020&amp;col=6&amp;number=19780000&amp;sourceID=14","19780000")</f>
        <v>19780000</v>
      </c>
      <c r="G1020" s="4" t="str">
        <f>HYPERLINK("http://141.218.60.56/~jnz1568/getInfo.php?workbook=16_08.xlsx&amp;sheet=A0&amp;row=1020&amp;col=7&amp;number=0&amp;sourceID=14","0")</f>
        <v>0</v>
      </c>
    </row>
    <row r="1021" spans="1:7">
      <c r="A1021" s="3">
        <v>16</v>
      </c>
      <c r="B1021" s="3">
        <v>8</v>
      </c>
      <c r="C1021" s="3">
        <v>76</v>
      </c>
      <c r="D1021" s="3">
        <v>34</v>
      </c>
      <c r="E1021" s="3">
        <v>582.455</v>
      </c>
      <c r="F1021" s="4" t="str">
        <f>HYPERLINK("http://141.218.60.56/~jnz1568/getInfo.php?workbook=16_08.xlsx&amp;sheet=A0&amp;row=1021&amp;col=6&amp;number=366200000&amp;sourceID=14","366200000")</f>
        <v>366200000</v>
      </c>
      <c r="G1021" s="4" t="str">
        <f>HYPERLINK("http://141.218.60.56/~jnz1568/getInfo.php?workbook=16_08.xlsx&amp;sheet=A0&amp;row=1021&amp;col=7&amp;number=0&amp;sourceID=14","0")</f>
        <v>0</v>
      </c>
    </row>
    <row r="1022" spans="1:7">
      <c r="A1022" s="3">
        <v>16</v>
      </c>
      <c r="B1022" s="3">
        <v>8</v>
      </c>
      <c r="C1022" s="3">
        <v>76</v>
      </c>
      <c r="D1022" s="3">
        <v>37</v>
      </c>
      <c r="E1022" s="3">
        <v>694.189</v>
      </c>
      <c r="F1022" s="4" t="str">
        <f>HYPERLINK("http://141.218.60.56/~jnz1568/getInfo.php?workbook=16_08.xlsx&amp;sheet=A0&amp;row=1022&amp;col=6&amp;number=3024000&amp;sourceID=14","3024000")</f>
        <v>3024000</v>
      </c>
      <c r="G1022" s="4" t="str">
        <f>HYPERLINK("http://141.218.60.56/~jnz1568/getInfo.php?workbook=16_08.xlsx&amp;sheet=A0&amp;row=1022&amp;col=7&amp;number=0&amp;sourceID=14","0")</f>
        <v>0</v>
      </c>
    </row>
    <row r="1023" spans="1:7">
      <c r="A1023" s="3">
        <v>16</v>
      </c>
      <c r="B1023" s="3">
        <v>8</v>
      </c>
      <c r="C1023" s="3">
        <v>76</v>
      </c>
      <c r="D1023" s="3">
        <v>44</v>
      </c>
      <c r="E1023" s="3">
        <v>701.769</v>
      </c>
      <c r="F1023" s="4" t="str">
        <f>HYPERLINK("http://141.218.60.56/~jnz1568/getInfo.php?workbook=16_08.xlsx&amp;sheet=A0&amp;row=1023&amp;col=6&amp;number=1061000000&amp;sourceID=14","1061000000")</f>
        <v>1061000000</v>
      </c>
      <c r="G1023" s="4" t="str">
        <f>HYPERLINK("http://141.218.60.56/~jnz1568/getInfo.php?workbook=16_08.xlsx&amp;sheet=A0&amp;row=1023&amp;col=7&amp;number=0&amp;sourceID=14","0")</f>
        <v>0</v>
      </c>
    </row>
    <row r="1024" spans="1:7">
      <c r="A1024" s="3">
        <v>16</v>
      </c>
      <c r="B1024" s="3">
        <v>8</v>
      </c>
      <c r="C1024" s="3">
        <v>76</v>
      </c>
      <c r="D1024" s="3">
        <v>46</v>
      </c>
      <c r="E1024" s="3">
        <v>768.386</v>
      </c>
      <c r="F1024" s="4" t="str">
        <f>HYPERLINK("http://141.218.60.56/~jnz1568/getInfo.php?workbook=16_08.xlsx&amp;sheet=A0&amp;row=1024&amp;col=6&amp;number=42130000&amp;sourceID=14","42130000")</f>
        <v>42130000</v>
      </c>
      <c r="G1024" s="4" t="str">
        <f>HYPERLINK("http://141.218.60.56/~jnz1568/getInfo.php?workbook=16_08.xlsx&amp;sheet=A0&amp;row=1024&amp;col=7&amp;number=0&amp;sourceID=14","0")</f>
        <v>0</v>
      </c>
    </row>
    <row r="1025" spans="1:7">
      <c r="A1025" s="3">
        <v>16</v>
      </c>
      <c r="B1025" s="3">
        <v>8</v>
      </c>
      <c r="C1025" s="3">
        <v>76</v>
      </c>
      <c r="D1025" s="3">
        <v>47</v>
      </c>
      <c r="E1025" s="3">
        <v>-734.445</v>
      </c>
      <c r="F1025" s="4" t="str">
        <f>HYPERLINK("http://141.218.60.56/~jnz1568/getInfo.php?workbook=16_08.xlsx&amp;sheet=A0&amp;row=1025&amp;col=6&amp;number=1017000000&amp;sourceID=14","1017000000")</f>
        <v>1017000000</v>
      </c>
      <c r="G1025" s="4" t="str">
        <f>HYPERLINK("http://141.218.60.56/~jnz1568/getInfo.php?workbook=16_08.xlsx&amp;sheet=A0&amp;row=1025&amp;col=7&amp;number=0&amp;sourceID=14","0")</f>
        <v>0</v>
      </c>
    </row>
    <row r="1026" spans="1:7">
      <c r="A1026" s="3">
        <v>16</v>
      </c>
      <c r="B1026" s="3">
        <v>8</v>
      </c>
      <c r="C1026" s="3">
        <v>76</v>
      </c>
      <c r="D1026" s="3">
        <v>52</v>
      </c>
      <c r="E1026" s="3">
        <v>-798.333</v>
      </c>
      <c r="F1026" s="4" t="str">
        <f>HYPERLINK("http://141.218.60.56/~jnz1568/getInfo.php?workbook=16_08.xlsx&amp;sheet=A0&amp;row=1026&amp;col=6&amp;number=19260000&amp;sourceID=14","19260000")</f>
        <v>19260000</v>
      </c>
      <c r="G1026" s="4" t="str">
        <f>HYPERLINK("http://141.218.60.56/~jnz1568/getInfo.php?workbook=16_08.xlsx&amp;sheet=A0&amp;row=1026&amp;col=7&amp;number=0&amp;sourceID=14","0")</f>
        <v>0</v>
      </c>
    </row>
    <row r="1027" spans="1:7">
      <c r="A1027" s="3">
        <v>16</v>
      </c>
      <c r="B1027" s="3">
        <v>8</v>
      </c>
      <c r="C1027" s="3">
        <v>76</v>
      </c>
      <c r="D1027" s="3">
        <v>55</v>
      </c>
      <c r="E1027" s="3">
        <v>-1033.489</v>
      </c>
      <c r="F1027" s="4" t="str">
        <f>HYPERLINK("http://141.218.60.56/~jnz1568/getInfo.php?workbook=16_08.xlsx&amp;sheet=A0&amp;row=1027&amp;col=6&amp;number=24070000&amp;sourceID=14","24070000")</f>
        <v>24070000</v>
      </c>
      <c r="G1027" s="4" t="str">
        <f>HYPERLINK("http://141.218.60.56/~jnz1568/getInfo.php?workbook=16_08.xlsx&amp;sheet=A0&amp;row=1027&amp;col=7&amp;number=0&amp;sourceID=14","0")</f>
        <v>0</v>
      </c>
    </row>
    <row r="1028" spans="1:7">
      <c r="A1028" s="3">
        <v>16</v>
      </c>
      <c r="B1028" s="3">
        <v>8</v>
      </c>
      <c r="C1028" s="3">
        <v>77</v>
      </c>
      <c r="D1028" s="3">
        <v>1</v>
      </c>
      <c r="E1028" s="3">
        <v>46.679</v>
      </c>
      <c r="F1028" s="4" t="str">
        <f>HYPERLINK("http://141.218.60.56/~jnz1568/getInfo.php?workbook=16_08.xlsx&amp;sheet=A0&amp;row=1028&amp;col=6&amp;number=427100000&amp;sourceID=14","427100000")</f>
        <v>427100000</v>
      </c>
      <c r="G1028" s="4" t="str">
        <f>HYPERLINK("http://141.218.60.56/~jnz1568/getInfo.php?workbook=16_08.xlsx&amp;sheet=A0&amp;row=1028&amp;col=7&amp;number=0&amp;sourceID=14","0")</f>
        <v>0</v>
      </c>
    </row>
    <row r="1029" spans="1:7">
      <c r="A1029" s="3">
        <v>16</v>
      </c>
      <c r="B1029" s="3">
        <v>8</v>
      </c>
      <c r="C1029" s="3">
        <v>77</v>
      </c>
      <c r="D1029" s="3">
        <v>2</v>
      </c>
      <c r="E1029" s="3">
        <v>46.853</v>
      </c>
      <c r="F1029" s="4" t="str">
        <f>HYPERLINK("http://141.218.60.56/~jnz1568/getInfo.php?workbook=16_08.xlsx&amp;sheet=A0&amp;row=1029&amp;col=6&amp;number=9675000000&amp;sourceID=14","9675000000")</f>
        <v>9675000000</v>
      </c>
      <c r="G1029" s="4" t="str">
        <f>HYPERLINK("http://141.218.60.56/~jnz1568/getInfo.php?workbook=16_08.xlsx&amp;sheet=A0&amp;row=1029&amp;col=7&amp;number=0&amp;sourceID=14","0")</f>
        <v>0</v>
      </c>
    </row>
    <row r="1030" spans="1:7">
      <c r="A1030" s="3">
        <v>16</v>
      </c>
      <c r="B1030" s="3">
        <v>8</v>
      </c>
      <c r="C1030" s="3">
        <v>77</v>
      </c>
      <c r="D1030" s="3">
        <v>3</v>
      </c>
      <c r="E1030" s="3">
        <v>46.912</v>
      </c>
      <c r="F1030" s="4" t="str">
        <f>HYPERLINK("http://141.218.60.56/~jnz1568/getInfo.php?workbook=16_08.xlsx&amp;sheet=A0&amp;row=1030&amp;col=6&amp;number=4087&amp;sourceID=14","4087")</f>
        <v>4087</v>
      </c>
      <c r="G1030" s="4" t="str">
        <f>HYPERLINK("http://141.218.60.56/~jnz1568/getInfo.php?workbook=16_08.xlsx&amp;sheet=A0&amp;row=1030&amp;col=7&amp;number=0&amp;sourceID=14","0")</f>
        <v>0</v>
      </c>
    </row>
    <row r="1031" spans="1:7">
      <c r="A1031" s="3">
        <v>16</v>
      </c>
      <c r="B1031" s="3">
        <v>8</v>
      </c>
      <c r="C1031" s="3">
        <v>77</v>
      </c>
      <c r="D1031" s="3">
        <v>4</v>
      </c>
      <c r="E1031" s="3">
        <v>47.985</v>
      </c>
      <c r="F1031" s="4" t="str">
        <f>HYPERLINK("http://141.218.60.56/~jnz1568/getInfo.php?workbook=16_08.xlsx&amp;sheet=A0&amp;row=1031&amp;col=6&amp;number=14540000000&amp;sourceID=14","14540000000")</f>
        <v>14540000000</v>
      </c>
      <c r="G1031" s="4" t="str">
        <f>HYPERLINK("http://141.218.60.56/~jnz1568/getInfo.php?workbook=16_08.xlsx&amp;sheet=A0&amp;row=1031&amp;col=7&amp;number=0&amp;sourceID=14","0")</f>
        <v>0</v>
      </c>
    </row>
    <row r="1032" spans="1:7">
      <c r="A1032" s="3">
        <v>16</v>
      </c>
      <c r="B1032" s="3">
        <v>8</v>
      </c>
      <c r="C1032" s="3">
        <v>77</v>
      </c>
      <c r="D1032" s="3">
        <v>6</v>
      </c>
      <c r="E1032" s="3">
        <v>58.917</v>
      </c>
      <c r="F1032" s="4" t="str">
        <f>HYPERLINK("http://141.218.60.56/~jnz1568/getInfo.php?workbook=16_08.xlsx&amp;sheet=A0&amp;row=1032&amp;col=6&amp;number=86340&amp;sourceID=14","86340")</f>
        <v>86340</v>
      </c>
      <c r="G1032" s="4" t="str">
        <f>HYPERLINK("http://141.218.60.56/~jnz1568/getInfo.php?workbook=16_08.xlsx&amp;sheet=A0&amp;row=1032&amp;col=7&amp;number=0&amp;sourceID=14","0")</f>
        <v>0</v>
      </c>
    </row>
    <row r="1033" spans="1:7">
      <c r="A1033" s="3">
        <v>16</v>
      </c>
      <c r="B1033" s="3">
        <v>8</v>
      </c>
      <c r="C1033" s="3">
        <v>77</v>
      </c>
      <c r="D1033" s="3">
        <v>7</v>
      </c>
      <c r="E1033" s="3">
        <v>59.161</v>
      </c>
      <c r="F1033" s="4" t="str">
        <f>HYPERLINK("http://141.218.60.56/~jnz1568/getInfo.php?workbook=16_08.xlsx&amp;sheet=A0&amp;row=1033&amp;col=6&amp;number=351600&amp;sourceID=14","351600")</f>
        <v>351600</v>
      </c>
      <c r="G1033" s="4" t="str">
        <f>HYPERLINK("http://141.218.60.56/~jnz1568/getInfo.php?workbook=16_08.xlsx&amp;sheet=A0&amp;row=1033&amp;col=7&amp;number=0&amp;sourceID=14","0")</f>
        <v>0</v>
      </c>
    </row>
    <row r="1034" spans="1:7">
      <c r="A1034" s="3">
        <v>16</v>
      </c>
      <c r="B1034" s="3">
        <v>8</v>
      </c>
      <c r="C1034" s="3">
        <v>77</v>
      </c>
      <c r="D1034" s="3">
        <v>8</v>
      </c>
      <c r="E1034" s="3">
        <v>59.298</v>
      </c>
      <c r="F1034" s="4" t="str">
        <f>HYPERLINK("http://141.218.60.56/~jnz1568/getInfo.php?workbook=16_08.xlsx&amp;sheet=A0&amp;row=1034&amp;col=6&amp;number=677500&amp;sourceID=14","677500")</f>
        <v>677500</v>
      </c>
      <c r="G1034" s="4" t="str">
        <f>HYPERLINK("http://141.218.60.56/~jnz1568/getInfo.php?workbook=16_08.xlsx&amp;sheet=A0&amp;row=1034&amp;col=7&amp;number=0&amp;sourceID=14","0")</f>
        <v>0</v>
      </c>
    </row>
    <row r="1035" spans="1:7">
      <c r="A1035" s="3">
        <v>16</v>
      </c>
      <c r="B1035" s="3">
        <v>8</v>
      </c>
      <c r="C1035" s="3">
        <v>77</v>
      </c>
      <c r="D1035" s="3">
        <v>9</v>
      </c>
      <c r="E1035" s="3">
        <v>65.521</v>
      </c>
      <c r="F1035" s="4" t="str">
        <f>HYPERLINK("http://141.218.60.56/~jnz1568/getInfo.php?workbook=16_08.xlsx&amp;sheet=A0&amp;row=1035&amp;col=6&amp;number=8412&amp;sourceID=14","8412")</f>
        <v>8412</v>
      </c>
      <c r="G1035" s="4" t="str">
        <f>HYPERLINK("http://141.218.60.56/~jnz1568/getInfo.php?workbook=16_08.xlsx&amp;sheet=A0&amp;row=1035&amp;col=7&amp;number=0&amp;sourceID=14","0")</f>
        <v>0</v>
      </c>
    </row>
    <row r="1036" spans="1:7">
      <c r="A1036" s="3">
        <v>16</v>
      </c>
      <c r="B1036" s="3">
        <v>8</v>
      </c>
      <c r="C1036" s="3">
        <v>77</v>
      </c>
      <c r="D1036" s="3">
        <v>13</v>
      </c>
      <c r="E1036" s="3">
        <v>336.329</v>
      </c>
      <c r="F1036" s="4" t="str">
        <f>HYPERLINK("http://141.218.60.56/~jnz1568/getInfo.php?workbook=16_08.xlsx&amp;sheet=A0&amp;row=1036&amp;col=6&amp;number=2626&amp;sourceID=14","2626")</f>
        <v>2626</v>
      </c>
      <c r="G1036" s="4" t="str">
        <f>HYPERLINK("http://141.218.60.56/~jnz1568/getInfo.php?workbook=16_08.xlsx&amp;sheet=A0&amp;row=1036&amp;col=7&amp;number=0&amp;sourceID=14","0")</f>
        <v>0</v>
      </c>
    </row>
    <row r="1037" spans="1:7">
      <c r="A1037" s="3">
        <v>16</v>
      </c>
      <c r="B1037" s="3">
        <v>8</v>
      </c>
      <c r="C1037" s="3">
        <v>77</v>
      </c>
      <c r="D1037" s="3">
        <v>14</v>
      </c>
      <c r="E1037" s="3">
        <v>336.587</v>
      </c>
      <c r="F1037" s="4" t="str">
        <f>HYPERLINK("http://141.218.60.56/~jnz1568/getInfo.php?workbook=16_08.xlsx&amp;sheet=A0&amp;row=1037&amp;col=6&amp;number=2887&amp;sourceID=14","2887")</f>
        <v>2887</v>
      </c>
      <c r="G1037" s="4" t="str">
        <f>HYPERLINK("http://141.218.60.56/~jnz1568/getInfo.php?workbook=16_08.xlsx&amp;sheet=A0&amp;row=1037&amp;col=7&amp;number=0&amp;sourceID=14","0")</f>
        <v>0</v>
      </c>
    </row>
    <row r="1038" spans="1:7">
      <c r="A1038" s="3">
        <v>16</v>
      </c>
      <c r="B1038" s="3">
        <v>8</v>
      </c>
      <c r="C1038" s="3">
        <v>77</v>
      </c>
      <c r="D1038" s="3">
        <v>16</v>
      </c>
      <c r="E1038" s="3">
        <v>352.576</v>
      </c>
      <c r="F1038" s="4" t="str">
        <f>HYPERLINK("http://141.218.60.56/~jnz1568/getInfo.php?workbook=16_08.xlsx&amp;sheet=A0&amp;row=1038&amp;col=6&amp;number=1346&amp;sourceID=14","1346")</f>
        <v>1346</v>
      </c>
      <c r="G1038" s="4" t="str">
        <f>HYPERLINK("http://141.218.60.56/~jnz1568/getInfo.php?workbook=16_08.xlsx&amp;sheet=A0&amp;row=1038&amp;col=7&amp;number=0&amp;sourceID=14","0")</f>
        <v>0</v>
      </c>
    </row>
    <row r="1039" spans="1:7">
      <c r="A1039" s="3">
        <v>16</v>
      </c>
      <c r="B1039" s="3">
        <v>8</v>
      </c>
      <c r="C1039" s="3">
        <v>77</v>
      </c>
      <c r="D1039" s="3">
        <v>17</v>
      </c>
      <c r="E1039" s="3">
        <v>364.339</v>
      </c>
      <c r="F1039" s="4" t="str">
        <f>HYPERLINK("http://141.218.60.56/~jnz1568/getInfo.php?workbook=16_08.xlsx&amp;sheet=A0&amp;row=1039&amp;col=6&amp;number=20100&amp;sourceID=14","20100")</f>
        <v>20100</v>
      </c>
      <c r="G1039" s="4" t="str">
        <f>HYPERLINK("http://141.218.60.56/~jnz1568/getInfo.php?workbook=16_08.xlsx&amp;sheet=A0&amp;row=1039&amp;col=7&amp;number=0&amp;sourceID=14","0")</f>
        <v>0</v>
      </c>
    </row>
    <row r="1040" spans="1:7">
      <c r="A1040" s="3">
        <v>16</v>
      </c>
      <c r="B1040" s="3">
        <v>8</v>
      </c>
      <c r="C1040" s="3">
        <v>77</v>
      </c>
      <c r="D1040" s="3">
        <v>19</v>
      </c>
      <c r="E1040" s="3">
        <v>366.816</v>
      </c>
      <c r="F1040" s="4" t="str">
        <f>HYPERLINK("http://141.218.60.56/~jnz1568/getInfo.php?workbook=16_08.xlsx&amp;sheet=A0&amp;row=1040&amp;col=6&amp;number=1163&amp;sourceID=14","1163")</f>
        <v>1163</v>
      </c>
      <c r="G1040" s="4" t="str">
        <f>HYPERLINK("http://141.218.60.56/~jnz1568/getInfo.php?workbook=16_08.xlsx&amp;sheet=A0&amp;row=1040&amp;col=7&amp;number=0&amp;sourceID=14","0")</f>
        <v>0</v>
      </c>
    </row>
    <row r="1041" spans="1:7">
      <c r="A1041" s="3">
        <v>16</v>
      </c>
      <c r="B1041" s="3">
        <v>8</v>
      </c>
      <c r="C1041" s="3">
        <v>77</v>
      </c>
      <c r="D1041" s="3">
        <v>20</v>
      </c>
      <c r="E1041" s="3">
        <v>400.795</v>
      </c>
      <c r="F1041" s="4" t="str">
        <f>HYPERLINK("http://141.218.60.56/~jnz1568/getInfo.php?workbook=16_08.xlsx&amp;sheet=A0&amp;row=1041&amp;col=6&amp;number=58590&amp;sourceID=14","58590")</f>
        <v>58590</v>
      </c>
      <c r="G1041" s="4" t="str">
        <f>HYPERLINK("http://141.218.60.56/~jnz1568/getInfo.php?workbook=16_08.xlsx&amp;sheet=A0&amp;row=1041&amp;col=7&amp;number=0&amp;sourceID=14","0")</f>
        <v>0</v>
      </c>
    </row>
    <row r="1042" spans="1:7">
      <c r="A1042" s="3">
        <v>16</v>
      </c>
      <c r="B1042" s="3">
        <v>8</v>
      </c>
      <c r="C1042" s="3">
        <v>77</v>
      </c>
      <c r="D1042" s="3">
        <v>21</v>
      </c>
      <c r="E1042" s="3">
        <v>401.398</v>
      </c>
      <c r="F1042" s="4" t="str">
        <f>HYPERLINK("http://141.218.60.56/~jnz1568/getInfo.php?workbook=16_08.xlsx&amp;sheet=A0&amp;row=1042&amp;col=6&amp;number=3806&amp;sourceID=14","3806")</f>
        <v>3806</v>
      </c>
      <c r="G1042" s="4" t="str">
        <f>HYPERLINK("http://141.218.60.56/~jnz1568/getInfo.php?workbook=16_08.xlsx&amp;sheet=A0&amp;row=1042&amp;col=7&amp;number=0&amp;sourceID=14","0")</f>
        <v>0</v>
      </c>
    </row>
    <row r="1043" spans="1:7">
      <c r="A1043" s="3">
        <v>16</v>
      </c>
      <c r="B1043" s="3">
        <v>8</v>
      </c>
      <c r="C1043" s="3">
        <v>77</v>
      </c>
      <c r="D1043" s="3">
        <v>23</v>
      </c>
      <c r="E1043" s="3">
        <v>395.939</v>
      </c>
      <c r="F1043" s="4" t="str">
        <f>HYPERLINK("http://141.218.60.56/~jnz1568/getInfo.php?workbook=16_08.xlsx&amp;sheet=A0&amp;row=1043&amp;col=6&amp;number=24000&amp;sourceID=14","24000")</f>
        <v>24000</v>
      </c>
      <c r="G1043" s="4" t="str">
        <f>HYPERLINK("http://141.218.60.56/~jnz1568/getInfo.php?workbook=16_08.xlsx&amp;sheet=A0&amp;row=1043&amp;col=7&amp;number=0&amp;sourceID=14","0")</f>
        <v>0</v>
      </c>
    </row>
    <row r="1044" spans="1:7">
      <c r="A1044" s="3">
        <v>16</v>
      </c>
      <c r="B1044" s="3">
        <v>8</v>
      </c>
      <c r="C1044" s="3">
        <v>77</v>
      </c>
      <c r="D1044" s="3">
        <v>24</v>
      </c>
      <c r="E1044" s="3">
        <v>396.808</v>
      </c>
      <c r="F1044" s="4" t="str">
        <f>HYPERLINK("http://141.218.60.56/~jnz1568/getInfo.php?workbook=16_08.xlsx&amp;sheet=A0&amp;row=1044&amp;col=6&amp;number=13540&amp;sourceID=14","13540")</f>
        <v>13540</v>
      </c>
      <c r="G1044" s="4" t="str">
        <f>HYPERLINK("http://141.218.60.56/~jnz1568/getInfo.php?workbook=16_08.xlsx&amp;sheet=A0&amp;row=1044&amp;col=7&amp;number=0&amp;sourceID=14","0")</f>
        <v>0</v>
      </c>
    </row>
    <row r="1045" spans="1:7">
      <c r="A1045" s="3">
        <v>16</v>
      </c>
      <c r="B1045" s="3">
        <v>8</v>
      </c>
      <c r="C1045" s="3">
        <v>77</v>
      </c>
      <c r="D1045" s="3">
        <v>25</v>
      </c>
      <c r="E1045" s="3">
        <v>399.16</v>
      </c>
      <c r="F1045" s="4" t="str">
        <f>HYPERLINK("http://141.218.60.56/~jnz1568/getInfo.php?workbook=16_08.xlsx&amp;sheet=A0&amp;row=1045&amp;col=6&amp;number=1876&amp;sourceID=14","1876")</f>
        <v>1876</v>
      </c>
      <c r="G1045" s="4" t="str">
        <f>HYPERLINK("http://141.218.60.56/~jnz1568/getInfo.php?workbook=16_08.xlsx&amp;sheet=A0&amp;row=1045&amp;col=7&amp;number=0&amp;sourceID=14","0")</f>
        <v>0</v>
      </c>
    </row>
    <row r="1046" spans="1:7">
      <c r="A1046" s="3">
        <v>16</v>
      </c>
      <c r="B1046" s="3">
        <v>8</v>
      </c>
      <c r="C1046" s="3">
        <v>77</v>
      </c>
      <c r="D1046" s="3">
        <v>27</v>
      </c>
      <c r="E1046" s="3">
        <v>-517.787</v>
      </c>
      <c r="F1046" s="4" t="str">
        <f>HYPERLINK("http://141.218.60.56/~jnz1568/getInfo.php?workbook=16_08.xlsx&amp;sheet=A0&amp;row=1046&amp;col=6&amp;number=15410000&amp;sourceID=14","15410000")</f>
        <v>15410000</v>
      </c>
      <c r="G1046" s="4" t="str">
        <f>HYPERLINK("http://141.218.60.56/~jnz1568/getInfo.php?workbook=16_08.xlsx&amp;sheet=A0&amp;row=1046&amp;col=7&amp;number=0&amp;sourceID=14","0")</f>
        <v>0</v>
      </c>
    </row>
    <row r="1047" spans="1:7">
      <c r="A1047" s="3">
        <v>16</v>
      </c>
      <c r="B1047" s="3">
        <v>8</v>
      </c>
      <c r="C1047" s="3">
        <v>77</v>
      </c>
      <c r="D1047" s="3">
        <v>28</v>
      </c>
      <c r="E1047" s="3">
        <v>517.813</v>
      </c>
      <c r="F1047" s="4" t="str">
        <f>HYPERLINK("http://141.218.60.56/~jnz1568/getInfo.php?workbook=16_08.xlsx&amp;sheet=A0&amp;row=1047&amp;col=6&amp;number=2227000&amp;sourceID=14","2227000")</f>
        <v>2227000</v>
      </c>
      <c r="G1047" s="4" t="str">
        <f>HYPERLINK("http://141.218.60.56/~jnz1568/getInfo.php?workbook=16_08.xlsx&amp;sheet=A0&amp;row=1047&amp;col=7&amp;number=0&amp;sourceID=14","0")</f>
        <v>0</v>
      </c>
    </row>
    <row r="1048" spans="1:7">
      <c r="A1048" s="3">
        <v>16</v>
      </c>
      <c r="B1048" s="3">
        <v>8</v>
      </c>
      <c r="C1048" s="3">
        <v>77</v>
      </c>
      <c r="D1048" s="3">
        <v>29</v>
      </c>
      <c r="E1048" s="3">
        <v>522.504</v>
      </c>
      <c r="F1048" s="4" t="str">
        <f>HYPERLINK("http://141.218.60.56/~jnz1568/getInfo.php?workbook=16_08.xlsx&amp;sheet=A0&amp;row=1048&amp;col=6&amp;number=6721&amp;sourceID=14","6721")</f>
        <v>6721</v>
      </c>
      <c r="G1048" s="4" t="str">
        <f>HYPERLINK("http://141.218.60.56/~jnz1568/getInfo.php?workbook=16_08.xlsx&amp;sheet=A0&amp;row=1048&amp;col=7&amp;number=0&amp;sourceID=14","0")</f>
        <v>0</v>
      </c>
    </row>
    <row r="1049" spans="1:7">
      <c r="A1049" s="3">
        <v>16</v>
      </c>
      <c r="B1049" s="3">
        <v>8</v>
      </c>
      <c r="C1049" s="3">
        <v>77</v>
      </c>
      <c r="D1049" s="3">
        <v>30</v>
      </c>
      <c r="E1049" s="3">
        <v>-502.772</v>
      </c>
      <c r="F1049" s="4" t="str">
        <f>HYPERLINK("http://141.218.60.56/~jnz1568/getInfo.php?workbook=16_08.xlsx&amp;sheet=A0&amp;row=1049&amp;col=6&amp;number=312800&amp;sourceID=14","312800")</f>
        <v>312800</v>
      </c>
      <c r="G1049" s="4" t="str">
        <f>HYPERLINK("http://141.218.60.56/~jnz1568/getInfo.php?workbook=16_08.xlsx&amp;sheet=A0&amp;row=1049&amp;col=7&amp;number=0&amp;sourceID=14","0")</f>
        <v>0</v>
      </c>
    </row>
    <row r="1050" spans="1:7">
      <c r="A1050" s="3">
        <v>16</v>
      </c>
      <c r="B1050" s="3">
        <v>8</v>
      </c>
      <c r="C1050" s="3">
        <v>77</v>
      </c>
      <c r="D1050" s="3">
        <v>31</v>
      </c>
      <c r="E1050" s="3">
        <v>540.959</v>
      </c>
      <c r="F1050" s="4" t="str">
        <f>HYPERLINK("http://141.218.60.56/~jnz1568/getInfo.php?workbook=16_08.xlsx&amp;sheet=A0&amp;row=1050&amp;col=6&amp;number=103500000&amp;sourceID=14","103500000")</f>
        <v>103500000</v>
      </c>
      <c r="G1050" s="4" t="str">
        <f>HYPERLINK("http://141.218.60.56/~jnz1568/getInfo.php?workbook=16_08.xlsx&amp;sheet=A0&amp;row=1050&amp;col=7&amp;number=0&amp;sourceID=14","0")</f>
        <v>0</v>
      </c>
    </row>
    <row r="1051" spans="1:7">
      <c r="A1051" s="3">
        <v>16</v>
      </c>
      <c r="B1051" s="3">
        <v>8</v>
      </c>
      <c r="C1051" s="3">
        <v>77</v>
      </c>
      <c r="D1051" s="3">
        <v>32</v>
      </c>
      <c r="E1051" s="3">
        <v>544.108</v>
      </c>
      <c r="F1051" s="4" t="str">
        <f>HYPERLINK("http://141.218.60.56/~jnz1568/getInfo.php?workbook=16_08.xlsx&amp;sheet=A0&amp;row=1051&amp;col=6&amp;number=24000000&amp;sourceID=14","24000000")</f>
        <v>24000000</v>
      </c>
      <c r="G1051" s="4" t="str">
        <f>HYPERLINK("http://141.218.60.56/~jnz1568/getInfo.php?workbook=16_08.xlsx&amp;sheet=A0&amp;row=1051&amp;col=7&amp;number=0&amp;sourceID=14","0")</f>
        <v>0</v>
      </c>
    </row>
    <row r="1052" spans="1:7">
      <c r="A1052" s="3">
        <v>16</v>
      </c>
      <c r="B1052" s="3">
        <v>8</v>
      </c>
      <c r="C1052" s="3">
        <v>77</v>
      </c>
      <c r="D1052" s="3">
        <v>34</v>
      </c>
      <c r="E1052" s="3">
        <v>557.787</v>
      </c>
      <c r="F1052" s="4" t="str">
        <f>HYPERLINK("http://141.218.60.56/~jnz1568/getInfo.php?workbook=16_08.xlsx&amp;sheet=A0&amp;row=1052&amp;col=6&amp;number=6144000&amp;sourceID=14","6144000")</f>
        <v>6144000</v>
      </c>
      <c r="G1052" s="4" t="str">
        <f>HYPERLINK("http://141.218.60.56/~jnz1568/getInfo.php?workbook=16_08.xlsx&amp;sheet=A0&amp;row=1052&amp;col=7&amp;number=0&amp;sourceID=14","0")</f>
        <v>0</v>
      </c>
    </row>
    <row r="1053" spans="1:7">
      <c r="A1053" s="3">
        <v>16</v>
      </c>
      <c r="B1053" s="3">
        <v>8</v>
      </c>
      <c r="C1053" s="3">
        <v>77</v>
      </c>
      <c r="D1053" s="3">
        <v>36</v>
      </c>
      <c r="E1053" s="3">
        <v>666.267</v>
      </c>
      <c r="F1053" s="4" t="str">
        <f>HYPERLINK("http://141.218.60.56/~jnz1568/getInfo.php?workbook=16_08.xlsx&amp;sheet=A0&amp;row=1053&amp;col=6&amp;number=820300&amp;sourceID=14","820300")</f>
        <v>820300</v>
      </c>
      <c r="G1053" s="4" t="str">
        <f>HYPERLINK("http://141.218.60.56/~jnz1568/getInfo.php?workbook=16_08.xlsx&amp;sheet=A0&amp;row=1053&amp;col=7&amp;number=0&amp;sourceID=14","0")</f>
        <v>0</v>
      </c>
    </row>
    <row r="1054" spans="1:7">
      <c r="A1054" s="3">
        <v>16</v>
      </c>
      <c r="B1054" s="3">
        <v>8</v>
      </c>
      <c r="C1054" s="3">
        <v>77</v>
      </c>
      <c r="D1054" s="3">
        <v>37</v>
      </c>
      <c r="E1054" s="3">
        <v>659.431</v>
      </c>
      <c r="F1054" s="4" t="str">
        <f>HYPERLINK("http://141.218.60.56/~jnz1568/getInfo.php?workbook=16_08.xlsx&amp;sheet=A0&amp;row=1054&amp;col=6&amp;number=26530000&amp;sourceID=14","26530000")</f>
        <v>26530000</v>
      </c>
      <c r="G1054" s="4" t="str">
        <f>HYPERLINK("http://141.218.60.56/~jnz1568/getInfo.php?workbook=16_08.xlsx&amp;sheet=A0&amp;row=1054&amp;col=7&amp;number=0&amp;sourceID=14","0")</f>
        <v>0</v>
      </c>
    </row>
    <row r="1055" spans="1:7">
      <c r="A1055" s="3">
        <v>16</v>
      </c>
      <c r="B1055" s="3">
        <v>8</v>
      </c>
      <c r="C1055" s="3">
        <v>77</v>
      </c>
      <c r="D1055" s="3">
        <v>43</v>
      </c>
      <c r="E1055" s="3">
        <v>-644.509</v>
      </c>
      <c r="F1055" s="4" t="str">
        <f>HYPERLINK("http://141.218.60.56/~jnz1568/getInfo.php?workbook=16_08.xlsx&amp;sheet=A0&amp;row=1055&amp;col=6&amp;number=8767000&amp;sourceID=14","8767000")</f>
        <v>8767000</v>
      </c>
      <c r="G1055" s="4" t="str">
        <f>HYPERLINK("http://141.218.60.56/~jnz1568/getInfo.php?workbook=16_08.xlsx&amp;sheet=A0&amp;row=1055&amp;col=7&amp;number=0&amp;sourceID=14","0")</f>
        <v>0</v>
      </c>
    </row>
    <row r="1056" spans="1:7">
      <c r="A1056" s="3">
        <v>16</v>
      </c>
      <c r="B1056" s="3">
        <v>8</v>
      </c>
      <c r="C1056" s="3">
        <v>77</v>
      </c>
      <c r="D1056" s="3">
        <v>44</v>
      </c>
      <c r="E1056" s="3">
        <v>666.267</v>
      </c>
      <c r="F1056" s="4" t="str">
        <f>HYPERLINK("http://141.218.60.56/~jnz1568/getInfo.php?workbook=16_08.xlsx&amp;sheet=A0&amp;row=1056&amp;col=6&amp;number=285200000&amp;sourceID=14","285200000")</f>
        <v>285200000</v>
      </c>
      <c r="G1056" s="4" t="str">
        <f>HYPERLINK("http://141.218.60.56/~jnz1568/getInfo.php?workbook=16_08.xlsx&amp;sheet=A0&amp;row=1056&amp;col=7&amp;number=0&amp;sourceID=14","0")</f>
        <v>0</v>
      </c>
    </row>
    <row r="1057" spans="1:7">
      <c r="A1057" s="3">
        <v>16</v>
      </c>
      <c r="B1057" s="3">
        <v>8</v>
      </c>
      <c r="C1057" s="3">
        <v>77</v>
      </c>
      <c r="D1057" s="3">
        <v>45</v>
      </c>
      <c r="E1057" s="3">
        <v>-698.331</v>
      </c>
      <c r="F1057" s="4" t="str">
        <f>HYPERLINK("http://141.218.60.56/~jnz1568/getInfo.php?workbook=16_08.xlsx&amp;sheet=A0&amp;row=1057&amp;col=6&amp;number=2161000000&amp;sourceID=14","2161000000")</f>
        <v>2161000000</v>
      </c>
      <c r="G1057" s="4" t="str">
        <f>HYPERLINK("http://141.218.60.56/~jnz1568/getInfo.php?workbook=16_08.xlsx&amp;sheet=A0&amp;row=1057&amp;col=7&amp;number=0&amp;sourceID=14","0")</f>
        <v>0</v>
      </c>
    </row>
    <row r="1058" spans="1:7">
      <c r="A1058" s="3">
        <v>16</v>
      </c>
      <c r="B1058" s="3">
        <v>8</v>
      </c>
      <c r="C1058" s="3">
        <v>77</v>
      </c>
      <c r="D1058" s="3">
        <v>46</v>
      </c>
      <c r="E1058" s="3">
        <v>726.027</v>
      </c>
      <c r="F1058" s="4" t="str">
        <f>HYPERLINK("http://141.218.60.56/~jnz1568/getInfo.php?workbook=16_08.xlsx&amp;sheet=A0&amp;row=1058&amp;col=6&amp;number=6475000&amp;sourceID=14","6475000")</f>
        <v>6475000</v>
      </c>
      <c r="G1058" s="4" t="str">
        <f>HYPERLINK("http://141.218.60.56/~jnz1568/getInfo.php?workbook=16_08.xlsx&amp;sheet=A0&amp;row=1058&amp;col=7&amp;number=0&amp;sourceID=14","0")</f>
        <v>0</v>
      </c>
    </row>
    <row r="1059" spans="1:7">
      <c r="A1059" s="3">
        <v>16</v>
      </c>
      <c r="B1059" s="3">
        <v>8</v>
      </c>
      <c r="C1059" s="3">
        <v>77</v>
      </c>
      <c r="D1059" s="3">
        <v>47</v>
      </c>
      <c r="E1059" s="3">
        <v>-739.814</v>
      </c>
      <c r="F1059" s="4" t="str">
        <f>HYPERLINK("http://141.218.60.56/~jnz1568/getInfo.php?workbook=16_08.xlsx&amp;sheet=A0&amp;row=1059&amp;col=6&amp;number=7496000&amp;sourceID=14","7496000")</f>
        <v>7496000</v>
      </c>
      <c r="G1059" s="4" t="str">
        <f>HYPERLINK("http://141.218.60.56/~jnz1568/getInfo.php?workbook=16_08.xlsx&amp;sheet=A0&amp;row=1059&amp;col=7&amp;number=0&amp;sourceID=14","0")</f>
        <v>0</v>
      </c>
    </row>
    <row r="1060" spans="1:7">
      <c r="A1060" s="3">
        <v>16</v>
      </c>
      <c r="B1060" s="3">
        <v>8</v>
      </c>
      <c r="C1060" s="3">
        <v>77</v>
      </c>
      <c r="D1060" s="3">
        <v>48</v>
      </c>
      <c r="E1060" s="3">
        <v>-753.622</v>
      </c>
      <c r="F1060" s="4" t="str">
        <f>HYPERLINK("http://141.218.60.56/~jnz1568/getInfo.php?workbook=16_08.xlsx&amp;sheet=A0&amp;row=1060&amp;col=6&amp;number=44860000&amp;sourceID=14","44860000")</f>
        <v>44860000</v>
      </c>
      <c r="G1060" s="4" t="str">
        <f>HYPERLINK("http://141.218.60.56/~jnz1568/getInfo.php?workbook=16_08.xlsx&amp;sheet=A0&amp;row=1060&amp;col=7&amp;number=0&amp;sourceID=14","0")</f>
        <v>0</v>
      </c>
    </row>
    <row r="1061" spans="1:7">
      <c r="A1061" s="3">
        <v>16</v>
      </c>
      <c r="B1061" s="3">
        <v>8</v>
      </c>
      <c r="C1061" s="3">
        <v>77</v>
      </c>
      <c r="D1061" s="3">
        <v>52</v>
      </c>
      <c r="E1061" s="3">
        <v>-804.681</v>
      </c>
      <c r="F1061" s="4" t="str">
        <f>HYPERLINK("http://141.218.60.56/~jnz1568/getInfo.php?workbook=16_08.xlsx&amp;sheet=A0&amp;row=1061&amp;col=6&amp;number=2438000&amp;sourceID=14","2438000")</f>
        <v>2438000</v>
      </c>
      <c r="G1061" s="4" t="str">
        <f>HYPERLINK("http://141.218.60.56/~jnz1568/getInfo.php?workbook=16_08.xlsx&amp;sheet=A0&amp;row=1061&amp;col=7&amp;number=0&amp;sourceID=14","0")</f>
        <v>0</v>
      </c>
    </row>
    <row r="1062" spans="1:7">
      <c r="A1062" s="3">
        <v>16</v>
      </c>
      <c r="B1062" s="3">
        <v>8</v>
      </c>
      <c r="C1062" s="3">
        <v>77</v>
      </c>
      <c r="D1062" s="3">
        <v>53</v>
      </c>
      <c r="E1062" s="3">
        <v>-819.142</v>
      </c>
      <c r="F1062" s="4" t="str">
        <f>HYPERLINK("http://141.218.60.56/~jnz1568/getInfo.php?workbook=16_08.xlsx&amp;sheet=A0&amp;row=1062&amp;col=6&amp;number=3773000&amp;sourceID=14","3773000")</f>
        <v>3773000</v>
      </c>
      <c r="G1062" s="4" t="str">
        <f>HYPERLINK("http://141.218.60.56/~jnz1568/getInfo.php?workbook=16_08.xlsx&amp;sheet=A0&amp;row=1062&amp;col=7&amp;number=0&amp;sourceID=14","0")</f>
        <v>0</v>
      </c>
    </row>
    <row r="1063" spans="1:7">
      <c r="A1063" s="3">
        <v>16</v>
      </c>
      <c r="B1063" s="3">
        <v>8</v>
      </c>
      <c r="C1063" s="3">
        <v>77</v>
      </c>
      <c r="D1063" s="3">
        <v>55</v>
      </c>
      <c r="E1063" s="3">
        <v>-1044.151</v>
      </c>
      <c r="F1063" s="4" t="str">
        <f>HYPERLINK("http://141.218.60.56/~jnz1568/getInfo.php?workbook=16_08.xlsx&amp;sheet=A0&amp;row=1063&amp;col=6&amp;number=1534000&amp;sourceID=14","1534000")</f>
        <v>1534000</v>
      </c>
      <c r="G1063" s="4" t="str">
        <f>HYPERLINK("http://141.218.60.56/~jnz1568/getInfo.php?workbook=16_08.xlsx&amp;sheet=A0&amp;row=1063&amp;col=7&amp;number=0&amp;sourceID=14","0")</f>
        <v>0</v>
      </c>
    </row>
    <row r="1064" spans="1:7">
      <c r="A1064" s="3">
        <v>16</v>
      </c>
      <c r="B1064" s="3">
        <v>8</v>
      </c>
      <c r="C1064" s="3">
        <v>78</v>
      </c>
      <c r="D1064" s="3">
        <v>1</v>
      </c>
      <c r="E1064" s="3">
        <v>46.668</v>
      </c>
      <c r="F1064" s="4" t="str">
        <f>HYPERLINK("http://141.218.60.56/~jnz1568/getInfo.php?workbook=16_08.xlsx&amp;sheet=A0&amp;row=1064&amp;col=6&amp;number=20710&amp;sourceID=14","20710")</f>
        <v>20710</v>
      </c>
      <c r="G1064" s="4" t="str">
        <f>HYPERLINK("http://141.218.60.56/~jnz1568/getInfo.php?workbook=16_08.xlsx&amp;sheet=A0&amp;row=1064&amp;col=7&amp;number=0&amp;sourceID=14","0")</f>
        <v>0</v>
      </c>
    </row>
    <row r="1065" spans="1:7">
      <c r="A1065" s="3">
        <v>16</v>
      </c>
      <c r="B1065" s="3">
        <v>8</v>
      </c>
      <c r="C1065" s="3">
        <v>78</v>
      </c>
      <c r="D1065" s="3">
        <v>2</v>
      </c>
      <c r="E1065" s="3">
        <v>46.843</v>
      </c>
      <c r="F1065" s="4" t="str">
        <f>HYPERLINK("http://141.218.60.56/~jnz1568/getInfo.php?workbook=16_08.xlsx&amp;sheet=A0&amp;row=1065&amp;col=6&amp;number=494600000000&amp;sourceID=14","494600000000")</f>
        <v>494600000000</v>
      </c>
      <c r="G1065" s="4" t="str">
        <f>HYPERLINK("http://141.218.60.56/~jnz1568/getInfo.php?workbook=16_08.xlsx&amp;sheet=A0&amp;row=1065&amp;col=7&amp;number=0&amp;sourceID=14","0")</f>
        <v>0</v>
      </c>
    </row>
    <row r="1066" spans="1:7">
      <c r="A1066" s="3">
        <v>16</v>
      </c>
      <c r="B1066" s="3">
        <v>8</v>
      </c>
      <c r="C1066" s="3">
        <v>78</v>
      </c>
      <c r="D1066" s="3">
        <v>6</v>
      </c>
      <c r="E1066" s="3">
        <v>58.9</v>
      </c>
      <c r="F1066" s="4" t="str">
        <f>HYPERLINK("http://141.218.60.56/~jnz1568/getInfo.php?workbook=16_08.xlsx&amp;sheet=A0&amp;row=1066&amp;col=6&amp;number=2177000&amp;sourceID=14","2177000")</f>
        <v>2177000</v>
      </c>
      <c r="G1066" s="4" t="str">
        <f>HYPERLINK("http://141.218.60.56/~jnz1568/getInfo.php?workbook=16_08.xlsx&amp;sheet=A0&amp;row=1066&amp;col=7&amp;number=0&amp;sourceID=14","0")</f>
        <v>0</v>
      </c>
    </row>
    <row r="1067" spans="1:7">
      <c r="A1067" s="3">
        <v>16</v>
      </c>
      <c r="B1067" s="3">
        <v>8</v>
      </c>
      <c r="C1067" s="3">
        <v>78</v>
      </c>
      <c r="D1067" s="3">
        <v>17</v>
      </c>
      <c r="E1067" s="3">
        <v>363.708</v>
      </c>
      <c r="F1067" s="4" t="str">
        <f>HYPERLINK("http://141.218.60.56/~jnz1568/getInfo.php?workbook=16_08.xlsx&amp;sheet=A0&amp;row=1067&amp;col=6&amp;number=373100&amp;sourceID=14","373100")</f>
        <v>373100</v>
      </c>
      <c r="G1067" s="4" t="str">
        <f>HYPERLINK("http://141.218.60.56/~jnz1568/getInfo.php?workbook=16_08.xlsx&amp;sheet=A0&amp;row=1067&amp;col=7&amp;number=0&amp;sourceID=14","0")</f>
        <v>0</v>
      </c>
    </row>
    <row r="1068" spans="1:7">
      <c r="A1068" s="3">
        <v>16</v>
      </c>
      <c r="B1068" s="3">
        <v>8</v>
      </c>
      <c r="C1068" s="3">
        <v>78</v>
      </c>
      <c r="D1068" s="3">
        <v>20</v>
      </c>
      <c r="E1068" s="3">
        <v>400.032</v>
      </c>
      <c r="F1068" s="4" t="str">
        <f>HYPERLINK("http://141.218.60.56/~jnz1568/getInfo.php?workbook=16_08.xlsx&amp;sheet=A0&amp;row=1068&amp;col=6&amp;number=89420000&amp;sourceID=14","89420000")</f>
        <v>89420000</v>
      </c>
      <c r="G1068" s="4" t="str">
        <f>HYPERLINK("http://141.218.60.56/~jnz1568/getInfo.php?workbook=16_08.xlsx&amp;sheet=A0&amp;row=1068&amp;col=7&amp;number=0&amp;sourceID=14","0")</f>
        <v>0</v>
      </c>
    </row>
    <row r="1069" spans="1:7">
      <c r="A1069" s="3">
        <v>16</v>
      </c>
      <c r="B1069" s="3">
        <v>8</v>
      </c>
      <c r="C1069" s="3">
        <v>78</v>
      </c>
      <c r="D1069" s="3">
        <v>25</v>
      </c>
      <c r="E1069" s="3">
        <v>398.403</v>
      </c>
      <c r="F1069" s="4" t="str">
        <f>HYPERLINK("http://141.218.60.56/~jnz1568/getInfo.php?workbook=16_08.xlsx&amp;sheet=A0&amp;row=1069&amp;col=6&amp;number=43280&amp;sourceID=14","43280")</f>
        <v>43280</v>
      </c>
      <c r="G1069" s="4" t="str">
        <f>HYPERLINK("http://141.218.60.56/~jnz1568/getInfo.php?workbook=16_08.xlsx&amp;sheet=A0&amp;row=1069&amp;col=7&amp;number=0&amp;sourceID=14","0")</f>
        <v>0</v>
      </c>
    </row>
    <row r="1070" spans="1:7">
      <c r="A1070" s="3">
        <v>16</v>
      </c>
      <c r="B1070" s="3">
        <v>8</v>
      </c>
      <c r="C1070" s="3">
        <v>78</v>
      </c>
      <c r="D1070" s="3">
        <v>28</v>
      </c>
      <c r="E1070" s="3">
        <v>516.54</v>
      </c>
      <c r="F1070" s="4" t="str">
        <f>HYPERLINK("http://141.218.60.56/~jnz1568/getInfo.php?workbook=16_08.xlsx&amp;sheet=A0&amp;row=1070&amp;col=6&amp;number=21710000&amp;sourceID=14","21710000")</f>
        <v>21710000</v>
      </c>
      <c r="G1070" s="4" t="str">
        <f>HYPERLINK("http://141.218.60.56/~jnz1568/getInfo.php?workbook=16_08.xlsx&amp;sheet=A0&amp;row=1070&amp;col=7&amp;number=0&amp;sourceID=14","0")</f>
        <v>0</v>
      </c>
    </row>
    <row r="1071" spans="1:7">
      <c r="A1071" s="3">
        <v>16</v>
      </c>
      <c r="B1071" s="3">
        <v>8</v>
      </c>
      <c r="C1071" s="3">
        <v>78</v>
      </c>
      <c r="D1071" s="3">
        <v>30</v>
      </c>
      <c r="E1071" s="3">
        <v>-503.75</v>
      </c>
      <c r="F1071" s="4" t="str">
        <f>HYPERLINK("http://141.218.60.56/~jnz1568/getInfo.php?workbook=16_08.xlsx&amp;sheet=A0&amp;row=1071&amp;col=6&amp;number=6296000&amp;sourceID=14","6296000")</f>
        <v>6296000</v>
      </c>
      <c r="G1071" s="4" t="str">
        <f>HYPERLINK("http://141.218.60.56/~jnz1568/getInfo.php?workbook=16_08.xlsx&amp;sheet=A0&amp;row=1071&amp;col=7&amp;number=0&amp;sourceID=14","0")</f>
        <v>0</v>
      </c>
    </row>
    <row r="1072" spans="1:7">
      <c r="A1072" s="3">
        <v>16</v>
      </c>
      <c r="B1072" s="3">
        <v>8</v>
      </c>
      <c r="C1072" s="3">
        <v>78</v>
      </c>
      <c r="D1072" s="3">
        <v>36</v>
      </c>
      <c r="E1072" s="3">
        <v>664.161</v>
      </c>
      <c r="F1072" s="4" t="str">
        <f>HYPERLINK("http://141.218.60.56/~jnz1568/getInfo.php?workbook=16_08.xlsx&amp;sheet=A0&amp;row=1072&amp;col=6&amp;number=114500000&amp;sourceID=14","114500000")</f>
        <v>114500000</v>
      </c>
      <c r="G1072" s="4" t="str">
        <f>HYPERLINK("http://141.218.60.56/~jnz1568/getInfo.php?workbook=16_08.xlsx&amp;sheet=A0&amp;row=1072&amp;col=7&amp;number=0&amp;sourceID=14","0")</f>
        <v>0</v>
      </c>
    </row>
    <row r="1073" spans="1:7">
      <c r="A1073" s="3">
        <v>16</v>
      </c>
      <c r="B1073" s="3">
        <v>8</v>
      </c>
      <c r="C1073" s="3">
        <v>78</v>
      </c>
      <c r="D1073" s="3">
        <v>43</v>
      </c>
      <c r="E1073" s="3">
        <v>-646.118</v>
      </c>
      <c r="F1073" s="4" t="str">
        <f>HYPERLINK("http://141.218.60.56/~jnz1568/getInfo.php?workbook=16_08.xlsx&amp;sheet=A0&amp;row=1073&amp;col=6&amp;number=1735000000&amp;sourceID=14","1735000000")</f>
        <v>1735000000</v>
      </c>
      <c r="G1073" s="4" t="str">
        <f>HYPERLINK("http://141.218.60.56/~jnz1568/getInfo.php?workbook=16_08.xlsx&amp;sheet=A0&amp;row=1073&amp;col=7&amp;number=0&amp;sourceID=14","0")</f>
        <v>0</v>
      </c>
    </row>
    <row r="1074" spans="1:7">
      <c r="A1074" s="3">
        <v>16</v>
      </c>
      <c r="B1074" s="3">
        <v>8</v>
      </c>
      <c r="C1074" s="3">
        <v>78</v>
      </c>
      <c r="D1074" s="3">
        <v>45</v>
      </c>
      <c r="E1074" s="3">
        <v>-700.22</v>
      </c>
      <c r="F1074" s="4" t="str">
        <f>HYPERLINK("http://141.218.60.56/~jnz1568/getInfo.php?workbook=16_08.xlsx&amp;sheet=A0&amp;row=1074&amp;col=6&amp;number=36940000&amp;sourceID=14","36940000")</f>
        <v>36940000</v>
      </c>
      <c r="G1074" s="4" t="str">
        <f>HYPERLINK("http://141.218.60.56/~jnz1568/getInfo.php?workbook=16_08.xlsx&amp;sheet=A0&amp;row=1074&amp;col=7&amp;number=0&amp;sourceID=14","0")</f>
        <v>0</v>
      </c>
    </row>
    <row r="1075" spans="1:7">
      <c r="A1075" s="3">
        <v>16</v>
      </c>
      <c r="B1075" s="3">
        <v>8</v>
      </c>
      <c r="C1075" s="3">
        <v>78</v>
      </c>
      <c r="D1075" s="3">
        <v>48</v>
      </c>
      <c r="E1075" s="3">
        <v>-755.823</v>
      </c>
      <c r="F1075" s="4" t="str">
        <f>HYPERLINK("http://141.218.60.56/~jnz1568/getInfo.php?workbook=16_08.xlsx&amp;sheet=A0&amp;row=1075&amp;col=6&amp;number=563600&amp;sourceID=14","563600")</f>
        <v>563600</v>
      </c>
      <c r="G1075" s="4" t="str">
        <f>HYPERLINK("http://141.218.60.56/~jnz1568/getInfo.php?workbook=16_08.xlsx&amp;sheet=A0&amp;row=1075&amp;col=7&amp;number=0&amp;sourceID=14","0")</f>
        <v>0</v>
      </c>
    </row>
    <row r="1076" spans="1:7">
      <c r="A1076" s="3">
        <v>16</v>
      </c>
      <c r="B1076" s="3">
        <v>8</v>
      </c>
      <c r="C1076" s="3">
        <v>78</v>
      </c>
      <c r="D1076" s="3">
        <v>53</v>
      </c>
      <c r="E1076" s="3">
        <v>-821.742</v>
      </c>
      <c r="F1076" s="4" t="str">
        <f>HYPERLINK("http://141.218.60.56/~jnz1568/getInfo.php?workbook=16_08.xlsx&amp;sheet=A0&amp;row=1076&amp;col=6&amp;number=554200000&amp;sourceID=14","554200000")</f>
        <v>554200000</v>
      </c>
      <c r="G1076" s="4" t="str">
        <f>HYPERLINK("http://141.218.60.56/~jnz1568/getInfo.php?workbook=16_08.xlsx&amp;sheet=A0&amp;row=1076&amp;col=7&amp;number=0&amp;sourceID=14","0")</f>
        <v>0</v>
      </c>
    </row>
    <row r="1077" spans="1:7">
      <c r="A1077" s="3">
        <v>16</v>
      </c>
      <c r="B1077" s="3">
        <v>8</v>
      </c>
      <c r="C1077" s="3">
        <v>79</v>
      </c>
      <c r="D1077" s="3">
        <v>1</v>
      </c>
      <c r="E1077" s="3">
        <v>46.624</v>
      </c>
      <c r="F1077" s="4" t="str">
        <f>HYPERLINK("http://141.218.60.56/~jnz1568/getInfo.php?workbook=16_08.xlsx&amp;sheet=A0&amp;row=1077&amp;col=6&amp;number=4779000000&amp;sourceID=14","4779000000")</f>
        <v>4779000000</v>
      </c>
      <c r="G1077" s="4" t="str">
        <f>HYPERLINK("http://141.218.60.56/~jnz1568/getInfo.php?workbook=16_08.xlsx&amp;sheet=A0&amp;row=1077&amp;col=7&amp;number=0&amp;sourceID=14","0")</f>
        <v>0</v>
      </c>
    </row>
    <row r="1078" spans="1:7">
      <c r="A1078" s="3">
        <v>16</v>
      </c>
      <c r="B1078" s="3">
        <v>8</v>
      </c>
      <c r="C1078" s="3">
        <v>79</v>
      </c>
      <c r="D1078" s="3">
        <v>2</v>
      </c>
      <c r="E1078" s="3">
        <v>46.799</v>
      </c>
      <c r="F1078" s="4" t="str">
        <f>HYPERLINK("http://141.218.60.56/~jnz1568/getInfo.php?workbook=16_08.xlsx&amp;sheet=A0&amp;row=1078&amp;col=6&amp;number=201900000000&amp;sourceID=14","201900000000")</f>
        <v>201900000000</v>
      </c>
      <c r="G1078" s="4" t="str">
        <f>HYPERLINK("http://141.218.60.56/~jnz1568/getInfo.php?workbook=16_08.xlsx&amp;sheet=A0&amp;row=1078&amp;col=7&amp;number=0&amp;sourceID=14","0")</f>
        <v>0</v>
      </c>
    </row>
    <row r="1079" spans="1:7">
      <c r="A1079" s="3">
        <v>16</v>
      </c>
      <c r="B1079" s="3">
        <v>8</v>
      </c>
      <c r="C1079" s="3">
        <v>79</v>
      </c>
      <c r="D1079" s="3">
        <v>3</v>
      </c>
      <c r="E1079" s="3">
        <v>46.857</v>
      </c>
      <c r="F1079" s="4" t="str">
        <f>HYPERLINK("http://141.218.60.56/~jnz1568/getInfo.php?workbook=16_08.xlsx&amp;sheet=A0&amp;row=1079&amp;col=6&amp;number=173900000000&amp;sourceID=14","173900000000")</f>
        <v>173900000000</v>
      </c>
      <c r="G1079" s="4" t="str">
        <f>HYPERLINK("http://141.218.60.56/~jnz1568/getInfo.php?workbook=16_08.xlsx&amp;sheet=A0&amp;row=1079&amp;col=7&amp;number=0&amp;sourceID=14","0")</f>
        <v>0</v>
      </c>
    </row>
    <row r="1080" spans="1:7">
      <c r="A1080" s="3">
        <v>16</v>
      </c>
      <c r="B1080" s="3">
        <v>8</v>
      </c>
      <c r="C1080" s="3">
        <v>79</v>
      </c>
      <c r="D1080" s="3">
        <v>4</v>
      </c>
      <c r="E1080" s="3">
        <v>47.927</v>
      </c>
      <c r="F1080" s="4" t="str">
        <f>HYPERLINK("http://141.218.60.56/~jnz1568/getInfo.php?workbook=16_08.xlsx&amp;sheet=A0&amp;row=1080&amp;col=6&amp;number=11550000000&amp;sourceID=14","11550000000")</f>
        <v>11550000000</v>
      </c>
      <c r="G1080" s="4" t="str">
        <f>HYPERLINK("http://141.218.60.56/~jnz1568/getInfo.php?workbook=16_08.xlsx&amp;sheet=A0&amp;row=1080&amp;col=7&amp;number=0&amp;sourceID=14","0")</f>
        <v>0</v>
      </c>
    </row>
    <row r="1081" spans="1:7">
      <c r="A1081" s="3">
        <v>16</v>
      </c>
      <c r="B1081" s="3">
        <v>8</v>
      </c>
      <c r="C1081" s="3">
        <v>79</v>
      </c>
      <c r="D1081" s="3">
        <v>5</v>
      </c>
      <c r="E1081" s="3">
        <v>49.454</v>
      </c>
      <c r="F1081" s="4" t="str">
        <f>HYPERLINK("http://141.218.60.56/~jnz1568/getInfo.php?workbook=16_08.xlsx&amp;sheet=A0&amp;row=1081&amp;col=6&amp;number=10230000000&amp;sourceID=14","10230000000")</f>
        <v>10230000000</v>
      </c>
      <c r="G1081" s="4" t="str">
        <f>HYPERLINK("http://141.218.60.56/~jnz1568/getInfo.php?workbook=16_08.xlsx&amp;sheet=A0&amp;row=1081&amp;col=7&amp;number=0&amp;sourceID=14","0")</f>
        <v>0</v>
      </c>
    </row>
    <row r="1082" spans="1:7">
      <c r="A1082" s="3">
        <v>16</v>
      </c>
      <c r="B1082" s="3">
        <v>8</v>
      </c>
      <c r="C1082" s="3">
        <v>79</v>
      </c>
      <c r="D1082" s="3">
        <v>6</v>
      </c>
      <c r="E1082" s="3">
        <v>58.83</v>
      </c>
      <c r="F1082" s="4" t="str">
        <f>HYPERLINK("http://141.218.60.56/~jnz1568/getInfo.php?workbook=16_08.xlsx&amp;sheet=A0&amp;row=1082&amp;col=6&amp;number=1494000&amp;sourceID=14","1494000")</f>
        <v>1494000</v>
      </c>
      <c r="G1082" s="4" t="str">
        <f>HYPERLINK("http://141.218.60.56/~jnz1568/getInfo.php?workbook=16_08.xlsx&amp;sheet=A0&amp;row=1082&amp;col=7&amp;number=0&amp;sourceID=14","0")</f>
        <v>0</v>
      </c>
    </row>
    <row r="1083" spans="1:7">
      <c r="A1083" s="3">
        <v>16</v>
      </c>
      <c r="B1083" s="3">
        <v>8</v>
      </c>
      <c r="C1083" s="3">
        <v>79</v>
      </c>
      <c r="D1083" s="3">
        <v>7</v>
      </c>
      <c r="E1083" s="3">
        <v>59.074</v>
      </c>
      <c r="F1083" s="4" t="str">
        <f>HYPERLINK("http://141.218.60.56/~jnz1568/getInfo.php?workbook=16_08.xlsx&amp;sheet=A0&amp;row=1083&amp;col=6&amp;number=555800&amp;sourceID=14","555800")</f>
        <v>555800</v>
      </c>
      <c r="G1083" s="4" t="str">
        <f>HYPERLINK("http://141.218.60.56/~jnz1568/getInfo.php?workbook=16_08.xlsx&amp;sheet=A0&amp;row=1083&amp;col=7&amp;number=0&amp;sourceID=14","0")</f>
        <v>0</v>
      </c>
    </row>
    <row r="1084" spans="1:7">
      <c r="A1084" s="3">
        <v>16</v>
      </c>
      <c r="B1084" s="3">
        <v>8</v>
      </c>
      <c r="C1084" s="3">
        <v>79</v>
      </c>
      <c r="D1084" s="3">
        <v>9</v>
      </c>
      <c r="E1084" s="3">
        <v>65.414</v>
      </c>
      <c r="F1084" s="4" t="str">
        <f>HYPERLINK("http://141.218.60.56/~jnz1568/getInfo.php?workbook=16_08.xlsx&amp;sheet=A0&amp;row=1084&amp;col=6&amp;number=1306&amp;sourceID=14","1306")</f>
        <v>1306</v>
      </c>
      <c r="G1084" s="4" t="str">
        <f>HYPERLINK("http://141.218.60.56/~jnz1568/getInfo.php?workbook=16_08.xlsx&amp;sheet=A0&amp;row=1084&amp;col=7&amp;number=0&amp;sourceID=14","0")</f>
        <v>0</v>
      </c>
    </row>
    <row r="1085" spans="1:7">
      <c r="A1085" s="3">
        <v>16</v>
      </c>
      <c r="B1085" s="3">
        <v>8</v>
      </c>
      <c r="C1085" s="3">
        <v>79</v>
      </c>
      <c r="D1085" s="3">
        <v>10</v>
      </c>
      <c r="E1085" s="3">
        <v>90.45</v>
      </c>
      <c r="F1085" s="4" t="str">
        <f>HYPERLINK("http://141.218.60.56/~jnz1568/getInfo.php?workbook=16_08.xlsx&amp;sheet=A0&amp;row=1085&amp;col=6&amp;number=529800&amp;sourceID=14","529800")</f>
        <v>529800</v>
      </c>
      <c r="G1085" s="4" t="str">
        <f>HYPERLINK("http://141.218.60.56/~jnz1568/getInfo.php?workbook=16_08.xlsx&amp;sheet=A0&amp;row=1085&amp;col=7&amp;number=0&amp;sourceID=14","0")</f>
        <v>0</v>
      </c>
    </row>
    <row r="1086" spans="1:7">
      <c r="A1086" s="3">
        <v>16</v>
      </c>
      <c r="B1086" s="3">
        <v>8</v>
      </c>
      <c r="C1086" s="3">
        <v>79</v>
      </c>
      <c r="D1086" s="3">
        <v>15</v>
      </c>
      <c r="E1086" s="3">
        <v>334.507</v>
      </c>
      <c r="F1086" s="4" t="str">
        <f>HYPERLINK("http://141.218.60.56/~jnz1568/getInfo.php?workbook=16_08.xlsx&amp;sheet=A0&amp;row=1086&amp;col=6&amp;number=4950&amp;sourceID=14","4950")</f>
        <v>4950</v>
      </c>
      <c r="G1086" s="4" t="str">
        <f>HYPERLINK("http://141.218.60.56/~jnz1568/getInfo.php?workbook=16_08.xlsx&amp;sheet=A0&amp;row=1086&amp;col=7&amp;number=0&amp;sourceID=14","0")</f>
        <v>0</v>
      </c>
    </row>
    <row r="1087" spans="1:7">
      <c r="A1087" s="3">
        <v>16</v>
      </c>
      <c r="B1087" s="3">
        <v>8</v>
      </c>
      <c r="C1087" s="3">
        <v>79</v>
      </c>
      <c r="D1087" s="3">
        <v>17</v>
      </c>
      <c r="E1087" s="3">
        <v>361.05</v>
      </c>
      <c r="F1087" s="4" t="str">
        <f>HYPERLINK("http://141.218.60.56/~jnz1568/getInfo.php?workbook=16_08.xlsx&amp;sheet=A0&amp;row=1087&amp;col=6&amp;number=729700&amp;sourceID=14","729700")</f>
        <v>729700</v>
      </c>
      <c r="G1087" s="4" t="str">
        <f>HYPERLINK("http://141.218.60.56/~jnz1568/getInfo.php?workbook=16_08.xlsx&amp;sheet=A0&amp;row=1087&amp;col=7&amp;number=0&amp;sourceID=14","0")</f>
        <v>0</v>
      </c>
    </row>
    <row r="1088" spans="1:7">
      <c r="A1088" s="3">
        <v>16</v>
      </c>
      <c r="B1088" s="3">
        <v>8</v>
      </c>
      <c r="C1088" s="3">
        <v>79</v>
      </c>
      <c r="D1088" s="3">
        <v>18</v>
      </c>
      <c r="E1088" s="3">
        <v>361.872</v>
      </c>
      <c r="F1088" s="4" t="str">
        <f>HYPERLINK("http://141.218.60.56/~jnz1568/getInfo.php?workbook=16_08.xlsx&amp;sheet=A0&amp;row=1088&amp;col=6&amp;number=515200&amp;sourceID=14","515200")</f>
        <v>515200</v>
      </c>
      <c r="G1088" s="4" t="str">
        <f>HYPERLINK("http://141.218.60.56/~jnz1568/getInfo.php?workbook=16_08.xlsx&amp;sheet=A0&amp;row=1088&amp;col=7&amp;number=0&amp;sourceID=14","0")</f>
        <v>0</v>
      </c>
    </row>
    <row r="1089" spans="1:7">
      <c r="A1089" s="3">
        <v>16</v>
      </c>
      <c r="B1089" s="3">
        <v>8</v>
      </c>
      <c r="C1089" s="3">
        <v>79</v>
      </c>
      <c r="D1089" s="3">
        <v>20</v>
      </c>
      <c r="E1089" s="3">
        <v>396.819</v>
      </c>
      <c r="F1089" s="4" t="str">
        <f>HYPERLINK("http://141.218.60.56/~jnz1568/getInfo.php?workbook=16_08.xlsx&amp;sheet=A0&amp;row=1089&amp;col=6&amp;number=78640000&amp;sourceID=14","78640000")</f>
        <v>78640000</v>
      </c>
      <c r="G1089" s="4" t="str">
        <f>HYPERLINK("http://141.218.60.56/~jnz1568/getInfo.php?workbook=16_08.xlsx&amp;sheet=A0&amp;row=1089&amp;col=7&amp;number=0&amp;sourceID=14","0")</f>
        <v>0</v>
      </c>
    </row>
    <row r="1090" spans="1:7">
      <c r="A1090" s="3">
        <v>16</v>
      </c>
      <c r="B1090" s="3">
        <v>8</v>
      </c>
      <c r="C1090" s="3">
        <v>79</v>
      </c>
      <c r="D1090" s="3">
        <v>21</v>
      </c>
      <c r="E1090" s="3">
        <v>397.41</v>
      </c>
      <c r="F1090" s="4" t="str">
        <f>HYPERLINK("http://141.218.60.56/~jnz1568/getInfo.php?workbook=16_08.xlsx&amp;sheet=A0&amp;row=1090&amp;col=6&amp;number=20800000&amp;sourceID=14","20800000")</f>
        <v>20800000</v>
      </c>
      <c r="G1090" s="4" t="str">
        <f>HYPERLINK("http://141.218.60.56/~jnz1568/getInfo.php?workbook=16_08.xlsx&amp;sheet=A0&amp;row=1090&amp;col=7&amp;number=0&amp;sourceID=14","0")</f>
        <v>0</v>
      </c>
    </row>
    <row r="1091" spans="1:7">
      <c r="A1091" s="3">
        <v>16</v>
      </c>
      <c r="B1091" s="3">
        <v>8</v>
      </c>
      <c r="C1091" s="3">
        <v>79</v>
      </c>
      <c r="D1091" s="3">
        <v>22</v>
      </c>
      <c r="E1091" s="3">
        <v>-399.174</v>
      </c>
      <c r="F1091" s="4" t="str">
        <f>HYPERLINK("http://141.218.60.56/~jnz1568/getInfo.php?workbook=16_08.xlsx&amp;sheet=A0&amp;row=1091&amp;col=6&amp;number=54770000&amp;sourceID=14","54770000")</f>
        <v>54770000</v>
      </c>
      <c r="G1091" s="4" t="str">
        <f>HYPERLINK("http://141.218.60.56/~jnz1568/getInfo.php?workbook=16_08.xlsx&amp;sheet=A0&amp;row=1091&amp;col=7&amp;number=0&amp;sourceID=14","0")</f>
        <v>0</v>
      </c>
    </row>
    <row r="1092" spans="1:7">
      <c r="A1092" s="3">
        <v>16</v>
      </c>
      <c r="B1092" s="3">
        <v>8</v>
      </c>
      <c r="C1092" s="3">
        <v>79</v>
      </c>
      <c r="D1092" s="3">
        <v>24</v>
      </c>
      <c r="E1092" s="3">
        <v>392.91</v>
      </c>
      <c r="F1092" s="4" t="str">
        <f>HYPERLINK("http://141.218.60.56/~jnz1568/getInfo.php?workbook=16_08.xlsx&amp;sheet=A0&amp;row=1092&amp;col=6&amp;number=11790&amp;sourceID=14","11790")</f>
        <v>11790</v>
      </c>
      <c r="G1092" s="4" t="str">
        <f>HYPERLINK("http://141.218.60.56/~jnz1568/getInfo.php?workbook=16_08.xlsx&amp;sheet=A0&amp;row=1092&amp;col=7&amp;number=0&amp;sourceID=14","0")</f>
        <v>0</v>
      </c>
    </row>
    <row r="1093" spans="1:7">
      <c r="A1093" s="3">
        <v>16</v>
      </c>
      <c r="B1093" s="3">
        <v>8</v>
      </c>
      <c r="C1093" s="3">
        <v>79</v>
      </c>
      <c r="D1093" s="3">
        <v>25</v>
      </c>
      <c r="E1093" s="3">
        <v>395.216</v>
      </c>
      <c r="F1093" s="4" t="str">
        <f>HYPERLINK("http://141.218.60.56/~jnz1568/getInfo.php?workbook=16_08.xlsx&amp;sheet=A0&amp;row=1093&amp;col=6&amp;number=30920&amp;sourceID=14","30920")</f>
        <v>30920</v>
      </c>
      <c r="G1093" s="4" t="str">
        <f>HYPERLINK("http://141.218.60.56/~jnz1568/getInfo.php?workbook=16_08.xlsx&amp;sheet=A0&amp;row=1093&amp;col=7&amp;number=0&amp;sourceID=14","0")</f>
        <v>0</v>
      </c>
    </row>
    <row r="1094" spans="1:7">
      <c r="A1094" s="3">
        <v>16</v>
      </c>
      <c r="B1094" s="3">
        <v>8</v>
      </c>
      <c r="C1094" s="3">
        <v>79</v>
      </c>
      <c r="D1094" s="3">
        <v>27</v>
      </c>
      <c r="E1094" s="3">
        <v>-514.272</v>
      </c>
      <c r="F1094" s="4" t="str">
        <f>HYPERLINK("http://141.218.60.56/~jnz1568/getInfo.php?workbook=16_08.xlsx&amp;sheet=A0&amp;row=1094&amp;col=6&amp;number=54890000&amp;sourceID=14","54890000")</f>
        <v>54890000</v>
      </c>
      <c r="G1094" s="4" t="str">
        <f>HYPERLINK("http://141.218.60.56/~jnz1568/getInfo.php?workbook=16_08.xlsx&amp;sheet=A0&amp;row=1094&amp;col=7&amp;number=0&amp;sourceID=14","0")</f>
        <v>0</v>
      </c>
    </row>
    <row r="1095" spans="1:7">
      <c r="A1095" s="3">
        <v>16</v>
      </c>
      <c r="B1095" s="3">
        <v>8</v>
      </c>
      <c r="C1095" s="3">
        <v>79</v>
      </c>
      <c r="D1095" s="3">
        <v>28</v>
      </c>
      <c r="E1095" s="3">
        <v>511.195</v>
      </c>
      <c r="F1095" s="4" t="str">
        <f>HYPERLINK("http://141.218.60.56/~jnz1568/getInfo.php?workbook=16_08.xlsx&amp;sheet=A0&amp;row=1095&amp;col=6&amp;number=13710000&amp;sourceID=14","13710000")</f>
        <v>13710000</v>
      </c>
      <c r="G1095" s="4" t="str">
        <f>HYPERLINK("http://141.218.60.56/~jnz1568/getInfo.php?workbook=16_08.xlsx&amp;sheet=A0&amp;row=1095&amp;col=7&amp;number=0&amp;sourceID=14","0")</f>
        <v>0</v>
      </c>
    </row>
    <row r="1096" spans="1:7">
      <c r="A1096" s="3">
        <v>16</v>
      </c>
      <c r="B1096" s="3">
        <v>8</v>
      </c>
      <c r="C1096" s="3">
        <v>79</v>
      </c>
      <c r="D1096" s="3">
        <v>30</v>
      </c>
      <c r="E1096" s="3">
        <v>-499.457</v>
      </c>
      <c r="F1096" s="4" t="str">
        <f>HYPERLINK("http://141.218.60.56/~jnz1568/getInfo.php?workbook=16_08.xlsx&amp;sheet=A0&amp;row=1096&amp;col=6&amp;number=31340000&amp;sourceID=14","31340000")</f>
        <v>31340000</v>
      </c>
      <c r="G1096" s="4" t="str">
        <f>HYPERLINK("http://141.218.60.56/~jnz1568/getInfo.php?workbook=16_08.xlsx&amp;sheet=A0&amp;row=1096&amp;col=7&amp;number=0&amp;sourceID=14","0")</f>
        <v>0</v>
      </c>
    </row>
    <row r="1097" spans="1:7">
      <c r="A1097" s="3">
        <v>16</v>
      </c>
      <c r="B1097" s="3">
        <v>8</v>
      </c>
      <c r="C1097" s="3">
        <v>79</v>
      </c>
      <c r="D1097" s="3">
        <v>31</v>
      </c>
      <c r="E1097" s="3">
        <v>533.74</v>
      </c>
      <c r="F1097" s="4" t="str">
        <f>HYPERLINK("http://141.218.60.56/~jnz1568/getInfo.php?workbook=16_08.xlsx&amp;sheet=A0&amp;row=1097&amp;col=6&amp;number=3283000&amp;sourceID=14","3283000")</f>
        <v>3283000</v>
      </c>
      <c r="G1097" s="4" t="str">
        <f>HYPERLINK("http://141.218.60.56/~jnz1568/getInfo.php?workbook=16_08.xlsx&amp;sheet=A0&amp;row=1097&amp;col=7&amp;number=0&amp;sourceID=14","0")</f>
        <v>0</v>
      </c>
    </row>
    <row r="1098" spans="1:7">
      <c r="A1098" s="3">
        <v>16</v>
      </c>
      <c r="B1098" s="3">
        <v>8</v>
      </c>
      <c r="C1098" s="3">
        <v>79</v>
      </c>
      <c r="D1098" s="3">
        <v>35</v>
      </c>
      <c r="E1098" s="3">
        <v>-665.623</v>
      </c>
      <c r="F1098" s="4" t="str">
        <f>HYPERLINK("http://141.218.60.56/~jnz1568/getInfo.php?workbook=16_08.xlsx&amp;sheet=A0&amp;row=1098&amp;col=6&amp;number=49450000&amp;sourceID=14","49450000")</f>
        <v>49450000</v>
      </c>
      <c r="G1098" s="4" t="str">
        <f>HYPERLINK("http://141.218.60.56/~jnz1568/getInfo.php?workbook=16_08.xlsx&amp;sheet=A0&amp;row=1098&amp;col=7&amp;number=0&amp;sourceID=14","0")</f>
        <v>0</v>
      </c>
    </row>
    <row r="1099" spans="1:7">
      <c r="A1099" s="3">
        <v>16</v>
      </c>
      <c r="B1099" s="3">
        <v>8</v>
      </c>
      <c r="C1099" s="3">
        <v>79</v>
      </c>
      <c r="D1099" s="3">
        <v>36</v>
      </c>
      <c r="E1099" s="3">
        <v>655.351</v>
      </c>
      <c r="F1099" s="4" t="str">
        <f>HYPERLINK("http://141.218.60.56/~jnz1568/getInfo.php?workbook=16_08.xlsx&amp;sheet=A0&amp;row=1099&amp;col=6&amp;number=368500000&amp;sourceID=14","368500000")</f>
        <v>368500000</v>
      </c>
      <c r="G1099" s="4" t="str">
        <f>HYPERLINK("http://141.218.60.56/~jnz1568/getInfo.php?workbook=16_08.xlsx&amp;sheet=A0&amp;row=1099&amp;col=7&amp;number=0&amp;sourceID=14","0")</f>
        <v>0</v>
      </c>
    </row>
    <row r="1100" spans="1:7">
      <c r="A1100" s="3">
        <v>16</v>
      </c>
      <c r="B1100" s="3">
        <v>8</v>
      </c>
      <c r="C1100" s="3">
        <v>79</v>
      </c>
      <c r="D1100" s="3">
        <v>37</v>
      </c>
      <c r="E1100" s="3">
        <v>648.736</v>
      </c>
      <c r="F1100" s="4" t="str">
        <f>HYPERLINK("http://141.218.60.56/~jnz1568/getInfo.php?workbook=16_08.xlsx&amp;sheet=A0&amp;row=1100&amp;col=6&amp;number=190200000&amp;sourceID=14","190200000")</f>
        <v>190200000</v>
      </c>
      <c r="G1100" s="4" t="str">
        <f>HYPERLINK("http://141.218.60.56/~jnz1568/getInfo.php?workbook=16_08.xlsx&amp;sheet=A0&amp;row=1100&amp;col=7&amp;number=0&amp;sourceID=14","0")</f>
        <v>0</v>
      </c>
    </row>
    <row r="1101" spans="1:7">
      <c r="A1101" s="3">
        <v>16</v>
      </c>
      <c r="B1101" s="3">
        <v>8</v>
      </c>
      <c r="C1101" s="3">
        <v>79</v>
      </c>
      <c r="D1101" s="3">
        <v>43</v>
      </c>
      <c r="E1101" s="3">
        <v>-639.071</v>
      </c>
      <c r="F1101" s="4" t="str">
        <f>HYPERLINK("http://141.218.60.56/~jnz1568/getInfo.php?workbook=16_08.xlsx&amp;sheet=A0&amp;row=1101&amp;col=6&amp;number=1240000000&amp;sourceID=14","1240000000")</f>
        <v>1240000000</v>
      </c>
      <c r="G1101" s="4" t="str">
        <f>HYPERLINK("http://141.218.60.56/~jnz1568/getInfo.php?workbook=16_08.xlsx&amp;sheet=A0&amp;row=1101&amp;col=7&amp;number=0&amp;sourceID=14","0")</f>
        <v>0</v>
      </c>
    </row>
    <row r="1102" spans="1:7">
      <c r="A1102" s="3">
        <v>16</v>
      </c>
      <c r="B1102" s="3">
        <v>8</v>
      </c>
      <c r="C1102" s="3">
        <v>79</v>
      </c>
      <c r="D1102" s="3">
        <v>44</v>
      </c>
      <c r="E1102" s="3">
        <v>655.351</v>
      </c>
      <c r="F1102" s="4" t="str">
        <f>HYPERLINK("http://141.218.60.56/~jnz1568/getInfo.php?workbook=16_08.xlsx&amp;sheet=A0&amp;row=1102&amp;col=6&amp;number=466100&amp;sourceID=14","466100")</f>
        <v>466100</v>
      </c>
      <c r="G1102" s="4" t="str">
        <f>HYPERLINK("http://141.218.60.56/~jnz1568/getInfo.php?workbook=16_08.xlsx&amp;sheet=A0&amp;row=1102&amp;col=7&amp;number=0&amp;sourceID=14","0")</f>
        <v>0</v>
      </c>
    </row>
    <row r="1103" spans="1:7">
      <c r="A1103" s="3">
        <v>16</v>
      </c>
      <c r="B1103" s="3">
        <v>8</v>
      </c>
      <c r="C1103" s="3">
        <v>79</v>
      </c>
      <c r="D1103" s="3">
        <v>45</v>
      </c>
      <c r="E1103" s="3">
        <v>-691.952</v>
      </c>
      <c r="F1103" s="4" t="str">
        <f>HYPERLINK("http://141.218.60.56/~jnz1568/getInfo.php?workbook=16_08.xlsx&amp;sheet=A0&amp;row=1103&amp;col=6&amp;number=13890000&amp;sourceID=14","13890000")</f>
        <v>13890000</v>
      </c>
      <c r="G1103" s="4" t="str">
        <f>HYPERLINK("http://141.218.60.56/~jnz1568/getInfo.php?workbook=16_08.xlsx&amp;sheet=A0&amp;row=1103&amp;col=7&amp;number=0&amp;sourceID=14","0")</f>
        <v>0</v>
      </c>
    </row>
    <row r="1104" spans="1:7">
      <c r="A1104" s="3">
        <v>16</v>
      </c>
      <c r="B1104" s="3">
        <v>8</v>
      </c>
      <c r="C1104" s="3">
        <v>79</v>
      </c>
      <c r="D1104" s="3">
        <v>47</v>
      </c>
      <c r="E1104" s="3">
        <v>-732.659</v>
      </c>
      <c r="F1104" s="4" t="str">
        <f>HYPERLINK("http://141.218.60.56/~jnz1568/getInfo.php?workbook=16_08.xlsx&amp;sheet=A0&amp;row=1104&amp;col=6&amp;number=53880&amp;sourceID=14","53880")</f>
        <v>53880</v>
      </c>
      <c r="G1104" s="4" t="str">
        <f>HYPERLINK("http://141.218.60.56/~jnz1568/getInfo.php?workbook=16_08.xlsx&amp;sheet=A0&amp;row=1104&amp;col=7&amp;number=0&amp;sourceID=14","0")</f>
        <v>0</v>
      </c>
    </row>
    <row r="1105" spans="1:7">
      <c r="A1105" s="3">
        <v>16</v>
      </c>
      <c r="B1105" s="3">
        <v>8</v>
      </c>
      <c r="C1105" s="3">
        <v>79</v>
      </c>
      <c r="D1105" s="3">
        <v>48</v>
      </c>
      <c r="E1105" s="3">
        <v>-746.198</v>
      </c>
      <c r="F1105" s="4" t="str">
        <f>HYPERLINK("http://141.218.60.56/~jnz1568/getInfo.php?workbook=16_08.xlsx&amp;sheet=A0&amp;row=1105&amp;col=6&amp;number=4552000&amp;sourceID=14","4552000")</f>
        <v>4552000</v>
      </c>
      <c r="G1105" s="4" t="str">
        <f>HYPERLINK("http://141.218.60.56/~jnz1568/getInfo.php?workbook=16_08.xlsx&amp;sheet=A0&amp;row=1105&amp;col=7&amp;number=0&amp;sourceID=14","0")</f>
        <v>0</v>
      </c>
    </row>
    <row r="1106" spans="1:7">
      <c r="A1106" s="3">
        <v>16</v>
      </c>
      <c r="B1106" s="3">
        <v>8</v>
      </c>
      <c r="C1106" s="3">
        <v>79</v>
      </c>
      <c r="D1106" s="3">
        <v>52</v>
      </c>
      <c r="E1106" s="3">
        <v>-796.222</v>
      </c>
      <c r="F1106" s="4" t="str">
        <f>HYPERLINK("http://141.218.60.56/~jnz1568/getInfo.php?workbook=16_08.xlsx&amp;sheet=A0&amp;row=1106&amp;col=6&amp;number=241000000&amp;sourceID=14","241000000")</f>
        <v>241000000</v>
      </c>
      <c r="G1106" s="4" t="str">
        <f>HYPERLINK("http://141.218.60.56/~jnz1568/getInfo.php?workbook=16_08.xlsx&amp;sheet=A0&amp;row=1106&amp;col=7&amp;number=0&amp;sourceID=14","0")</f>
        <v>0</v>
      </c>
    </row>
    <row r="1107" spans="1:7">
      <c r="A1107" s="3">
        <v>16</v>
      </c>
      <c r="B1107" s="3">
        <v>8</v>
      </c>
      <c r="C1107" s="3">
        <v>79</v>
      </c>
      <c r="D1107" s="3">
        <v>53</v>
      </c>
      <c r="E1107" s="3">
        <v>-810.378</v>
      </c>
      <c r="F1107" s="4" t="str">
        <f>HYPERLINK("http://141.218.60.56/~jnz1568/getInfo.php?workbook=16_08.xlsx&amp;sheet=A0&amp;row=1107&amp;col=6&amp;number=145400000&amp;sourceID=14","145400000")</f>
        <v>145400000</v>
      </c>
      <c r="G1107" s="4" t="str">
        <f>HYPERLINK("http://141.218.60.56/~jnz1568/getInfo.php?workbook=16_08.xlsx&amp;sheet=A0&amp;row=1107&amp;col=7&amp;number=0&amp;sourceID=14","0")</f>
        <v>0</v>
      </c>
    </row>
    <row r="1108" spans="1:7">
      <c r="A1108" s="3">
        <v>16</v>
      </c>
      <c r="B1108" s="3">
        <v>8</v>
      </c>
      <c r="C1108" s="3">
        <v>79</v>
      </c>
      <c r="D1108" s="3">
        <v>54</v>
      </c>
      <c r="E1108" s="3">
        <v>-817.786</v>
      </c>
      <c r="F1108" s="4" t="str">
        <f>HYPERLINK("http://141.218.60.56/~jnz1568/getInfo.php?workbook=16_08.xlsx&amp;sheet=A0&amp;row=1108&amp;col=6&amp;number=184100000&amp;sourceID=14","184100000")</f>
        <v>184100000</v>
      </c>
      <c r="G1108" s="4" t="str">
        <f>HYPERLINK("http://141.218.60.56/~jnz1568/getInfo.php?workbook=16_08.xlsx&amp;sheet=A0&amp;row=1108&amp;col=7&amp;number=0&amp;sourceID=14","0")</f>
        <v>0</v>
      </c>
    </row>
    <row r="1109" spans="1:7">
      <c r="A1109" s="3">
        <v>16</v>
      </c>
      <c r="B1109" s="3">
        <v>8</v>
      </c>
      <c r="C1109" s="3">
        <v>79</v>
      </c>
      <c r="D1109" s="3">
        <v>55</v>
      </c>
      <c r="E1109" s="3">
        <v>-1029.954</v>
      </c>
      <c r="F1109" s="4" t="str">
        <f>HYPERLINK("http://141.218.60.56/~jnz1568/getInfo.php?workbook=16_08.xlsx&amp;sheet=A0&amp;row=1109&amp;col=6&amp;number=4131000&amp;sourceID=14","4131000")</f>
        <v>4131000</v>
      </c>
      <c r="G1109" s="4" t="str">
        <f>HYPERLINK("http://141.218.60.56/~jnz1568/getInfo.php?workbook=16_08.xlsx&amp;sheet=A0&amp;row=1109&amp;col=7&amp;number=0&amp;sourceID=14","0")</f>
        <v>0</v>
      </c>
    </row>
    <row r="1110" spans="1:7">
      <c r="A1110" s="3">
        <v>16</v>
      </c>
      <c r="B1110" s="3">
        <v>8</v>
      </c>
      <c r="C1110" s="3">
        <v>79</v>
      </c>
      <c r="D1110" s="3">
        <v>66</v>
      </c>
      <c r="E1110" s="3">
        <v>-1816.89</v>
      </c>
      <c r="F1110" s="4" t="str">
        <f>HYPERLINK("http://141.218.60.56/~jnz1568/getInfo.php?workbook=16_08.xlsx&amp;sheet=A0&amp;row=1110&amp;col=6&amp;number=336200&amp;sourceID=14","336200")</f>
        <v>336200</v>
      </c>
      <c r="G1110" s="4" t="str">
        <f>HYPERLINK("http://141.218.60.56/~jnz1568/getInfo.php?workbook=16_08.xlsx&amp;sheet=A0&amp;row=1110&amp;col=7&amp;number=0&amp;sourceID=14","0")</f>
        <v>0</v>
      </c>
    </row>
    <row r="1111" spans="1:7">
      <c r="A1111" s="3">
        <v>16</v>
      </c>
      <c r="B1111" s="3">
        <v>8</v>
      </c>
      <c r="C1111" s="3">
        <v>80</v>
      </c>
      <c r="D1111" s="3">
        <v>1</v>
      </c>
      <c r="E1111" s="3">
        <v>46.586</v>
      </c>
      <c r="F1111" s="4" t="str">
        <f>HYPERLINK("http://141.218.60.56/~jnz1568/getInfo.php?workbook=16_08.xlsx&amp;sheet=A0&amp;row=1111&amp;col=6&amp;number=24660000000&amp;sourceID=14","24660000000")</f>
        <v>24660000000</v>
      </c>
      <c r="G1111" s="4" t="str">
        <f>HYPERLINK("http://141.218.60.56/~jnz1568/getInfo.php?workbook=16_08.xlsx&amp;sheet=A0&amp;row=1111&amp;col=7&amp;number=0&amp;sourceID=14","0")</f>
        <v>0</v>
      </c>
    </row>
    <row r="1112" spans="1:7">
      <c r="A1112" s="3">
        <v>16</v>
      </c>
      <c r="B1112" s="3">
        <v>8</v>
      </c>
      <c r="C1112" s="3">
        <v>80</v>
      </c>
      <c r="D1112" s="3">
        <v>2</v>
      </c>
      <c r="E1112" s="3">
        <v>46.76</v>
      </c>
      <c r="F1112" s="4" t="str">
        <f>HYPERLINK("http://141.218.60.56/~jnz1568/getInfo.php?workbook=16_08.xlsx&amp;sheet=A0&amp;row=1112&amp;col=6&amp;number=16210000000&amp;sourceID=14","16210000000")</f>
        <v>16210000000</v>
      </c>
      <c r="G1112" s="4" t="str">
        <f>HYPERLINK("http://141.218.60.56/~jnz1568/getInfo.php?workbook=16_08.xlsx&amp;sheet=A0&amp;row=1112&amp;col=7&amp;number=0&amp;sourceID=14","0")</f>
        <v>0</v>
      </c>
    </row>
    <row r="1113" spans="1:7">
      <c r="A1113" s="3">
        <v>16</v>
      </c>
      <c r="B1113" s="3">
        <v>8</v>
      </c>
      <c r="C1113" s="3">
        <v>80</v>
      </c>
      <c r="D1113" s="3">
        <v>3</v>
      </c>
      <c r="E1113" s="3">
        <v>46.818</v>
      </c>
      <c r="F1113" s="4" t="str">
        <f>HYPERLINK("http://141.218.60.56/~jnz1568/getInfo.php?workbook=16_08.xlsx&amp;sheet=A0&amp;row=1113&amp;col=6&amp;number=3846&amp;sourceID=14","3846")</f>
        <v>3846</v>
      </c>
      <c r="G1113" s="4" t="str">
        <f>HYPERLINK("http://141.218.60.56/~jnz1568/getInfo.php?workbook=16_08.xlsx&amp;sheet=A0&amp;row=1113&amp;col=7&amp;number=0&amp;sourceID=14","0")</f>
        <v>0</v>
      </c>
    </row>
    <row r="1114" spans="1:7">
      <c r="A1114" s="3">
        <v>16</v>
      </c>
      <c r="B1114" s="3">
        <v>8</v>
      </c>
      <c r="C1114" s="3">
        <v>80</v>
      </c>
      <c r="D1114" s="3">
        <v>4</v>
      </c>
      <c r="E1114" s="3">
        <v>47.886</v>
      </c>
      <c r="F1114" s="4" t="str">
        <f>HYPERLINK("http://141.218.60.56/~jnz1568/getInfo.php?workbook=16_08.xlsx&amp;sheet=A0&amp;row=1114&amp;col=6&amp;number=3037000000&amp;sourceID=14","3037000000")</f>
        <v>3037000000</v>
      </c>
      <c r="G1114" s="4" t="str">
        <f>HYPERLINK("http://141.218.60.56/~jnz1568/getInfo.php?workbook=16_08.xlsx&amp;sheet=A0&amp;row=1114&amp;col=7&amp;number=0&amp;sourceID=14","0")</f>
        <v>0</v>
      </c>
    </row>
    <row r="1115" spans="1:7">
      <c r="A1115" s="3">
        <v>16</v>
      </c>
      <c r="B1115" s="3">
        <v>8</v>
      </c>
      <c r="C1115" s="3">
        <v>80</v>
      </c>
      <c r="D1115" s="3">
        <v>5</v>
      </c>
      <c r="E1115" s="3">
        <v>49.41</v>
      </c>
      <c r="F1115" s="4" t="str">
        <f>HYPERLINK("http://141.218.60.56/~jnz1568/getInfo.php?workbook=16_08.xlsx&amp;sheet=A0&amp;row=1115&amp;col=6&amp;number=23220&amp;sourceID=14","23220")</f>
        <v>23220</v>
      </c>
      <c r="G1115" s="4" t="str">
        <f>HYPERLINK("http://141.218.60.56/~jnz1568/getInfo.php?workbook=16_08.xlsx&amp;sheet=A0&amp;row=1115&amp;col=7&amp;number=0&amp;sourceID=14","0")</f>
        <v>0</v>
      </c>
    </row>
    <row r="1116" spans="1:7">
      <c r="A1116" s="3">
        <v>16</v>
      </c>
      <c r="B1116" s="3">
        <v>8</v>
      </c>
      <c r="C1116" s="3">
        <v>80</v>
      </c>
      <c r="D1116" s="3">
        <v>6</v>
      </c>
      <c r="E1116" s="3">
        <v>58.769</v>
      </c>
      <c r="F1116" s="4" t="str">
        <f>HYPERLINK("http://141.218.60.56/~jnz1568/getInfo.php?workbook=16_08.xlsx&amp;sheet=A0&amp;row=1116&amp;col=6&amp;number=571400&amp;sourceID=14","571400")</f>
        <v>571400</v>
      </c>
      <c r="G1116" s="4" t="str">
        <f>HYPERLINK("http://141.218.60.56/~jnz1568/getInfo.php?workbook=16_08.xlsx&amp;sheet=A0&amp;row=1116&amp;col=7&amp;number=0&amp;sourceID=14","0")</f>
        <v>0</v>
      </c>
    </row>
    <row r="1117" spans="1:7">
      <c r="A1117" s="3">
        <v>16</v>
      </c>
      <c r="B1117" s="3">
        <v>8</v>
      </c>
      <c r="C1117" s="3">
        <v>80</v>
      </c>
      <c r="D1117" s="3">
        <v>7</v>
      </c>
      <c r="E1117" s="3">
        <v>59.012</v>
      </c>
      <c r="F1117" s="4" t="str">
        <f>HYPERLINK("http://141.218.60.56/~jnz1568/getInfo.php?workbook=16_08.xlsx&amp;sheet=A0&amp;row=1117&amp;col=6&amp;number=1128000&amp;sourceID=14","1128000")</f>
        <v>1128000</v>
      </c>
      <c r="G1117" s="4" t="str">
        <f>HYPERLINK("http://141.218.60.56/~jnz1568/getInfo.php?workbook=16_08.xlsx&amp;sheet=A0&amp;row=1117&amp;col=7&amp;number=0&amp;sourceID=14","0")</f>
        <v>0</v>
      </c>
    </row>
    <row r="1118" spans="1:7">
      <c r="A1118" s="3">
        <v>16</v>
      </c>
      <c r="B1118" s="3">
        <v>8</v>
      </c>
      <c r="C1118" s="3">
        <v>80</v>
      </c>
      <c r="D1118" s="3">
        <v>8</v>
      </c>
      <c r="E1118" s="3">
        <v>59.148</v>
      </c>
      <c r="F1118" s="4" t="str">
        <f>HYPERLINK("http://141.218.60.56/~jnz1568/getInfo.php?workbook=16_08.xlsx&amp;sheet=A0&amp;row=1118&amp;col=6&amp;number=363400&amp;sourceID=14","363400")</f>
        <v>363400</v>
      </c>
      <c r="G1118" s="4" t="str">
        <f>HYPERLINK("http://141.218.60.56/~jnz1568/getInfo.php?workbook=16_08.xlsx&amp;sheet=A0&amp;row=1118&amp;col=7&amp;number=0&amp;sourceID=14","0")</f>
        <v>0</v>
      </c>
    </row>
    <row r="1119" spans="1:7">
      <c r="A1119" s="3">
        <v>16</v>
      </c>
      <c r="B1119" s="3">
        <v>8</v>
      </c>
      <c r="C1119" s="3">
        <v>80</v>
      </c>
      <c r="D1119" s="3">
        <v>13</v>
      </c>
      <c r="E1119" s="3">
        <v>331.567</v>
      </c>
      <c r="F1119" s="4" t="str">
        <f>HYPERLINK("http://141.218.60.56/~jnz1568/getInfo.php?workbook=16_08.xlsx&amp;sheet=A0&amp;row=1119&amp;col=6&amp;number=1953&amp;sourceID=14","1953")</f>
        <v>1953</v>
      </c>
      <c r="G1119" s="4" t="str">
        <f>HYPERLINK("http://141.218.60.56/~jnz1568/getInfo.php?workbook=16_08.xlsx&amp;sheet=A0&amp;row=1119&amp;col=7&amp;number=0&amp;sourceID=14","0")</f>
        <v>0</v>
      </c>
    </row>
    <row r="1120" spans="1:7">
      <c r="A1120" s="3">
        <v>16</v>
      </c>
      <c r="B1120" s="3">
        <v>8</v>
      </c>
      <c r="C1120" s="3">
        <v>80</v>
      </c>
      <c r="D1120" s="3">
        <v>15</v>
      </c>
      <c r="E1120" s="3">
        <v>332.539</v>
      </c>
      <c r="F1120" s="4" t="str">
        <f>HYPERLINK("http://141.218.60.56/~jnz1568/getInfo.php?workbook=16_08.xlsx&amp;sheet=A0&amp;row=1120&amp;col=6&amp;number=4435&amp;sourceID=14","4435")</f>
        <v>4435</v>
      </c>
      <c r="G1120" s="4" t="str">
        <f>HYPERLINK("http://141.218.60.56/~jnz1568/getInfo.php?workbook=16_08.xlsx&amp;sheet=A0&amp;row=1120&amp;col=7&amp;number=0&amp;sourceID=14","0")</f>
        <v>0</v>
      </c>
    </row>
    <row r="1121" spans="1:7">
      <c r="A1121" s="3">
        <v>16</v>
      </c>
      <c r="B1121" s="3">
        <v>8</v>
      </c>
      <c r="C1121" s="3">
        <v>80</v>
      </c>
      <c r="D1121" s="3">
        <v>17</v>
      </c>
      <c r="E1121" s="3">
        <v>358.757</v>
      </c>
      <c r="F1121" s="4" t="str">
        <f>HYPERLINK("http://141.218.60.56/~jnz1568/getInfo.php?workbook=16_08.xlsx&amp;sheet=A0&amp;row=1121&amp;col=6&amp;number=357900&amp;sourceID=14","357900")</f>
        <v>357900</v>
      </c>
      <c r="G1121" s="4" t="str">
        <f>HYPERLINK("http://141.218.60.56/~jnz1568/getInfo.php?workbook=16_08.xlsx&amp;sheet=A0&amp;row=1121&amp;col=7&amp;number=0&amp;sourceID=14","0")</f>
        <v>0</v>
      </c>
    </row>
    <row r="1122" spans="1:7">
      <c r="A1122" s="3">
        <v>16</v>
      </c>
      <c r="B1122" s="3">
        <v>8</v>
      </c>
      <c r="C1122" s="3">
        <v>80</v>
      </c>
      <c r="D1122" s="3">
        <v>18</v>
      </c>
      <c r="E1122" s="3">
        <v>359.569</v>
      </c>
      <c r="F1122" s="4" t="str">
        <f>HYPERLINK("http://141.218.60.56/~jnz1568/getInfo.php?workbook=16_08.xlsx&amp;sheet=A0&amp;row=1122&amp;col=6&amp;number=58230&amp;sourceID=14","58230")</f>
        <v>58230</v>
      </c>
      <c r="G1122" s="4" t="str">
        <f>HYPERLINK("http://141.218.60.56/~jnz1568/getInfo.php?workbook=16_08.xlsx&amp;sheet=A0&amp;row=1122&amp;col=7&amp;number=0&amp;sourceID=14","0")</f>
        <v>0</v>
      </c>
    </row>
    <row r="1123" spans="1:7">
      <c r="A1123" s="3">
        <v>16</v>
      </c>
      <c r="B1123" s="3">
        <v>8</v>
      </c>
      <c r="C1123" s="3">
        <v>80</v>
      </c>
      <c r="D1123" s="3">
        <v>19</v>
      </c>
      <c r="E1123" s="3">
        <v>361.159</v>
      </c>
      <c r="F1123" s="4" t="str">
        <f>HYPERLINK("http://141.218.60.56/~jnz1568/getInfo.php?workbook=16_08.xlsx&amp;sheet=A0&amp;row=1123&amp;col=6&amp;number=100300&amp;sourceID=14","100300")</f>
        <v>100300</v>
      </c>
      <c r="G1123" s="4" t="str">
        <f>HYPERLINK("http://141.218.60.56/~jnz1568/getInfo.php?workbook=16_08.xlsx&amp;sheet=A0&amp;row=1123&amp;col=7&amp;number=0&amp;sourceID=14","0")</f>
        <v>0</v>
      </c>
    </row>
    <row r="1124" spans="1:7">
      <c r="A1124" s="3">
        <v>16</v>
      </c>
      <c r="B1124" s="3">
        <v>8</v>
      </c>
      <c r="C1124" s="3">
        <v>80</v>
      </c>
      <c r="D1124" s="3">
        <v>20</v>
      </c>
      <c r="E1124" s="3">
        <v>394.051</v>
      </c>
      <c r="F1124" s="4" t="str">
        <f>HYPERLINK("http://141.218.60.56/~jnz1568/getInfo.php?workbook=16_08.xlsx&amp;sheet=A0&amp;row=1124&amp;col=6&amp;number=111200&amp;sourceID=14","111200")</f>
        <v>111200</v>
      </c>
      <c r="G1124" s="4" t="str">
        <f>HYPERLINK("http://141.218.60.56/~jnz1568/getInfo.php?workbook=16_08.xlsx&amp;sheet=A0&amp;row=1124&amp;col=7&amp;number=0&amp;sourceID=14","0")</f>
        <v>0</v>
      </c>
    </row>
    <row r="1125" spans="1:7">
      <c r="A1125" s="3">
        <v>16</v>
      </c>
      <c r="B1125" s="3">
        <v>8</v>
      </c>
      <c r="C1125" s="3">
        <v>80</v>
      </c>
      <c r="D1125" s="3">
        <v>21</v>
      </c>
      <c r="E1125" s="3">
        <v>394.635</v>
      </c>
      <c r="F1125" s="4" t="str">
        <f>HYPERLINK("http://141.218.60.56/~jnz1568/getInfo.php?workbook=16_08.xlsx&amp;sheet=A0&amp;row=1125&amp;col=6&amp;number=796200&amp;sourceID=14","796200")</f>
        <v>796200</v>
      </c>
      <c r="G1125" s="4" t="str">
        <f>HYPERLINK("http://141.218.60.56/~jnz1568/getInfo.php?workbook=16_08.xlsx&amp;sheet=A0&amp;row=1125&amp;col=7&amp;number=0&amp;sourceID=14","0")</f>
        <v>0</v>
      </c>
    </row>
    <row r="1126" spans="1:7">
      <c r="A1126" s="3">
        <v>16</v>
      </c>
      <c r="B1126" s="3">
        <v>8</v>
      </c>
      <c r="C1126" s="3">
        <v>80</v>
      </c>
      <c r="D1126" s="3">
        <v>23</v>
      </c>
      <c r="E1126" s="3">
        <v>389.357</v>
      </c>
      <c r="F1126" s="4" t="str">
        <f>HYPERLINK("http://141.218.60.56/~jnz1568/getInfo.php?workbook=16_08.xlsx&amp;sheet=A0&amp;row=1126&amp;col=6&amp;number=7110&amp;sourceID=14","7110")</f>
        <v>7110</v>
      </c>
      <c r="G1126" s="4" t="str">
        <f>HYPERLINK("http://141.218.60.56/~jnz1568/getInfo.php?workbook=16_08.xlsx&amp;sheet=A0&amp;row=1126&amp;col=7&amp;number=0&amp;sourceID=14","0")</f>
        <v>0</v>
      </c>
    </row>
    <row r="1127" spans="1:7">
      <c r="A1127" s="3">
        <v>16</v>
      </c>
      <c r="B1127" s="3">
        <v>8</v>
      </c>
      <c r="C1127" s="3">
        <v>80</v>
      </c>
      <c r="D1127" s="3">
        <v>24</v>
      </c>
      <c r="E1127" s="3">
        <v>390.197</v>
      </c>
      <c r="F1127" s="4" t="str">
        <f>HYPERLINK("http://141.218.60.56/~jnz1568/getInfo.php?workbook=16_08.xlsx&amp;sheet=A0&amp;row=1127&amp;col=6&amp;number=23670&amp;sourceID=14","23670")</f>
        <v>23670</v>
      </c>
      <c r="G1127" s="4" t="str">
        <f>HYPERLINK("http://141.218.60.56/~jnz1568/getInfo.php?workbook=16_08.xlsx&amp;sheet=A0&amp;row=1127&amp;col=7&amp;number=0&amp;sourceID=14","0")</f>
        <v>0</v>
      </c>
    </row>
    <row r="1128" spans="1:7">
      <c r="A1128" s="3">
        <v>16</v>
      </c>
      <c r="B1128" s="3">
        <v>8</v>
      </c>
      <c r="C1128" s="3">
        <v>80</v>
      </c>
      <c r="D1128" s="3">
        <v>25</v>
      </c>
      <c r="E1128" s="3">
        <v>392.471</v>
      </c>
      <c r="F1128" s="4" t="str">
        <f>HYPERLINK("http://141.218.60.56/~jnz1568/getInfo.php?workbook=16_08.xlsx&amp;sheet=A0&amp;row=1128&amp;col=6&amp;number=10950&amp;sourceID=14","10950")</f>
        <v>10950</v>
      </c>
      <c r="G1128" s="4" t="str">
        <f>HYPERLINK("http://141.218.60.56/~jnz1568/getInfo.php?workbook=16_08.xlsx&amp;sheet=A0&amp;row=1128&amp;col=7&amp;number=0&amp;sourceID=14","0")</f>
        <v>0</v>
      </c>
    </row>
    <row r="1129" spans="1:7">
      <c r="A1129" s="3">
        <v>16</v>
      </c>
      <c r="B1129" s="3">
        <v>8</v>
      </c>
      <c r="C1129" s="3">
        <v>80</v>
      </c>
      <c r="D1129" s="3">
        <v>27</v>
      </c>
      <c r="E1129" s="3">
        <v>-509.234</v>
      </c>
      <c r="F1129" s="4" t="str">
        <f>HYPERLINK("http://141.218.60.56/~jnz1568/getInfo.php?workbook=16_08.xlsx&amp;sheet=A0&amp;row=1129&amp;col=6&amp;number=47280000&amp;sourceID=14","47280000")</f>
        <v>47280000</v>
      </c>
      <c r="G1129" s="4" t="str">
        <f>HYPERLINK("http://141.218.60.56/~jnz1568/getInfo.php?workbook=16_08.xlsx&amp;sheet=A0&amp;row=1129&amp;col=7&amp;number=0&amp;sourceID=14","0")</f>
        <v>0</v>
      </c>
    </row>
    <row r="1130" spans="1:7">
      <c r="A1130" s="3">
        <v>16</v>
      </c>
      <c r="B1130" s="3">
        <v>8</v>
      </c>
      <c r="C1130" s="3">
        <v>80</v>
      </c>
      <c r="D1130" s="3">
        <v>28</v>
      </c>
      <c r="E1130" s="3">
        <v>506.611</v>
      </c>
      <c r="F1130" s="4" t="str">
        <f>HYPERLINK("http://141.218.60.56/~jnz1568/getInfo.php?workbook=16_08.xlsx&amp;sheet=A0&amp;row=1130&amp;col=6&amp;number=6645000&amp;sourceID=14","6645000")</f>
        <v>6645000</v>
      </c>
      <c r="G1130" s="4" t="str">
        <f>HYPERLINK("http://141.218.60.56/~jnz1568/getInfo.php?workbook=16_08.xlsx&amp;sheet=A0&amp;row=1130&amp;col=7&amp;number=0&amp;sourceID=14","0")</f>
        <v>0</v>
      </c>
    </row>
    <row r="1131" spans="1:7">
      <c r="A1131" s="3">
        <v>16</v>
      </c>
      <c r="B1131" s="3">
        <v>8</v>
      </c>
      <c r="C1131" s="3">
        <v>80</v>
      </c>
      <c r="D1131" s="3">
        <v>29</v>
      </c>
      <c r="E1131" s="3">
        <v>511.101</v>
      </c>
      <c r="F1131" s="4" t="str">
        <f>HYPERLINK("http://141.218.60.56/~jnz1568/getInfo.php?workbook=16_08.xlsx&amp;sheet=A0&amp;row=1131&amp;col=6&amp;number=171800000&amp;sourceID=14","171800000")</f>
        <v>171800000</v>
      </c>
      <c r="G1131" s="4" t="str">
        <f>HYPERLINK("http://141.218.60.56/~jnz1568/getInfo.php?workbook=16_08.xlsx&amp;sheet=A0&amp;row=1131&amp;col=7&amp;number=0&amp;sourceID=14","0")</f>
        <v>0</v>
      </c>
    </row>
    <row r="1132" spans="1:7">
      <c r="A1132" s="3">
        <v>16</v>
      </c>
      <c r="B1132" s="3">
        <v>8</v>
      </c>
      <c r="C1132" s="3">
        <v>80</v>
      </c>
      <c r="D1132" s="3">
        <v>30</v>
      </c>
      <c r="E1132" s="3">
        <v>-494.703</v>
      </c>
      <c r="F1132" s="4" t="str">
        <f>HYPERLINK("http://141.218.60.56/~jnz1568/getInfo.php?workbook=16_08.xlsx&amp;sheet=A0&amp;row=1132&amp;col=6&amp;number=333600&amp;sourceID=14","333600")</f>
        <v>333600</v>
      </c>
      <c r="G1132" s="4" t="str">
        <f>HYPERLINK("http://141.218.60.56/~jnz1568/getInfo.php?workbook=16_08.xlsx&amp;sheet=A0&amp;row=1132&amp;col=7&amp;number=0&amp;sourceID=14","0")</f>
        <v>0</v>
      </c>
    </row>
    <row r="1133" spans="1:7">
      <c r="A1133" s="3">
        <v>16</v>
      </c>
      <c r="B1133" s="3">
        <v>8</v>
      </c>
      <c r="C1133" s="3">
        <v>80</v>
      </c>
      <c r="D1133" s="3">
        <v>31</v>
      </c>
      <c r="E1133" s="3">
        <v>528.745</v>
      </c>
      <c r="F1133" s="4" t="str">
        <f>HYPERLINK("http://141.218.60.56/~jnz1568/getInfo.php?workbook=16_08.xlsx&amp;sheet=A0&amp;row=1133&amp;col=6&amp;number=7531000&amp;sourceID=14","7531000")</f>
        <v>7531000</v>
      </c>
      <c r="G1133" s="4" t="str">
        <f>HYPERLINK("http://141.218.60.56/~jnz1568/getInfo.php?workbook=16_08.xlsx&amp;sheet=A0&amp;row=1133&amp;col=7&amp;number=0&amp;sourceID=14","0")</f>
        <v>0</v>
      </c>
    </row>
    <row r="1134" spans="1:7">
      <c r="A1134" s="3">
        <v>16</v>
      </c>
      <c r="B1134" s="3">
        <v>8</v>
      </c>
      <c r="C1134" s="3">
        <v>80</v>
      </c>
      <c r="D1134" s="3">
        <v>32</v>
      </c>
      <c r="E1134" s="3">
        <v>531.754</v>
      </c>
      <c r="F1134" s="4" t="str">
        <f>HYPERLINK("http://141.218.60.56/~jnz1568/getInfo.php?workbook=16_08.xlsx&amp;sheet=A0&amp;row=1134&amp;col=6&amp;number=13320000&amp;sourceID=14","13320000")</f>
        <v>13320000</v>
      </c>
      <c r="G1134" s="4" t="str">
        <f>HYPERLINK("http://141.218.60.56/~jnz1568/getInfo.php?workbook=16_08.xlsx&amp;sheet=A0&amp;row=1134&amp;col=7&amp;number=0&amp;sourceID=14","0")</f>
        <v>0</v>
      </c>
    </row>
    <row r="1135" spans="1:7">
      <c r="A1135" s="3">
        <v>16</v>
      </c>
      <c r="B1135" s="3">
        <v>8</v>
      </c>
      <c r="C1135" s="3">
        <v>80</v>
      </c>
      <c r="D1135" s="3">
        <v>34</v>
      </c>
      <c r="E1135" s="3">
        <v>544.811</v>
      </c>
      <c r="F1135" s="4" t="str">
        <f>HYPERLINK("http://141.218.60.56/~jnz1568/getInfo.php?workbook=16_08.xlsx&amp;sheet=A0&amp;row=1135&amp;col=6&amp;number=378500&amp;sourceID=14","378500")</f>
        <v>378500</v>
      </c>
      <c r="G1135" s="4" t="str">
        <f>HYPERLINK("http://141.218.60.56/~jnz1568/getInfo.php?workbook=16_08.xlsx&amp;sheet=A0&amp;row=1135&amp;col=7&amp;number=0&amp;sourceID=14","0")</f>
        <v>0</v>
      </c>
    </row>
    <row r="1136" spans="1:7">
      <c r="A1136" s="3">
        <v>16</v>
      </c>
      <c r="B1136" s="3">
        <v>8</v>
      </c>
      <c r="C1136" s="3">
        <v>80</v>
      </c>
      <c r="D1136" s="3">
        <v>36</v>
      </c>
      <c r="E1136" s="3">
        <v>647.836</v>
      </c>
      <c r="F1136" s="4" t="str">
        <f>HYPERLINK("http://141.218.60.56/~jnz1568/getInfo.php?workbook=16_08.xlsx&amp;sheet=A0&amp;row=1136&amp;col=6&amp;number=960800000&amp;sourceID=14","960800000")</f>
        <v>960800000</v>
      </c>
      <c r="G1136" s="4" t="str">
        <f>HYPERLINK("http://141.218.60.56/~jnz1568/getInfo.php?workbook=16_08.xlsx&amp;sheet=A0&amp;row=1136&amp;col=7&amp;number=0&amp;sourceID=14","0")</f>
        <v>0</v>
      </c>
    </row>
    <row r="1137" spans="1:7">
      <c r="A1137" s="3">
        <v>16</v>
      </c>
      <c r="B1137" s="3">
        <v>8</v>
      </c>
      <c r="C1137" s="3">
        <v>80</v>
      </c>
      <c r="D1137" s="3">
        <v>37</v>
      </c>
      <c r="E1137" s="3">
        <v>641.371</v>
      </c>
      <c r="F1137" s="4" t="str">
        <f>HYPERLINK("http://141.218.60.56/~jnz1568/getInfo.php?workbook=16_08.xlsx&amp;sheet=A0&amp;row=1137&amp;col=6&amp;number=156500000&amp;sourceID=14","156500000")</f>
        <v>156500000</v>
      </c>
      <c r="G1137" s="4" t="str">
        <f>HYPERLINK("http://141.218.60.56/~jnz1568/getInfo.php?workbook=16_08.xlsx&amp;sheet=A0&amp;row=1137&amp;col=7&amp;number=0&amp;sourceID=14","0")</f>
        <v>0</v>
      </c>
    </row>
    <row r="1138" spans="1:7">
      <c r="A1138" s="3">
        <v>16</v>
      </c>
      <c r="B1138" s="3">
        <v>8</v>
      </c>
      <c r="C1138" s="3">
        <v>80</v>
      </c>
      <c r="D1138" s="3">
        <v>43</v>
      </c>
      <c r="E1138" s="3">
        <v>-631.309</v>
      </c>
      <c r="F1138" s="4" t="str">
        <f>HYPERLINK("http://141.218.60.56/~jnz1568/getInfo.php?workbook=16_08.xlsx&amp;sheet=A0&amp;row=1138&amp;col=6&amp;number=728500000&amp;sourceID=14","728500000")</f>
        <v>728500000</v>
      </c>
      <c r="G1138" s="4" t="str">
        <f>HYPERLINK("http://141.218.60.56/~jnz1568/getInfo.php?workbook=16_08.xlsx&amp;sheet=A0&amp;row=1138&amp;col=7&amp;number=0&amp;sourceID=14","0")</f>
        <v>0</v>
      </c>
    </row>
    <row r="1139" spans="1:7">
      <c r="A1139" s="3">
        <v>16</v>
      </c>
      <c r="B1139" s="3">
        <v>8</v>
      </c>
      <c r="C1139" s="3">
        <v>80</v>
      </c>
      <c r="D1139" s="3">
        <v>44</v>
      </c>
      <c r="E1139" s="3">
        <v>647.836</v>
      </c>
      <c r="F1139" s="4" t="str">
        <f>HYPERLINK("http://141.218.60.56/~jnz1568/getInfo.php?workbook=16_08.xlsx&amp;sheet=A0&amp;row=1139&amp;col=6&amp;number=87700000&amp;sourceID=14","87700000")</f>
        <v>87700000</v>
      </c>
      <c r="G1139" s="4" t="str">
        <f>HYPERLINK("http://141.218.60.56/~jnz1568/getInfo.php?workbook=16_08.xlsx&amp;sheet=A0&amp;row=1139&amp;col=7&amp;number=0&amp;sourceID=14","0")</f>
        <v>0</v>
      </c>
    </row>
    <row r="1140" spans="1:7">
      <c r="A1140" s="3">
        <v>16</v>
      </c>
      <c r="B1140" s="3">
        <v>8</v>
      </c>
      <c r="C1140" s="3">
        <v>80</v>
      </c>
      <c r="D1140" s="3">
        <v>45</v>
      </c>
      <c r="E1140" s="3">
        <v>-682.862</v>
      </c>
      <c r="F1140" s="4" t="str">
        <f>HYPERLINK("http://141.218.60.56/~jnz1568/getInfo.php?workbook=16_08.xlsx&amp;sheet=A0&amp;row=1140&amp;col=6&amp;number=1404000&amp;sourceID=14","1404000")</f>
        <v>1404000</v>
      </c>
      <c r="G1140" s="4" t="str">
        <f>HYPERLINK("http://141.218.60.56/~jnz1568/getInfo.php?workbook=16_08.xlsx&amp;sheet=A0&amp;row=1140&amp;col=7&amp;number=0&amp;sourceID=14","0")</f>
        <v>0</v>
      </c>
    </row>
    <row r="1141" spans="1:7">
      <c r="A1141" s="3">
        <v>16</v>
      </c>
      <c r="B1141" s="3">
        <v>8</v>
      </c>
      <c r="C1141" s="3">
        <v>80</v>
      </c>
      <c r="D1141" s="3">
        <v>46</v>
      </c>
      <c r="E1141" s="3">
        <v>704.196</v>
      </c>
      <c r="F1141" s="4" t="str">
        <f>HYPERLINK("http://141.218.60.56/~jnz1568/getInfo.php?workbook=16_08.xlsx&amp;sheet=A0&amp;row=1141&amp;col=6&amp;number=6748000&amp;sourceID=14","6748000")</f>
        <v>6748000</v>
      </c>
      <c r="G1141" s="4" t="str">
        <f>HYPERLINK("http://141.218.60.56/~jnz1568/getInfo.php?workbook=16_08.xlsx&amp;sheet=A0&amp;row=1141&amp;col=7&amp;number=0&amp;sourceID=14","0")</f>
        <v>0</v>
      </c>
    </row>
    <row r="1142" spans="1:7">
      <c r="A1142" s="3">
        <v>16</v>
      </c>
      <c r="B1142" s="3">
        <v>8</v>
      </c>
      <c r="C1142" s="3">
        <v>80</v>
      </c>
      <c r="D1142" s="3">
        <v>47</v>
      </c>
      <c r="E1142" s="3">
        <v>-722.475</v>
      </c>
      <c r="F1142" s="4" t="str">
        <f>HYPERLINK("http://141.218.60.56/~jnz1568/getInfo.php?workbook=16_08.xlsx&amp;sheet=A0&amp;row=1142&amp;col=6&amp;number=7652000&amp;sourceID=14","7652000")</f>
        <v>7652000</v>
      </c>
      <c r="G1142" s="4" t="str">
        <f>HYPERLINK("http://141.218.60.56/~jnz1568/getInfo.php?workbook=16_08.xlsx&amp;sheet=A0&amp;row=1142&amp;col=7&amp;number=0&amp;sourceID=14","0")</f>
        <v>0</v>
      </c>
    </row>
    <row r="1143" spans="1:7">
      <c r="A1143" s="3">
        <v>16</v>
      </c>
      <c r="B1143" s="3">
        <v>8</v>
      </c>
      <c r="C1143" s="3">
        <v>80</v>
      </c>
      <c r="D1143" s="3">
        <v>48</v>
      </c>
      <c r="E1143" s="3">
        <v>-735.638</v>
      </c>
      <c r="F1143" s="4" t="str">
        <f>HYPERLINK("http://141.218.60.56/~jnz1568/getInfo.php?workbook=16_08.xlsx&amp;sheet=A0&amp;row=1143&amp;col=6&amp;number=8656000&amp;sourceID=14","8656000")</f>
        <v>8656000</v>
      </c>
      <c r="G1143" s="4" t="str">
        <f>HYPERLINK("http://141.218.60.56/~jnz1568/getInfo.php?workbook=16_08.xlsx&amp;sheet=A0&amp;row=1143&amp;col=7&amp;number=0&amp;sourceID=14","0")</f>
        <v>0</v>
      </c>
    </row>
    <row r="1144" spans="1:7">
      <c r="A1144" s="3">
        <v>16</v>
      </c>
      <c r="B1144" s="3">
        <v>8</v>
      </c>
      <c r="C1144" s="3">
        <v>80</v>
      </c>
      <c r="D1144" s="3">
        <v>52</v>
      </c>
      <c r="E1144" s="3">
        <v>-784.21</v>
      </c>
      <c r="F1144" s="4" t="str">
        <f>HYPERLINK("http://141.218.60.56/~jnz1568/getInfo.php?workbook=16_08.xlsx&amp;sheet=A0&amp;row=1144&amp;col=6&amp;number=424900000&amp;sourceID=14","424900000")</f>
        <v>424900000</v>
      </c>
      <c r="G1144" s="4" t="str">
        <f>HYPERLINK("http://141.218.60.56/~jnz1568/getInfo.php?workbook=16_08.xlsx&amp;sheet=A0&amp;row=1144&amp;col=7&amp;number=0&amp;sourceID=14","0")</f>
        <v>0</v>
      </c>
    </row>
    <row r="1145" spans="1:7">
      <c r="A1145" s="3">
        <v>16</v>
      </c>
      <c r="B1145" s="3">
        <v>8</v>
      </c>
      <c r="C1145" s="3">
        <v>80</v>
      </c>
      <c r="D1145" s="3">
        <v>53</v>
      </c>
      <c r="E1145" s="3">
        <v>-797.938</v>
      </c>
      <c r="F1145" s="4" t="str">
        <f>HYPERLINK("http://141.218.60.56/~jnz1568/getInfo.php?workbook=16_08.xlsx&amp;sheet=A0&amp;row=1145&amp;col=6&amp;number=153100000&amp;sourceID=14","153100000")</f>
        <v>153100000</v>
      </c>
      <c r="G1145" s="4" t="str">
        <f>HYPERLINK("http://141.218.60.56/~jnz1568/getInfo.php?workbook=16_08.xlsx&amp;sheet=A0&amp;row=1145&amp;col=7&amp;number=0&amp;sourceID=14","0")</f>
        <v>0</v>
      </c>
    </row>
    <row r="1146" spans="1:7">
      <c r="A1146" s="3">
        <v>16</v>
      </c>
      <c r="B1146" s="3">
        <v>8</v>
      </c>
      <c r="C1146" s="3">
        <v>80</v>
      </c>
      <c r="D1146" s="3">
        <v>55</v>
      </c>
      <c r="E1146" s="3">
        <v>-1009.943</v>
      </c>
      <c r="F1146" s="4" t="str">
        <f>HYPERLINK("http://141.218.60.56/~jnz1568/getInfo.php?workbook=16_08.xlsx&amp;sheet=A0&amp;row=1146&amp;col=6&amp;number=2146000&amp;sourceID=14","2146000")</f>
        <v>2146000</v>
      </c>
      <c r="G1146" s="4" t="str">
        <f>HYPERLINK("http://141.218.60.56/~jnz1568/getInfo.php?workbook=16_08.xlsx&amp;sheet=A0&amp;row=1146&amp;col=7&amp;number=0&amp;sourceID=14","0")</f>
        <v>0</v>
      </c>
    </row>
    <row r="1147" spans="1:7">
      <c r="A1147" s="3">
        <v>16</v>
      </c>
      <c r="B1147" s="3">
        <v>8</v>
      </c>
      <c r="C1147" s="3">
        <v>81</v>
      </c>
      <c r="D1147" s="3">
        <v>1</v>
      </c>
      <c r="E1147" s="3">
        <v>46.413</v>
      </c>
      <c r="F1147" s="4" t="str">
        <f>HYPERLINK("http://141.218.60.56/~jnz1568/getInfo.php?workbook=16_08.xlsx&amp;sheet=A0&amp;row=1147&amp;col=6&amp;number=159600000000&amp;sourceID=14","159600000000")</f>
        <v>159600000000</v>
      </c>
      <c r="G1147" s="4" t="str">
        <f>HYPERLINK("http://141.218.60.56/~jnz1568/getInfo.php?workbook=16_08.xlsx&amp;sheet=A0&amp;row=1147&amp;col=7&amp;number=0&amp;sourceID=14","0")</f>
        <v>0</v>
      </c>
    </row>
    <row r="1148" spans="1:7">
      <c r="A1148" s="3">
        <v>16</v>
      </c>
      <c r="B1148" s="3">
        <v>8</v>
      </c>
      <c r="C1148" s="3">
        <v>81</v>
      </c>
      <c r="D1148" s="3">
        <v>2</v>
      </c>
      <c r="E1148" s="3">
        <v>46.586</v>
      </c>
      <c r="F1148" s="4" t="str">
        <f>HYPERLINK("http://141.218.60.56/~jnz1568/getInfo.php?workbook=16_08.xlsx&amp;sheet=A0&amp;row=1148&amp;col=6&amp;number=710300000000&amp;sourceID=14","710300000000")</f>
        <v>710300000000</v>
      </c>
      <c r="G1148" s="4" t="str">
        <f>HYPERLINK("http://141.218.60.56/~jnz1568/getInfo.php?workbook=16_08.xlsx&amp;sheet=A0&amp;row=1148&amp;col=7&amp;number=0&amp;sourceID=14","0")</f>
        <v>0</v>
      </c>
    </row>
    <row r="1149" spans="1:7">
      <c r="A1149" s="3">
        <v>16</v>
      </c>
      <c r="B1149" s="3">
        <v>8</v>
      </c>
      <c r="C1149" s="3">
        <v>81</v>
      </c>
      <c r="D1149" s="3">
        <v>3</v>
      </c>
      <c r="E1149" s="3">
        <v>46.643</v>
      </c>
      <c r="F1149" s="4" t="str">
        <f>HYPERLINK("http://141.218.60.56/~jnz1568/getInfo.php?workbook=16_08.xlsx&amp;sheet=A0&amp;row=1149&amp;col=6&amp;number=4631&amp;sourceID=14","4631")</f>
        <v>4631</v>
      </c>
      <c r="G1149" s="4" t="str">
        <f>HYPERLINK("http://141.218.60.56/~jnz1568/getInfo.php?workbook=16_08.xlsx&amp;sheet=A0&amp;row=1149&amp;col=7&amp;number=0&amp;sourceID=14","0")</f>
        <v>0</v>
      </c>
    </row>
    <row r="1150" spans="1:7">
      <c r="A1150" s="3">
        <v>16</v>
      </c>
      <c r="B1150" s="3">
        <v>8</v>
      </c>
      <c r="C1150" s="3">
        <v>81</v>
      </c>
      <c r="D1150" s="3">
        <v>4</v>
      </c>
      <c r="E1150" s="3">
        <v>47.704</v>
      </c>
      <c r="F1150" s="4" t="str">
        <f>HYPERLINK("http://141.218.60.56/~jnz1568/getInfo.php?workbook=16_08.xlsx&amp;sheet=A0&amp;row=1150&amp;col=6&amp;number=89250000000&amp;sourceID=14","89250000000")</f>
        <v>89250000000</v>
      </c>
      <c r="G1150" s="4" t="str">
        <f>HYPERLINK("http://141.218.60.56/~jnz1568/getInfo.php?workbook=16_08.xlsx&amp;sheet=A0&amp;row=1150&amp;col=7&amp;number=0&amp;sourceID=14","0")</f>
        <v>0</v>
      </c>
    </row>
    <row r="1151" spans="1:7">
      <c r="A1151" s="3">
        <v>16</v>
      </c>
      <c r="B1151" s="3">
        <v>8</v>
      </c>
      <c r="C1151" s="3">
        <v>81</v>
      </c>
      <c r="D1151" s="3">
        <v>5</v>
      </c>
      <c r="E1151" s="3">
        <v>49.216</v>
      </c>
      <c r="F1151" s="4" t="str">
        <f>HYPERLINK("http://141.218.60.56/~jnz1568/getInfo.php?workbook=16_08.xlsx&amp;sheet=A0&amp;row=1151&amp;col=6&amp;number=1323&amp;sourceID=14","1323")</f>
        <v>1323</v>
      </c>
      <c r="G1151" s="4" t="str">
        <f>HYPERLINK("http://141.218.60.56/~jnz1568/getInfo.php?workbook=16_08.xlsx&amp;sheet=A0&amp;row=1151&amp;col=7&amp;number=0&amp;sourceID=14","0")</f>
        <v>0</v>
      </c>
    </row>
    <row r="1152" spans="1:7">
      <c r="A1152" s="3">
        <v>16</v>
      </c>
      <c r="B1152" s="3">
        <v>8</v>
      </c>
      <c r="C1152" s="3">
        <v>81</v>
      </c>
      <c r="D1152" s="3">
        <v>6</v>
      </c>
      <c r="E1152" s="3">
        <v>58.494</v>
      </c>
      <c r="F1152" s="4" t="str">
        <f>HYPERLINK("http://141.218.60.56/~jnz1568/getInfo.php?workbook=16_08.xlsx&amp;sheet=A0&amp;row=1152&amp;col=6&amp;number=459000&amp;sourceID=14","459000")</f>
        <v>459000</v>
      </c>
      <c r="G1152" s="4" t="str">
        <f>HYPERLINK("http://141.218.60.56/~jnz1568/getInfo.php?workbook=16_08.xlsx&amp;sheet=A0&amp;row=1152&amp;col=7&amp;number=0&amp;sourceID=14","0")</f>
        <v>0</v>
      </c>
    </row>
    <row r="1153" spans="1:7">
      <c r="A1153" s="3">
        <v>16</v>
      </c>
      <c r="B1153" s="3">
        <v>8</v>
      </c>
      <c r="C1153" s="3">
        <v>81</v>
      </c>
      <c r="D1153" s="3">
        <v>7</v>
      </c>
      <c r="E1153" s="3">
        <v>58.734</v>
      </c>
      <c r="F1153" s="4" t="str">
        <f>HYPERLINK("http://141.218.60.56/~jnz1568/getInfo.php?workbook=16_08.xlsx&amp;sheet=A0&amp;row=1153&amp;col=6&amp;number=58440&amp;sourceID=14","58440")</f>
        <v>58440</v>
      </c>
      <c r="G1153" s="4" t="str">
        <f>HYPERLINK("http://141.218.60.56/~jnz1568/getInfo.php?workbook=16_08.xlsx&amp;sheet=A0&amp;row=1153&amp;col=7&amp;number=0&amp;sourceID=14","0")</f>
        <v>0</v>
      </c>
    </row>
    <row r="1154" spans="1:7">
      <c r="A1154" s="3">
        <v>16</v>
      </c>
      <c r="B1154" s="3">
        <v>8</v>
      </c>
      <c r="C1154" s="3">
        <v>81</v>
      </c>
      <c r="D1154" s="3">
        <v>8</v>
      </c>
      <c r="E1154" s="3">
        <v>58.869</v>
      </c>
      <c r="F1154" s="4" t="str">
        <f>HYPERLINK("http://141.218.60.56/~jnz1568/getInfo.php?workbook=16_08.xlsx&amp;sheet=A0&amp;row=1154&amp;col=6&amp;number=145200&amp;sourceID=14","145200")</f>
        <v>145200</v>
      </c>
      <c r="G1154" s="4" t="str">
        <f>HYPERLINK("http://141.218.60.56/~jnz1568/getInfo.php?workbook=16_08.xlsx&amp;sheet=A0&amp;row=1154&amp;col=7&amp;number=0&amp;sourceID=14","0")</f>
        <v>0</v>
      </c>
    </row>
    <row r="1155" spans="1:7">
      <c r="A1155" s="3">
        <v>16</v>
      </c>
      <c r="B1155" s="3">
        <v>8</v>
      </c>
      <c r="C1155" s="3">
        <v>81</v>
      </c>
      <c r="D1155" s="3">
        <v>9</v>
      </c>
      <c r="E1155" s="3">
        <v>64.998</v>
      </c>
      <c r="F1155" s="4" t="str">
        <f>HYPERLINK("http://141.218.60.56/~jnz1568/getInfo.php?workbook=16_08.xlsx&amp;sheet=A0&amp;row=1155&amp;col=6&amp;number=86220&amp;sourceID=14","86220")</f>
        <v>86220</v>
      </c>
      <c r="G1155" s="4" t="str">
        <f>HYPERLINK("http://141.218.60.56/~jnz1568/getInfo.php?workbook=16_08.xlsx&amp;sheet=A0&amp;row=1155&amp;col=7&amp;number=0&amp;sourceID=14","0")</f>
        <v>0</v>
      </c>
    </row>
    <row r="1156" spans="1:7">
      <c r="A1156" s="3">
        <v>16</v>
      </c>
      <c r="B1156" s="3">
        <v>8</v>
      </c>
      <c r="C1156" s="3">
        <v>81</v>
      </c>
      <c r="D1156" s="3">
        <v>12</v>
      </c>
      <c r="E1156" s="3">
        <v>269.233</v>
      </c>
      <c r="F1156" s="4" t="str">
        <f>HYPERLINK("http://141.218.60.56/~jnz1568/getInfo.php?workbook=16_08.xlsx&amp;sheet=A0&amp;row=1156&amp;col=6&amp;number=9287&amp;sourceID=14","9287")</f>
        <v>9287</v>
      </c>
      <c r="G1156" s="4" t="str">
        <f>HYPERLINK("http://141.218.60.56/~jnz1568/getInfo.php?workbook=16_08.xlsx&amp;sheet=A0&amp;row=1156&amp;col=7&amp;number=0&amp;sourceID=14","0")</f>
        <v>0</v>
      </c>
    </row>
    <row r="1157" spans="1:7">
      <c r="A1157" s="3">
        <v>16</v>
      </c>
      <c r="B1157" s="3">
        <v>8</v>
      </c>
      <c r="C1157" s="3">
        <v>81</v>
      </c>
      <c r="D1157" s="3">
        <v>16</v>
      </c>
      <c r="E1157" s="3">
        <v>337.953</v>
      </c>
      <c r="F1157" s="4" t="str">
        <f>HYPERLINK("http://141.218.60.56/~jnz1568/getInfo.php?workbook=16_08.xlsx&amp;sheet=A0&amp;row=1157&amp;col=6&amp;number=9865&amp;sourceID=14","9865")</f>
        <v>9865</v>
      </c>
      <c r="G1157" s="4" t="str">
        <f>HYPERLINK("http://141.218.60.56/~jnz1568/getInfo.php?workbook=16_08.xlsx&amp;sheet=A0&amp;row=1157&amp;col=7&amp;number=0&amp;sourceID=14","0")</f>
        <v>0</v>
      </c>
    </row>
    <row r="1158" spans="1:7">
      <c r="A1158" s="3">
        <v>16</v>
      </c>
      <c r="B1158" s="3">
        <v>8</v>
      </c>
      <c r="C1158" s="3">
        <v>81</v>
      </c>
      <c r="D1158" s="3">
        <v>18</v>
      </c>
      <c r="E1158" s="3">
        <v>349.512</v>
      </c>
      <c r="F1158" s="4" t="str">
        <f>HYPERLINK("http://141.218.60.56/~jnz1568/getInfo.php?workbook=16_08.xlsx&amp;sheet=A0&amp;row=1158&amp;col=6&amp;number=23610&amp;sourceID=14","23610")</f>
        <v>23610</v>
      </c>
      <c r="G1158" s="4" t="str">
        <f>HYPERLINK("http://141.218.60.56/~jnz1568/getInfo.php?workbook=16_08.xlsx&amp;sheet=A0&amp;row=1158&amp;col=7&amp;number=0&amp;sourceID=14","0")</f>
        <v>0</v>
      </c>
    </row>
    <row r="1159" spans="1:7">
      <c r="A1159" s="3">
        <v>16</v>
      </c>
      <c r="B1159" s="3">
        <v>8</v>
      </c>
      <c r="C1159" s="3">
        <v>81</v>
      </c>
      <c r="D1159" s="3">
        <v>19</v>
      </c>
      <c r="E1159" s="3">
        <v>351.015</v>
      </c>
      <c r="F1159" s="4" t="str">
        <f>HYPERLINK("http://141.218.60.56/~jnz1568/getInfo.php?workbook=16_08.xlsx&amp;sheet=A0&amp;row=1159&amp;col=6&amp;number=75020&amp;sourceID=14","75020")</f>
        <v>75020</v>
      </c>
      <c r="G1159" s="4" t="str">
        <f>HYPERLINK("http://141.218.60.56/~jnz1568/getInfo.php?workbook=16_08.xlsx&amp;sheet=A0&amp;row=1159&amp;col=7&amp;number=0&amp;sourceID=14","0")</f>
        <v>0</v>
      </c>
    </row>
    <row r="1160" spans="1:7">
      <c r="A1160" s="3">
        <v>16</v>
      </c>
      <c r="B1160" s="3">
        <v>8</v>
      </c>
      <c r="C1160" s="3">
        <v>81</v>
      </c>
      <c r="D1160" s="3">
        <v>20</v>
      </c>
      <c r="E1160" s="3">
        <v>382.006</v>
      </c>
      <c r="F1160" s="4" t="str">
        <f>HYPERLINK("http://141.218.60.56/~jnz1568/getInfo.php?workbook=16_08.xlsx&amp;sheet=A0&amp;row=1160&amp;col=6&amp;number=480200&amp;sourceID=14","480200")</f>
        <v>480200</v>
      </c>
      <c r="G1160" s="4" t="str">
        <f>HYPERLINK("http://141.218.60.56/~jnz1568/getInfo.php?workbook=16_08.xlsx&amp;sheet=A0&amp;row=1160&amp;col=7&amp;number=0&amp;sourceID=14","0")</f>
        <v>0</v>
      </c>
    </row>
    <row r="1161" spans="1:7">
      <c r="A1161" s="3">
        <v>16</v>
      </c>
      <c r="B1161" s="3">
        <v>8</v>
      </c>
      <c r="C1161" s="3">
        <v>81</v>
      </c>
      <c r="D1161" s="3">
        <v>21</v>
      </c>
      <c r="E1161" s="3">
        <v>382.554</v>
      </c>
      <c r="F1161" s="4" t="str">
        <f>HYPERLINK("http://141.218.60.56/~jnz1568/getInfo.php?workbook=16_08.xlsx&amp;sheet=A0&amp;row=1161&amp;col=6&amp;number=6910000&amp;sourceID=14","6910000")</f>
        <v>6910000</v>
      </c>
      <c r="G1161" s="4" t="str">
        <f>HYPERLINK("http://141.218.60.56/~jnz1568/getInfo.php?workbook=16_08.xlsx&amp;sheet=A0&amp;row=1161&amp;col=7&amp;number=0&amp;sourceID=14","0")</f>
        <v>0</v>
      </c>
    </row>
    <row r="1162" spans="1:7">
      <c r="A1162" s="3">
        <v>16</v>
      </c>
      <c r="B1162" s="3">
        <v>8</v>
      </c>
      <c r="C1162" s="3">
        <v>81</v>
      </c>
      <c r="D1162" s="3">
        <v>23</v>
      </c>
      <c r="E1162" s="3">
        <v>377.592</v>
      </c>
      <c r="F1162" s="4" t="str">
        <f>HYPERLINK("http://141.218.60.56/~jnz1568/getInfo.php?workbook=16_08.xlsx&amp;sheet=A0&amp;row=1162&amp;col=6&amp;number=13550&amp;sourceID=14","13550")</f>
        <v>13550</v>
      </c>
      <c r="G1162" s="4" t="str">
        <f>HYPERLINK("http://141.218.60.56/~jnz1568/getInfo.php?workbook=16_08.xlsx&amp;sheet=A0&amp;row=1162&amp;col=7&amp;number=0&amp;sourceID=14","0")</f>
        <v>0</v>
      </c>
    </row>
    <row r="1163" spans="1:7">
      <c r="A1163" s="3">
        <v>16</v>
      </c>
      <c r="B1163" s="3">
        <v>8</v>
      </c>
      <c r="C1163" s="3">
        <v>81</v>
      </c>
      <c r="D1163" s="3">
        <v>24</v>
      </c>
      <c r="E1163" s="3">
        <v>378.382</v>
      </c>
      <c r="F1163" s="4" t="str">
        <f>HYPERLINK("http://141.218.60.56/~jnz1568/getInfo.php?workbook=16_08.xlsx&amp;sheet=A0&amp;row=1163&amp;col=6&amp;number=5350&amp;sourceID=14","5350")</f>
        <v>5350</v>
      </c>
      <c r="G1163" s="4" t="str">
        <f>HYPERLINK("http://141.218.60.56/~jnz1568/getInfo.php?workbook=16_08.xlsx&amp;sheet=A0&amp;row=1163&amp;col=7&amp;number=0&amp;sourceID=14","0")</f>
        <v>0</v>
      </c>
    </row>
    <row r="1164" spans="1:7">
      <c r="A1164" s="3">
        <v>16</v>
      </c>
      <c r="B1164" s="3">
        <v>8</v>
      </c>
      <c r="C1164" s="3">
        <v>81</v>
      </c>
      <c r="D1164" s="3">
        <v>25</v>
      </c>
      <c r="E1164" s="3">
        <v>380.52</v>
      </c>
      <c r="F1164" s="4" t="str">
        <f>HYPERLINK("http://141.218.60.56/~jnz1568/getInfo.php?workbook=16_08.xlsx&amp;sheet=A0&amp;row=1164&amp;col=6&amp;number=26710&amp;sourceID=14","26710")</f>
        <v>26710</v>
      </c>
      <c r="G1164" s="4" t="str">
        <f>HYPERLINK("http://141.218.60.56/~jnz1568/getInfo.php?workbook=16_08.xlsx&amp;sheet=A0&amp;row=1164&amp;col=7&amp;number=0&amp;sourceID=14","0")</f>
        <v>0</v>
      </c>
    </row>
    <row r="1165" spans="1:7">
      <c r="A1165" s="3">
        <v>16</v>
      </c>
      <c r="B1165" s="3">
        <v>8</v>
      </c>
      <c r="C1165" s="3">
        <v>81</v>
      </c>
      <c r="D1165" s="3">
        <v>26</v>
      </c>
      <c r="E1165" s="3">
        <v>399.746</v>
      </c>
      <c r="F1165" s="4" t="str">
        <f>HYPERLINK("http://141.218.60.56/~jnz1568/getInfo.php?workbook=16_08.xlsx&amp;sheet=A0&amp;row=1165&amp;col=6&amp;number=3405&amp;sourceID=14","3405")</f>
        <v>3405</v>
      </c>
      <c r="G1165" s="4" t="str">
        <f>HYPERLINK("http://141.218.60.56/~jnz1568/getInfo.php?workbook=16_08.xlsx&amp;sheet=A0&amp;row=1165&amp;col=7&amp;number=0&amp;sourceID=14","0")</f>
        <v>0</v>
      </c>
    </row>
    <row r="1166" spans="1:7">
      <c r="A1166" s="3">
        <v>16</v>
      </c>
      <c r="B1166" s="3">
        <v>8</v>
      </c>
      <c r="C1166" s="3">
        <v>81</v>
      </c>
      <c r="D1166" s="3">
        <v>27</v>
      </c>
      <c r="E1166" s="3">
        <v>-487.907</v>
      </c>
      <c r="F1166" s="4" t="str">
        <f>HYPERLINK("http://141.218.60.56/~jnz1568/getInfo.php?workbook=16_08.xlsx&amp;sheet=A0&amp;row=1166&amp;col=6&amp;number=2992000&amp;sourceID=14","2992000")</f>
        <v>2992000</v>
      </c>
      <c r="G1166" s="4" t="str">
        <f>HYPERLINK("http://141.218.60.56/~jnz1568/getInfo.php?workbook=16_08.xlsx&amp;sheet=A0&amp;row=1166&amp;col=7&amp;number=0&amp;sourceID=14","0")</f>
        <v>0</v>
      </c>
    </row>
    <row r="1167" spans="1:7">
      <c r="A1167" s="3">
        <v>16</v>
      </c>
      <c r="B1167" s="3">
        <v>8</v>
      </c>
      <c r="C1167" s="3">
        <v>81</v>
      </c>
      <c r="D1167" s="3">
        <v>28</v>
      </c>
      <c r="E1167" s="3">
        <v>486.874</v>
      </c>
      <c r="F1167" s="4" t="str">
        <f>HYPERLINK("http://141.218.60.56/~jnz1568/getInfo.php?workbook=16_08.xlsx&amp;sheet=A0&amp;row=1167&amp;col=6&amp;number=9217000&amp;sourceID=14","9217000")</f>
        <v>9217000</v>
      </c>
      <c r="G1167" s="4" t="str">
        <f>HYPERLINK("http://141.218.60.56/~jnz1568/getInfo.php?workbook=16_08.xlsx&amp;sheet=A0&amp;row=1167&amp;col=7&amp;number=0&amp;sourceID=14","0")</f>
        <v>0</v>
      </c>
    </row>
    <row r="1168" spans="1:7">
      <c r="A1168" s="3">
        <v>16</v>
      </c>
      <c r="B1168" s="3">
        <v>8</v>
      </c>
      <c r="C1168" s="3">
        <v>81</v>
      </c>
      <c r="D1168" s="3">
        <v>29</v>
      </c>
      <c r="E1168" s="3">
        <v>491.019</v>
      </c>
      <c r="F1168" s="4" t="str">
        <f>HYPERLINK("http://141.218.60.56/~jnz1568/getInfo.php?workbook=16_08.xlsx&amp;sheet=A0&amp;row=1168&amp;col=6&amp;number=21420000&amp;sourceID=14","21420000")</f>
        <v>21420000</v>
      </c>
      <c r="G1168" s="4" t="str">
        <f>HYPERLINK("http://141.218.60.56/~jnz1568/getInfo.php?workbook=16_08.xlsx&amp;sheet=A0&amp;row=1168&amp;col=7&amp;number=0&amp;sourceID=14","0")</f>
        <v>0</v>
      </c>
    </row>
    <row r="1169" spans="1:7">
      <c r="A1169" s="3">
        <v>16</v>
      </c>
      <c r="B1169" s="3">
        <v>8</v>
      </c>
      <c r="C1169" s="3">
        <v>81</v>
      </c>
      <c r="D1169" s="3">
        <v>30</v>
      </c>
      <c r="E1169" s="3">
        <v>-474.552</v>
      </c>
      <c r="F1169" s="4" t="str">
        <f>HYPERLINK("http://141.218.60.56/~jnz1568/getInfo.php?workbook=16_08.xlsx&amp;sheet=A0&amp;row=1169&amp;col=6&amp;number=1948000&amp;sourceID=14","1948000")</f>
        <v>1948000</v>
      </c>
      <c r="G1169" s="4" t="str">
        <f>HYPERLINK("http://141.218.60.56/~jnz1568/getInfo.php?workbook=16_08.xlsx&amp;sheet=A0&amp;row=1169&amp;col=7&amp;number=0&amp;sourceID=14","0")</f>
        <v>0</v>
      </c>
    </row>
    <row r="1170" spans="1:7">
      <c r="A1170" s="3">
        <v>16</v>
      </c>
      <c r="B1170" s="3">
        <v>8</v>
      </c>
      <c r="C1170" s="3">
        <v>81</v>
      </c>
      <c r="D1170" s="3">
        <v>31</v>
      </c>
      <c r="E1170" s="3">
        <v>507.282</v>
      </c>
      <c r="F1170" s="4" t="str">
        <f>HYPERLINK("http://141.218.60.56/~jnz1568/getInfo.php?workbook=16_08.xlsx&amp;sheet=A0&amp;row=1170&amp;col=6&amp;number=851800&amp;sourceID=14","851800")</f>
        <v>851800</v>
      </c>
      <c r="G1170" s="4" t="str">
        <f>HYPERLINK("http://141.218.60.56/~jnz1568/getInfo.php?workbook=16_08.xlsx&amp;sheet=A0&amp;row=1170&amp;col=7&amp;number=0&amp;sourceID=14","0")</f>
        <v>0</v>
      </c>
    </row>
    <row r="1171" spans="1:7">
      <c r="A1171" s="3">
        <v>16</v>
      </c>
      <c r="B1171" s="3">
        <v>8</v>
      </c>
      <c r="C1171" s="3">
        <v>81</v>
      </c>
      <c r="D1171" s="3">
        <v>32</v>
      </c>
      <c r="E1171" s="3">
        <v>510.051</v>
      </c>
      <c r="F1171" s="4" t="str">
        <f>HYPERLINK("http://141.218.60.56/~jnz1568/getInfo.php?workbook=16_08.xlsx&amp;sheet=A0&amp;row=1171&amp;col=6&amp;number=20000000&amp;sourceID=14","20000000")</f>
        <v>20000000</v>
      </c>
      <c r="G1171" s="4" t="str">
        <f>HYPERLINK("http://141.218.60.56/~jnz1568/getInfo.php?workbook=16_08.xlsx&amp;sheet=A0&amp;row=1171&amp;col=7&amp;number=0&amp;sourceID=14","0")</f>
        <v>0</v>
      </c>
    </row>
    <row r="1172" spans="1:7">
      <c r="A1172" s="3">
        <v>16</v>
      </c>
      <c r="B1172" s="3">
        <v>8</v>
      </c>
      <c r="C1172" s="3">
        <v>81</v>
      </c>
      <c r="D1172" s="3">
        <v>34</v>
      </c>
      <c r="E1172" s="3">
        <v>522.051</v>
      </c>
      <c r="F1172" s="4" t="str">
        <f>HYPERLINK("http://141.218.60.56/~jnz1568/getInfo.php?workbook=16_08.xlsx&amp;sheet=A0&amp;row=1172&amp;col=6&amp;number=60140000&amp;sourceID=14","60140000")</f>
        <v>60140000</v>
      </c>
      <c r="G1172" s="4" t="str">
        <f>HYPERLINK("http://141.218.60.56/~jnz1568/getInfo.php?workbook=16_08.xlsx&amp;sheet=A0&amp;row=1172&amp;col=7&amp;number=0&amp;sourceID=14","0")</f>
        <v>0</v>
      </c>
    </row>
    <row r="1173" spans="1:7">
      <c r="A1173" s="3">
        <v>16</v>
      </c>
      <c r="B1173" s="3">
        <v>8</v>
      </c>
      <c r="C1173" s="3">
        <v>81</v>
      </c>
      <c r="D1173" s="3">
        <v>36</v>
      </c>
      <c r="E1173" s="3">
        <v>615.908</v>
      </c>
      <c r="F1173" s="4" t="str">
        <f>HYPERLINK("http://141.218.60.56/~jnz1568/getInfo.php?workbook=16_08.xlsx&amp;sheet=A0&amp;row=1173&amp;col=6&amp;number=78310000&amp;sourceID=14","78310000")</f>
        <v>78310000</v>
      </c>
      <c r="G1173" s="4" t="str">
        <f>HYPERLINK("http://141.218.60.56/~jnz1568/getInfo.php?workbook=16_08.xlsx&amp;sheet=A0&amp;row=1173&amp;col=7&amp;number=0&amp;sourceID=14","0")</f>
        <v>0</v>
      </c>
    </row>
    <row r="1174" spans="1:7">
      <c r="A1174" s="3">
        <v>16</v>
      </c>
      <c r="B1174" s="3">
        <v>8</v>
      </c>
      <c r="C1174" s="3">
        <v>81</v>
      </c>
      <c r="D1174" s="3">
        <v>37</v>
      </c>
      <c r="E1174" s="3">
        <v>610.061</v>
      </c>
      <c r="F1174" s="4" t="str">
        <f>HYPERLINK("http://141.218.60.56/~jnz1568/getInfo.php?workbook=16_08.xlsx&amp;sheet=A0&amp;row=1174&amp;col=6&amp;number=68100000&amp;sourceID=14","68100000")</f>
        <v>68100000</v>
      </c>
      <c r="G1174" s="4" t="str">
        <f>HYPERLINK("http://141.218.60.56/~jnz1568/getInfo.php?workbook=16_08.xlsx&amp;sheet=A0&amp;row=1174&amp;col=7&amp;number=0&amp;sourceID=14","0")</f>
        <v>0</v>
      </c>
    </row>
    <row r="1175" spans="1:7">
      <c r="A1175" s="3">
        <v>16</v>
      </c>
      <c r="B1175" s="3">
        <v>8</v>
      </c>
      <c r="C1175" s="3">
        <v>81</v>
      </c>
      <c r="D1175" s="3">
        <v>43</v>
      </c>
      <c r="E1175" s="3">
        <v>-598.857</v>
      </c>
      <c r="F1175" s="4" t="str">
        <f>HYPERLINK("http://141.218.60.56/~jnz1568/getInfo.php?workbook=16_08.xlsx&amp;sheet=A0&amp;row=1175&amp;col=6&amp;number=36250000&amp;sourceID=14","36250000")</f>
        <v>36250000</v>
      </c>
      <c r="G1175" s="4" t="str">
        <f>HYPERLINK("http://141.218.60.56/~jnz1568/getInfo.php?workbook=16_08.xlsx&amp;sheet=A0&amp;row=1175&amp;col=7&amp;number=0&amp;sourceID=14","0")</f>
        <v>0</v>
      </c>
    </row>
    <row r="1176" spans="1:7">
      <c r="A1176" s="3">
        <v>16</v>
      </c>
      <c r="B1176" s="3">
        <v>8</v>
      </c>
      <c r="C1176" s="3">
        <v>81</v>
      </c>
      <c r="D1176" s="3">
        <v>44</v>
      </c>
      <c r="E1176" s="3">
        <v>615.908</v>
      </c>
      <c r="F1176" s="4" t="str">
        <f>HYPERLINK("http://141.218.60.56/~jnz1568/getInfo.php?workbook=16_08.xlsx&amp;sheet=A0&amp;row=1176&amp;col=6&amp;number=462500000&amp;sourceID=14","462500000")</f>
        <v>462500000</v>
      </c>
      <c r="G1176" s="4" t="str">
        <f>HYPERLINK("http://141.218.60.56/~jnz1568/getInfo.php?workbook=16_08.xlsx&amp;sheet=A0&amp;row=1176&amp;col=7&amp;number=0&amp;sourceID=14","0")</f>
        <v>0</v>
      </c>
    </row>
    <row r="1177" spans="1:7">
      <c r="A1177" s="3">
        <v>16</v>
      </c>
      <c r="B1177" s="3">
        <v>8</v>
      </c>
      <c r="C1177" s="3">
        <v>81</v>
      </c>
      <c r="D1177" s="3">
        <v>45</v>
      </c>
      <c r="E1177" s="3">
        <v>-645.051</v>
      </c>
      <c r="F1177" s="4" t="str">
        <f>HYPERLINK("http://141.218.60.56/~jnz1568/getInfo.php?workbook=16_08.xlsx&amp;sheet=A0&amp;row=1177&amp;col=6&amp;number=27190000&amp;sourceID=14","27190000")</f>
        <v>27190000</v>
      </c>
      <c r="G1177" s="4" t="str">
        <f>HYPERLINK("http://141.218.60.56/~jnz1568/getInfo.php?workbook=16_08.xlsx&amp;sheet=A0&amp;row=1177&amp;col=7&amp;number=0&amp;sourceID=14","0")</f>
        <v>0</v>
      </c>
    </row>
    <row r="1178" spans="1:7">
      <c r="A1178" s="3">
        <v>16</v>
      </c>
      <c r="B1178" s="3">
        <v>8</v>
      </c>
      <c r="C1178" s="3">
        <v>81</v>
      </c>
      <c r="D1178" s="3">
        <v>46</v>
      </c>
      <c r="E1178" s="3">
        <v>666.631</v>
      </c>
      <c r="F1178" s="4" t="str">
        <f>HYPERLINK("http://141.218.60.56/~jnz1568/getInfo.php?workbook=16_08.xlsx&amp;sheet=A0&amp;row=1178&amp;col=6&amp;number=70150000&amp;sourceID=14","70150000")</f>
        <v>70150000</v>
      </c>
      <c r="G1178" s="4" t="str">
        <f>HYPERLINK("http://141.218.60.56/~jnz1568/getInfo.php?workbook=16_08.xlsx&amp;sheet=A0&amp;row=1178&amp;col=7&amp;number=0&amp;sourceID=14","0")</f>
        <v>0</v>
      </c>
    </row>
    <row r="1179" spans="1:7">
      <c r="A1179" s="3">
        <v>16</v>
      </c>
      <c r="B1179" s="3">
        <v>8</v>
      </c>
      <c r="C1179" s="3">
        <v>81</v>
      </c>
      <c r="D1179" s="3">
        <v>47</v>
      </c>
      <c r="E1179" s="3">
        <v>-680.287</v>
      </c>
      <c r="F1179" s="4" t="str">
        <f>HYPERLINK("http://141.218.60.56/~jnz1568/getInfo.php?workbook=16_08.xlsx&amp;sheet=A0&amp;row=1179&amp;col=6&amp;number=547600&amp;sourceID=14","547600")</f>
        <v>547600</v>
      </c>
      <c r="G1179" s="4" t="str">
        <f>HYPERLINK("http://141.218.60.56/~jnz1568/getInfo.php?workbook=16_08.xlsx&amp;sheet=A0&amp;row=1179&amp;col=7&amp;number=0&amp;sourceID=14","0")</f>
        <v>0</v>
      </c>
    </row>
    <row r="1180" spans="1:7">
      <c r="A1180" s="3">
        <v>16</v>
      </c>
      <c r="B1180" s="3">
        <v>8</v>
      </c>
      <c r="C1180" s="3">
        <v>81</v>
      </c>
      <c r="D1180" s="3">
        <v>48</v>
      </c>
      <c r="E1180" s="3">
        <v>-691.944</v>
      </c>
      <c r="F1180" s="4" t="str">
        <f>HYPERLINK("http://141.218.60.56/~jnz1568/getInfo.php?workbook=16_08.xlsx&amp;sheet=A0&amp;row=1180&amp;col=6&amp;number=433200000&amp;sourceID=14","433200000")</f>
        <v>433200000</v>
      </c>
      <c r="G1180" s="4" t="str">
        <f>HYPERLINK("http://141.218.60.56/~jnz1568/getInfo.php?workbook=16_08.xlsx&amp;sheet=A0&amp;row=1180&amp;col=7&amp;number=0&amp;sourceID=14","0")</f>
        <v>0</v>
      </c>
    </row>
    <row r="1181" spans="1:7">
      <c r="A1181" s="3">
        <v>16</v>
      </c>
      <c r="B1181" s="3">
        <v>8</v>
      </c>
      <c r="C1181" s="3">
        <v>81</v>
      </c>
      <c r="D1181" s="3">
        <v>52</v>
      </c>
      <c r="E1181" s="3">
        <v>-734.75</v>
      </c>
      <c r="F1181" s="4" t="str">
        <f>HYPERLINK("http://141.218.60.56/~jnz1568/getInfo.php?workbook=16_08.xlsx&amp;sheet=A0&amp;row=1181&amp;col=6&amp;number=514800000&amp;sourceID=14","514800000")</f>
        <v>514800000</v>
      </c>
      <c r="G1181" s="4" t="str">
        <f>HYPERLINK("http://141.218.60.56/~jnz1568/getInfo.php?workbook=16_08.xlsx&amp;sheet=A0&amp;row=1181&amp;col=7&amp;number=0&amp;sourceID=14","0")</f>
        <v>0</v>
      </c>
    </row>
    <row r="1182" spans="1:7">
      <c r="A1182" s="3">
        <v>16</v>
      </c>
      <c r="B1182" s="3">
        <v>8</v>
      </c>
      <c r="C1182" s="3">
        <v>81</v>
      </c>
      <c r="D1182" s="3">
        <v>53</v>
      </c>
      <c r="E1182" s="3">
        <v>-746.788</v>
      </c>
      <c r="F1182" s="4" t="str">
        <f>HYPERLINK("http://141.218.60.56/~jnz1568/getInfo.php?workbook=16_08.xlsx&amp;sheet=A0&amp;row=1182&amp;col=6&amp;number=783300000&amp;sourceID=14","783300000")</f>
        <v>783300000</v>
      </c>
      <c r="G1182" s="4" t="str">
        <f>HYPERLINK("http://141.218.60.56/~jnz1568/getInfo.php?workbook=16_08.xlsx&amp;sheet=A0&amp;row=1182&amp;col=7&amp;number=0&amp;sourceID=14","0")</f>
        <v>0</v>
      </c>
    </row>
    <row r="1183" spans="1:7">
      <c r="A1183" s="3">
        <v>16</v>
      </c>
      <c r="B1183" s="3">
        <v>8</v>
      </c>
      <c r="C1183" s="3">
        <v>81</v>
      </c>
      <c r="D1183" s="3">
        <v>55</v>
      </c>
      <c r="E1183" s="3">
        <v>-929.374</v>
      </c>
      <c r="F1183" s="4" t="str">
        <f>HYPERLINK("http://141.218.60.56/~jnz1568/getInfo.php?workbook=16_08.xlsx&amp;sheet=A0&amp;row=1183&amp;col=6&amp;number=15760000&amp;sourceID=14","15760000")</f>
        <v>15760000</v>
      </c>
      <c r="G1183" s="4" t="str">
        <f>HYPERLINK("http://141.218.60.56/~jnz1568/getInfo.php?workbook=16_08.xlsx&amp;sheet=A0&amp;row=1183&amp;col=7&amp;number=0&amp;sourceID=14","0")</f>
        <v>0</v>
      </c>
    </row>
    <row r="1184" spans="1:7">
      <c r="A1184" s="3">
        <v>16</v>
      </c>
      <c r="B1184" s="3">
        <v>8</v>
      </c>
      <c r="C1184" s="3">
        <v>82</v>
      </c>
      <c r="D1184" s="3">
        <v>1</v>
      </c>
      <c r="E1184" s="3">
        <v>46.373</v>
      </c>
      <c r="F1184" s="4" t="str">
        <f>HYPERLINK("http://141.218.60.56/~jnz1568/getInfo.php?workbook=16_08.xlsx&amp;sheet=A0&amp;row=1184&amp;col=6&amp;number=545500000000&amp;sourceID=14","545500000000")</f>
        <v>545500000000</v>
      </c>
      <c r="G1184" s="4" t="str">
        <f>HYPERLINK("http://141.218.60.56/~jnz1568/getInfo.php?workbook=16_08.xlsx&amp;sheet=A0&amp;row=1184&amp;col=7&amp;number=0&amp;sourceID=14","0")</f>
        <v>0</v>
      </c>
    </row>
    <row r="1185" spans="1:7">
      <c r="A1185" s="3">
        <v>16</v>
      </c>
      <c r="B1185" s="3">
        <v>8</v>
      </c>
      <c r="C1185" s="3">
        <v>82</v>
      </c>
      <c r="D1185" s="3">
        <v>2</v>
      </c>
      <c r="E1185" s="3">
        <v>46.545</v>
      </c>
      <c r="F1185" s="4" t="str">
        <f>HYPERLINK("http://141.218.60.56/~jnz1568/getInfo.php?workbook=16_08.xlsx&amp;sheet=A0&amp;row=1185&amp;col=6&amp;number=4260&amp;sourceID=14","4260")</f>
        <v>4260</v>
      </c>
      <c r="G1185" s="4" t="str">
        <f>HYPERLINK("http://141.218.60.56/~jnz1568/getInfo.php?workbook=16_08.xlsx&amp;sheet=A0&amp;row=1185&amp;col=7&amp;number=0&amp;sourceID=14","0")</f>
        <v>0</v>
      </c>
    </row>
    <row r="1186" spans="1:7">
      <c r="A1186" s="3">
        <v>16</v>
      </c>
      <c r="B1186" s="3">
        <v>8</v>
      </c>
      <c r="C1186" s="3">
        <v>82</v>
      </c>
      <c r="D1186" s="3">
        <v>4</v>
      </c>
      <c r="E1186" s="3">
        <v>47.661</v>
      </c>
      <c r="F1186" s="4" t="str">
        <f>HYPERLINK("http://141.218.60.56/~jnz1568/getInfo.php?workbook=16_08.xlsx&amp;sheet=A0&amp;row=1186&amp;col=6&amp;number=21800000000&amp;sourceID=14","21800000000")</f>
        <v>21800000000</v>
      </c>
      <c r="G1186" s="4" t="str">
        <f>HYPERLINK("http://141.218.60.56/~jnz1568/getInfo.php?workbook=16_08.xlsx&amp;sheet=A0&amp;row=1186&amp;col=7&amp;number=0&amp;sourceID=14","0")</f>
        <v>0</v>
      </c>
    </row>
    <row r="1187" spans="1:7">
      <c r="A1187" s="3">
        <v>16</v>
      </c>
      <c r="B1187" s="3">
        <v>8</v>
      </c>
      <c r="C1187" s="3">
        <v>82</v>
      </c>
      <c r="D1187" s="3">
        <v>6</v>
      </c>
      <c r="E1187" s="3">
        <v>58.43</v>
      </c>
      <c r="F1187" s="4" t="str">
        <f>HYPERLINK("http://141.218.60.56/~jnz1568/getInfo.php?workbook=16_08.xlsx&amp;sheet=A0&amp;row=1187&amp;col=6&amp;number=623000&amp;sourceID=14","623000")</f>
        <v>623000</v>
      </c>
      <c r="G1187" s="4" t="str">
        <f>HYPERLINK("http://141.218.60.56/~jnz1568/getInfo.php?workbook=16_08.xlsx&amp;sheet=A0&amp;row=1187&amp;col=7&amp;number=0&amp;sourceID=14","0")</f>
        <v>0</v>
      </c>
    </row>
    <row r="1188" spans="1:7">
      <c r="A1188" s="3">
        <v>16</v>
      </c>
      <c r="B1188" s="3">
        <v>8</v>
      </c>
      <c r="C1188" s="3">
        <v>82</v>
      </c>
      <c r="D1188" s="3">
        <v>7</v>
      </c>
      <c r="E1188" s="3">
        <v>58.671</v>
      </c>
      <c r="F1188" s="4" t="str">
        <f>HYPERLINK("http://141.218.60.56/~jnz1568/getInfo.php?workbook=16_08.xlsx&amp;sheet=A0&amp;row=1188&amp;col=6&amp;number=80020&amp;sourceID=14","80020")</f>
        <v>80020</v>
      </c>
      <c r="G1188" s="4" t="str">
        <f>HYPERLINK("http://141.218.60.56/~jnz1568/getInfo.php?workbook=16_08.xlsx&amp;sheet=A0&amp;row=1188&amp;col=7&amp;number=0&amp;sourceID=14","0")</f>
        <v>0</v>
      </c>
    </row>
    <row r="1189" spans="1:7">
      <c r="A1189" s="3">
        <v>16</v>
      </c>
      <c r="B1189" s="3">
        <v>8</v>
      </c>
      <c r="C1189" s="3">
        <v>82</v>
      </c>
      <c r="D1189" s="3">
        <v>9</v>
      </c>
      <c r="E1189" s="3">
        <v>64.92</v>
      </c>
      <c r="F1189" s="4" t="str">
        <f>HYPERLINK("http://141.218.60.56/~jnz1568/getInfo.php?workbook=16_08.xlsx&amp;sheet=A0&amp;row=1189&amp;col=6&amp;number=66960&amp;sourceID=14","66960")</f>
        <v>66960</v>
      </c>
      <c r="G1189" s="4" t="str">
        <f>HYPERLINK("http://141.218.60.56/~jnz1568/getInfo.php?workbook=16_08.xlsx&amp;sheet=A0&amp;row=1189&amp;col=7&amp;number=0&amp;sourceID=14","0")</f>
        <v>0</v>
      </c>
    </row>
    <row r="1190" spans="1:7">
      <c r="A1190" s="3">
        <v>16</v>
      </c>
      <c r="B1190" s="3">
        <v>8</v>
      </c>
      <c r="C1190" s="3">
        <v>82</v>
      </c>
      <c r="D1190" s="3">
        <v>12</v>
      </c>
      <c r="E1190" s="3">
        <v>267.895</v>
      </c>
      <c r="F1190" s="4" t="str">
        <f>HYPERLINK("http://141.218.60.56/~jnz1568/getInfo.php?workbook=16_08.xlsx&amp;sheet=A0&amp;row=1190&amp;col=6&amp;number=5966&amp;sourceID=14","5966")</f>
        <v>5966</v>
      </c>
      <c r="G1190" s="4" t="str">
        <f>HYPERLINK("http://141.218.60.56/~jnz1568/getInfo.php?workbook=16_08.xlsx&amp;sheet=A0&amp;row=1190&amp;col=7&amp;number=0&amp;sourceID=14","0")</f>
        <v>0</v>
      </c>
    </row>
    <row r="1191" spans="1:7">
      <c r="A1191" s="3">
        <v>16</v>
      </c>
      <c r="B1191" s="3">
        <v>8</v>
      </c>
      <c r="C1191" s="3">
        <v>82</v>
      </c>
      <c r="D1191" s="3">
        <v>18</v>
      </c>
      <c r="E1191" s="3">
        <v>347.261</v>
      </c>
      <c r="F1191" s="4" t="str">
        <f>HYPERLINK("http://141.218.60.56/~jnz1568/getInfo.php?workbook=16_08.xlsx&amp;sheet=A0&amp;row=1191&amp;col=6&amp;number=5301&amp;sourceID=14","5301")</f>
        <v>5301</v>
      </c>
      <c r="G1191" s="4" t="str">
        <f>HYPERLINK("http://141.218.60.56/~jnz1568/getInfo.php?workbook=16_08.xlsx&amp;sheet=A0&amp;row=1191&amp;col=7&amp;number=0&amp;sourceID=14","0")</f>
        <v>0</v>
      </c>
    </row>
    <row r="1192" spans="1:7">
      <c r="A1192" s="3">
        <v>16</v>
      </c>
      <c r="B1192" s="3">
        <v>8</v>
      </c>
      <c r="C1192" s="3">
        <v>82</v>
      </c>
      <c r="D1192" s="3">
        <v>19</v>
      </c>
      <c r="E1192" s="3">
        <v>348.744</v>
      </c>
      <c r="F1192" s="4" t="str">
        <f>HYPERLINK("http://141.218.60.56/~jnz1568/getInfo.php?workbook=16_08.xlsx&amp;sheet=A0&amp;row=1192&amp;col=6&amp;number=535400&amp;sourceID=14","535400")</f>
        <v>535400</v>
      </c>
      <c r="G1192" s="4" t="str">
        <f>HYPERLINK("http://141.218.60.56/~jnz1568/getInfo.php?workbook=16_08.xlsx&amp;sheet=A0&amp;row=1192&amp;col=7&amp;number=0&amp;sourceID=14","0")</f>
        <v>0</v>
      </c>
    </row>
    <row r="1193" spans="1:7">
      <c r="A1193" s="3">
        <v>16</v>
      </c>
      <c r="B1193" s="3">
        <v>8</v>
      </c>
      <c r="C1193" s="3">
        <v>82</v>
      </c>
      <c r="D1193" s="3">
        <v>21</v>
      </c>
      <c r="E1193" s="3">
        <v>379.858</v>
      </c>
      <c r="F1193" s="4" t="str">
        <f>HYPERLINK("http://141.218.60.56/~jnz1568/getInfo.php?workbook=16_08.xlsx&amp;sheet=A0&amp;row=1193&amp;col=6&amp;number=996000&amp;sourceID=14","996000")</f>
        <v>996000</v>
      </c>
      <c r="G1193" s="4" t="str">
        <f>HYPERLINK("http://141.218.60.56/~jnz1568/getInfo.php?workbook=16_08.xlsx&amp;sheet=A0&amp;row=1193&amp;col=7&amp;number=0&amp;sourceID=14","0")</f>
        <v>0</v>
      </c>
    </row>
    <row r="1194" spans="1:7">
      <c r="A1194" s="3">
        <v>16</v>
      </c>
      <c r="B1194" s="3">
        <v>8</v>
      </c>
      <c r="C1194" s="3">
        <v>82</v>
      </c>
      <c r="D1194" s="3">
        <v>24</v>
      </c>
      <c r="E1194" s="3">
        <v>375.745</v>
      </c>
      <c r="F1194" s="4" t="str">
        <f>HYPERLINK("http://141.218.60.56/~jnz1568/getInfo.php?workbook=16_08.xlsx&amp;sheet=A0&amp;row=1194&amp;col=6&amp;number=8594&amp;sourceID=14","8594")</f>
        <v>8594</v>
      </c>
      <c r="G1194" s="4" t="str">
        <f>HYPERLINK("http://141.218.60.56/~jnz1568/getInfo.php?workbook=16_08.xlsx&amp;sheet=A0&amp;row=1194&amp;col=7&amp;number=0&amp;sourceID=14","0")</f>
        <v>0</v>
      </c>
    </row>
    <row r="1195" spans="1:7">
      <c r="A1195" s="3">
        <v>16</v>
      </c>
      <c r="B1195" s="3">
        <v>8</v>
      </c>
      <c r="C1195" s="3">
        <v>82</v>
      </c>
      <c r="D1195" s="3">
        <v>25</v>
      </c>
      <c r="E1195" s="3">
        <v>377.853</v>
      </c>
      <c r="F1195" s="4" t="str">
        <f>HYPERLINK("http://141.218.60.56/~jnz1568/getInfo.php?workbook=16_08.xlsx&amp;sheet=A0&amp;row=1195&amp;col=6&amp;number=43630&amp;sourceID=14","43630")</f>
        <v>43630</v>
      </c>
      <c r="G1195" s="4" t="str">
        <f>HYPERLINK("http://141.218.60.56/~jnz1568/getInfo.php?workbook=16_08.xlsx&amp;sheet=A0&amp;row=1195&amp;col=7&amp;number=0&amp;sourceID=14","0")</f>
        <v>0</v>
      </c>
    </row>
    <row r="1196" spans="1:7">
      <c r="A1196" s="3">
        <v>16</v>
      </c>
      <c r="B1196" s="3">
        <v>8</v>
      </c>
      <c r="C1196" s="3">
        <v>82</v>
      </c>
      <c r="D1196" s="3">
        <v>26</v>
      </c>
      <c r="E1196" s="3">
        <v>396.803</v>
      </c>
      <c r="F1196" s="4" t="str">
        <f>HYPERLINK("http://141.218.60.56/~jnz1568/getInfo.php?workbook=16_08.xlsx&amp;sheet=A0&amp;row=1196&amp;col=6&amp;number=2986&amp;sourceID=14","2986")</f>
        <v>2986</v>
      </c>
      <c r="G1196" s="4" t="str">
        <f>HYPERLINK("http://141.218.60.56/~jnz1568/getInfo.php?workbook=16_08.xlsx&amp;sheet=A0&amp;row=1196&amp;col=7&amp;number=0&amp;sourceID=14","0")</f>
        <v>0</v>
      </c>
    </row>
    <row r="1197" spans="1:7">
      <c r="A1197" s="3">
        <v>16</v>
      </c>
      <c r="B1197" s="3">
        <v>8</v>
      </c>
      <c r="C1197" s="3">
        <v>82</v>
      </c>
      <c r="D1197" s="3">
        <v>27</v>
      </c>
      <c r="E1197" s="3">
        <v>-484.763</v>
      </c>
      <c r="F1197" s="4" t="str">
        <f>HYPERLINK("http://141.218.60.56/~jnz1568/getInfo.php?workbook=16_08.xlsx&amp;sheet=A0&amp;row=1197&amp;col=6&amp;number=5773000&amp;sourceID=14","5773000")</f>
        <v>5773000</v>
      </c>
      <c r="G1197" s="4" t="str">
        <f>HYPERLINK("http://141.218.60.56/~jnz1568/getInfo.php?workbook=16_08.xlsx&amp;sheet=A0&amp;row=1197&amp;col=7&amp;number=0&amp;sourceID=14","0")</f>
        <v>0</v>
      </c>
    </row>
    <row r="1198" spans="1:7">
      <c r="A1198" s="3">
        <v>16</v>
      </c>
      <c r="B1198" s="3">
        <v>8</v>
      </c>
      <c r="C1198" s="3">
        <v>82</v>
      </c>
      <c r="D1198" s="3">
        <v>29</v>
      </c>
      <c r="E1198" s="3">
        <v>486.587</v>
      </c>
      <c r="F1198" s="4" t="str">
        <f>HYPERLINK("http://141.218.60.56/~jnz1568/getInfo.php?workbook=16_08.xlsx&amp;sheet=A0&amp;row=1198&amp;col=6&amp;number=26330000&amp;sourceID=14","26330000")</f>
        <v>26330000</v>
      </c>
      <c r="G1198" s="4" t="str">
        <f>HYPERLINK("http://141.218.60.56/~jnz1568/getInfo.php?workbook=16_08.xlsx&amp;sheet=A0&amp;row=1198&amp;col=7&amp;number=0&amp;sourceID=14","0")</f>
        <v>0</v>
      </c>
    </row>
    <row r="1199" spans="1:7">
      <c r="A1199" s="3">
        <v>16</v>
      </c>
      <c r="B1199" s="3">
        <v>8</v>
      </c>
      <c r="C1199" s="3">
        <v>82</v>
      </c>
      <c r="D1199" s="3">
        <v>31</v>
      </c>
      <c r="E1199" s="3">
        <v>502.553</v>
      </c>
      <c r="F1199" s="4" t="str">
        <f>HYPERLINK("http://141.218.60.56/~jnz1568/getInfo.php?workbook=16_08.xlsx&amp;sheet=A0&amp;row=1199&amp;col=6&amp;number=321800&amp;sourceID=14","321800")</f>
        <v>321800</v>
      </c>
      <c r="G1199" s="4" t="str">
        <f>HYPERLINK("http://141.218.60.56/~jnz1568/getInfo.php?workbook=16_08.xlsx&amp;sheet=A0&amp;row=1199&amp;col=7&amp;number=0&amp;sourceID=14","0")</f>
        <v>0</v>
      </c>
    </row>
    <row r="1200" spans="1:7">
      <c r="A1200" s="3">
        <v>16</v>
      </c>
      <c r="B1200" s="3">
        <v>8</v>
      </c>
      <c r="C1200" s="3">
        <v>82</v>
      </c>
      <c r="D1200" s="3">
        <v>32</v>
      </c>
      <c r="E1200" s="3">
        <v>505.27</v>
      </c>
      <c r="F1200" s="4" t="str">
        <f>HYPERLINK("http://141.218.60.56/~jnz1568/getInfo.php?workbook=16_08.xlsx&amp;sheet=A0&amp;row=1200&amp;col=6&amp;number=6718000&amp;sourceID=14","6718000")</f>
        <v>6718000</v>
      </c>
      <c r="G1200" s="4" t="str">
        <f>HYPERLINK("http://141.218.60.56/~jnz1568/getInfo.php?workbook=16_08.xlsx&amp;sheet=A0&amp;row=1200&amp;col=7&amp;number=0&amp;sourceID=14","0")</f>
        <v>0</v>
      </c>
    </row>
    <row r="1201" spans="1:7">
      <c r="A1201" s="3">
        <v>16</v>
      </c>
      <c r="B1201" s="3">
        <v>8</v>
      </c>
      <c r="C1201" s="3">
        <v>82</v>
      </c>
      <c r="D1201" s="3">
        <v>33</v>
      </c>
      <c r="E1201" s="3">
        <v>508.158</v>
      </c>
      <c r="F1201" s="4" t="str">
        <f>HYPERLINK("http://141.218.60.56/~jnz1568/getInfo.php?workbook=16_08.xlsx&amp;sheet=A0&amp;row=1201&amp;col=6&amp;number=29920000&amp;sourceID=14","29920000")</f>
        <v>29920000</v>
      </c>
      <c r="G1201" s="4" t="str">
        <f>HYPERLINK("http://141.218.60.56/~jnz1568/getInfo.php?workbook=16_08.xlsx&amp;sheet=A0&amp;row=1201&amp;col=7&amp;number=0&amp;sourceID=14","0")</f>
        <v>0</v>
      </c>
    </row>
    <row r="1202" spans="1:7">
      <c r="A1202" s="3">
        <v>16</v>
      </c>
      <c r="B1202" s="3">
        <v>8</v>
      </c>
      <c r="C1202" s="3">
        <v>82</v>
      </c>
      <c r="D1202" s="3">
        <v>34</v>
      </c>
      <c r="E1202" s="3">
        <v>517.044</v>
      </c>
      <c r="F1202" s="4" t="str">
        <f>HYPERLINK("http://141.218.60.56/~jnz1568/getInfo.php?workbook=16_08.xlsx&amp;sheet=A0&amp;row=1202&amp;col=6&amp;number=25830000&amp;sourceID=14","25830000")</f>
        <v>25830000</v>
      </c>
      <c r="G1202" s="4" t="str">
        <f>HYPERLINK("http://141.218.60.56/~jnz1568/getInfo.php?workbook=16_08.xlsx&amp;sheet=A0&amp;row=1202&amp;col=7&amp;number=0&amp;sourceID=14","0")</f>
        <v>0</v>
      </c>
    </row>
    <row r="1203" spans="1:7">
      <c r="A1203" s="3">
        <v>16</v>
      </c>
      <c r="B1203" s="3">
        <v>8</v>
      </c>
      <c r="C1203" s="3">
        <v>82</v>
      </c>
      <c r="D1203" s="3">
        <v>37</v>
      </c>
      <c r="E1203" s="3">
        <v>603.235</v>
      </c>
      <c r="F1203" s="4" t="str">
        <f>HYPERLINK("http://141.218.60.56/~jnz1568/getInfo.php?workbook=16_08.xlsx&amp;sheet=A0&amp;row=1203&amp;col=6&amp;number=3818000&amp;sourceID=14","3818000")</f>
        <v>3818000</v>
      </c>
      <c r="G1203" s="4" t="str">
        <f>HYPERLINK("http://141.218.60.56/~jnz1568/getInfo.php?workbook=16_08.xlsx&amp;sheet=A0&amp;row=1203&amp;col=7&amp;number=0&amp;sourceID=14","0")</f>
        <v>0</v>
      </c>
    </row>
    <row r="1204" spans="1:7">
      <c r="A1204" s="3">
        <v>16</v>
      </c>
      <c r="B1204" s="3">
        <v>8</v>
      </c>
      <c r="C1204" s="3">
        <v>82</v>
      </c>
      <c r="D1204" s="3">
        <v>44</v>
      </c>
      <c r="E1204" s="3">
        <v>608.95</v>
      </c>
      <c r="F1204" s="4" t="str">
        <f>HYPERLINK("http://141.218.60.56/~jnz1568/getInfo.php?workbook=16_08.xlsx&amp;sheet=A0&amp;row=1204&amp;col=6&amp;number=28130000&amp;sourceID=14","28130000")</f>
        <v>28130000</v>
      </c>
      <c r="G1204" s="4" t="str">
        <f>HYPERLINK("http://141.218.60.56/~jnz1568/getInfo.php?workbook=16_08.xlsx&amp;sheet=A0&amp;row=1204&amp;col=7&amp;number=0&amp;sourceID=14","0")</f>
        <v>0</v>
      </c>
    </row>
    <row r="1205" spans="1:7">
      <c r="A1205" s="3">
        <v>16</v>
      </c>
      <c r="B1205" s="3">
        <v>8</v>
      </c>
      <c r="C1205" s="3">
        <v>82</v>
      </c>
      <c r="D1205" s="3">
        <v>46</v>
      </c>
      <c r="E1205" s="3">
        <v>658.488</v>
      </c>
      <c r="F1205" s="4" t="str">
        <f>HYPERLINK("http://141.218.60.56/~jnz1568/getInfo.php?workbook=16_08.xlsx&amp;sheet=A0&amp;row=1205&amp;col=6&amp;number=811100000&amp;sourceID=14","811100000")</f>
        <v>811100000</v>
      </c>
      <c r="G1205" s="4" t="str">
        <f>HYPERLINK("http://141.218.60.56/~jnz1568/getInfo.php?workbook=16_08.xlsx&amp;sheet=A0&amp;row=1205&amp;col=7&amp;number=0&amp;sourceID=14","0")</f>
        <v>0</v>
      </c>
    </row>
    <row r="1206" spans="1:7">
      <c r="A1206" s="3">
        <v>16</v>
      </c>
      <c r="B1206" s="3">
        <v>8</v>
      </c>
      <c r="C1206" s="3">
        <v>82</v>
      </c>
      <c r="D1206" s="3">
        <v>47</v>
      </c>
      <c r="E1206" s="3">
        <v>-674.192</v>
      </c>
      <c r="F1206" s="4" t="str">
        <f>HYPERLINK("http://141.218.60.56/~jnz1568/getInfo.php?workbook=16_08.xlsx&amp;sheet=A0&amp;row=1206&amp;col=6&amp;number=16890000&amp;sourceID=14","16890000")</f>
        <v>16890000</v>
      </c>
      <c r="G1206" s="4" t="str">
        <f>HYPERLINK("http://141.218.60.56/~jnz1568/getInfo.php?workbook=16_08.xlsx&amp;sheet=A0&amp;row=1206&amp;col=7&amp;number=0&amp;sourceID=14","0")</f>
        <v>0</v>
      </c>
    </row>
    <row r="1207" spans="1:7">
      <c r="A1207" s="3">
        <v>16</v>
      </c>
      <c r="B1207" s="3">
        <v>8</v>
      </c>
      <c r="C1207" s="3">
        <v>82</v>
      </c>
      <c r="D1207" s="3">
        <v>52</v>
      </c>
      <c r="E1207" s="3">
        <v>-727.645</v>
      </c>
      <c r="F1207" s="4" t="str">
        <f>HYPERLINK("http://141.218.60.56/~jnz1568/getInfo.php?workbook=16_08.xlsx&amp;sheet=A0&amp;row=1207&amp;col=6&amp;number=1680000000&amp;sourceID=14","1680000000")</f>
        <v>1680000000</v>
      </c>
      <c r="G1207" s="4" t="str">
        <f>HYPERLINK("http://141.218.60.56/~jnz1568/getInfo.php?workbook=16_08.xlsx&amp;sheet=A0&amp;row=1207&amp;col=7&amp;number=0&amp;sourceID=14","0")</f>
        <v>0</v>
      </c>
    </row>
    <row r="1208" spans="1:7">
      <c r="A1208" s="3">
        <v>16</v>
      </c>
      <c r="B1208" s="3">
        <v>8</v>
      </c>
      <c r="C1208" s="3">
        <v>82</v>
      </c>
      <c r="D1208" s="3">
        <v>55</v>
      </c>
      <c r="E1208" s="3">
        <v>-918.035</v>
      </c>
      <c r="F1208" s="4" t="str">
        <f>HYPERLINK("http://141.218.60.56/~jnz1568/getInfo.php?workbook=16_08.xlsx&amp;sheet=A0&amp;row=1208&amp;col=6&amp;number=5778000&amp;sourceID=14","5778000")</f>
        <v>5778000</v>
      </c>
      <c r="G1208" s="4" t="str">
        <f>HYPERLINK("http://141.218.60.56/~jnz1568/getInfo.php?workbook=16_08.xlsx&amp;sheet=A0&amp;row=1208&amp;col=7&amp;number=0&amp;sourceID=14","0")</f>
        <v>0</v>
      </c>
    </row>
    <row r="1209" spans="1:7">
      <c r="A1209" s="3">
        <v>16</v>
      </c>
      <c r="B1209" s="3">
        <v>8</v>
      </c>
      <c r="C1209" s="3">
        <v>83</v>
      </c>
      <c r="D1209" s="3">
        <v>1</v>
      </c>
      <c r="E1209" s="3">
        <v>46.377</v>
      </c>
      <c r="F1209" s="4" t="str">
        <f>HYPERLINK("http://141.218.60.56/~jnz1568/getInfo.php?workbook=16_08.xlsx&amp;sheet=A0&amp;row=1209&amp;col=6&amp;number=18790000000&amp;sourceID=14","18790000000")</f>
        <v>18790000000</v>
      </c>
      <c r="G1209" s="4" t="str">
        <f>HYPERLINK("http://141.218.60.56/~jnz1568/getInfo.php?workbook=16_08.xlsx&amp;sheet=A0&amp;row=1209&amp;col=7&amp;number=0&amp;sourceID=14","0")</f>
        <v>0</v>
      </c>
    </row>
    <row r="1210" spans="1:7">
      <c r="A1210" s="3">
        <v>16</v>
      </c>
      <c r="B1210" s="3">
        <v>8</v>
      </c>
      <c r="C1210" s="3">
        <v>83</v>
      </c>
      <c r="D1210" s="3">
        <v>2</v>
      </c>
      <c r="E1210" s="3">
        <v>46.549</v>
      </c>
      <c r="F1210" s="4" t="str">
        <f>HYPERLINK("http://141.218.60.56/~jnz1568/getInfo.php?workbook=16_08.xlsx&amp;sheet=A0&amp;row=1210&amp;col=6&amp;number=441900000000&amp;sourceID=14","441900000000")</f>
        <v>441900000000</v>
      </c>
      <c r="G1210" s="4" t="str">
        <f>HYPERLINK("http://141.218.60.56/~jnz1568/getInfo.php?workbook=16_08.xlsx&amp;sheet=A0&amp;row=1210&amp;col=7&amp;number=0&amp;sourceID=14","0")</f>
        <v>0</v>
      </c>
    </row>
    <row r="1211" spans="1:7">
      <c r="A1211" s="3">
        <v>16</v>
      </c>
      <c r="B1211" s="3">
        <v>8</v>
      </c>
      <c r="C1211" s="3">
        <v>83</v>
      </c>
      <c r="D1211" s="3">
        <v>3</v>
      </c>
      <c r="E1211" s="3">
        <v>46.607</v>
      </c>
      <c r="F1211" s="4" t="str">
        <f>HYPERLINK("http://141.218.60.56/~jnz1568/getInfo.php?workbook=16_08.xlsx&amp;sheet=A0&amp;row=1211&amp;col=6&amp;number=646900000000&amp;sourceID=14","646900000000")</f>
        <v>646900000000</v>
      </c>
      <c r="G1211" s="4" t="str">
        <f>HYPERLINK("http://141.218.60.56/~jnz1568/getInfo.php?workbook=16_08.xlsx&amp;sheet=A0&amp;row=1211&amp;col=7&amp;number=0&amp;sourceID=14","0")</f>
        <v>0</v>
      </c>
    </row>
    <row r="1212" spans="1:7">
      <c r="A1212" s="3">
        <v>16</v>
      </c>
      <c r="B1212" s="3">
        <v>8</v>
      </c>
      <c r="C1212" s="3">
        <v>83</v>
      </c>
      <c r="D1212" s="3">
        <v>4</v>
      </c>
      <c r="E1212" s="3">
        <v>47.665</v>
      </c>
      <c r="F1212" s="4" t="str">
        <f>HYPERLINK("http://141.218.60.56/~jnz1568/getInfo.php?workbook=16_08.xlsx&amp;sheet=A0&amp;row=1212&amp;col=6&amp;number=623600000&amp;sourceID=14","623600000")</f>
        <v>623600000</v>
      </c>
      <c r="G1212" s="4" t="str">
        <f>HYPERLINK("http://141.218.60.56/~jnz1568/getInfo.php?workbook=16_08.xlsx&amp;sheet=A0&amp;row=1212&amp;col=7&amp;number=0&amp;sourceID=14","0")</f>
        <v>0</v>
      </c>
    </row>
    <row r="1213" spans="1:7">
      <c r="A1213" s="3">
        <v>16</v>
      </c>
      <c r="B1213" s="3">
        <v>8</v>
      </c>
      <c r="C1213" s="3">
        <v>83</v>
      </c>
      <c r="D1213" s="3">
        <v>5</v>
      </c>
      <c r="E1213" s="3">
        <v>49.175</v>
      </c>
      <c r="F1213" s="4" t="str">
        <f>HYPERLINK("http://141.218.60.56/~jnz1568/getInfo.php?workbook=16_08.xlsx&amp;sheet=A0&amp;row=1213&amp;col=6&amp;number=1634000000&amp;sourceID=14","1634000000")</f>
        <v>1634000000</v>
      </c>
      <c r="G1213" s="4" t="str">
        <f>HYPERLINK("http://141.218.60.56/~jnz1568/getInfo.php?workbook=16_08.xlsx&amp;sheet=A0&amp;row=1213&amp;col=7&amp;number=0&amp;sourceID=14","0")</f>
        <v>0</v>
      </c>
    </row>
    <row r="1214" spans="1:7">
      <c r="A1214" s="3">
        <v>16</v>
      </c>
      <c r="B1214" s="3">
        <v>8</v>
      </c>
      <c r="C1214" s="3">
        <v>83</v>
      </c>
      <c r="D1214" s="3">
        <v>6</v>
      </c>
      <c r="E1214" s="3">
        <v>58.436</v>
      </c>
      <c r="F1214" s="4" t="str">
        <f>HYPERLINK("http://141.218.60.56/~jnz1568/getInfo.php?workbook=16_08.xlsx&amp;sheet=A0&amp;row=1214&amp;col=6&amp;number=226700&amp;sourceID=14","226700")</f>
        <v>226700</v>
      </c>
      <c r="G1214" s="4" t="str">
        <f>HYPERLINK("http://141.218.60.56/~jnz1568/getInfo.php?workbook=16_08.xlsx&amp;sheet=A0&amp;row=1214&amp;col=7&amp;number=0&amp;sourceID=14","0")</f>
        <v>0</v>
      </c>
    </row>
    <row r="1215" spans="1:7">
      <c r="A1215" s="3">
        <v>16</v>
      </c>
      <c r="B1215" s="3">
        <v>8</v>
      </c>
      <c r="C1215" s="3">
        <v>83</v>
      </c>
      <c r="D1215" s="3">
        <v>7</v>
      </c>
      <c r="E1215" s="3">
        <v>58.676</v>
      </c>
      <c r="F1215" s="4" t="str">
        <f>HYPERLINK("http://141.218.60.56/~jnz1568/getInfo.php?workbook=16_08.xlsx&amp;sheet=A0&amp;row=1215&amp;col=6&amp;number=544800&amp;sourceID=14","544800")</f>
        <v>544800</v>
      </c>
      <c r="G1215" s="4" t="str">
        <f>HYPERLINK("http://141.218.60.56/~jnz1568/getInfo.php?workbook=16_08.xlsx&amp;sheet=A0&amp;row=1215&amp;col=7&amp;number=0&amp;sourceID=14","0")</f>
        <v>0</v>
      </c>
    </row>
    <row r="1216" spans="1:7">
      <c r="A1216" s="3">
        <v>16</v>
      </c>
      <c r="B1216" s="3">
        <v>8</v>
      </c>
      <c r="C1216" s="3">
        <v>83</v>
      </c>
      <c r="D1216" s="3">
        <v>9</v>
      </c>
      <c r="E1216" s="3">
        <v>64.927</v>
      </c>
      <c r="F1216" s="4" t="str">
        <f>HYPERLINK("http://141.218.60.56/~jnz1568/getInfo.php?workbook=16_08.xlsx&amp;sheet=A0&amp;row=1216&amp;col=6&amp;number=3239&amp;sourceID=14","3239")</f>
        <v>3239</v>
      </c>
      <c r="G1216" s="4" t="str">
        <f>HYPERLINK("http://141.218.60.56/~jnz1568/getInfo.php?workbook=16_08.xlsx&amp;sheet=A0&amp;row=1216&amp;col=7&amp;number=0&amp;sourceID=14","0")</f>
        <v>0</v>
      </c>
    </row>
    <row r="1217" spans="1:7">
      <c r="A1217" s="3">
        <v>16</v>
      </c>
      <c r="B1217" s="3">
        <v>8</v>
      </c>
      <c r="C1217" s="3">
        <v>83</v>
      </c>
      <c r="D1217" s="3">
        <v>10</v>
      </c>
      <c r="E1217" s="3">
        <v>89.522</v>
      </c>
      <c r="F1217" s="4" t="str">
        <f>HYPERLINK("http://141.218.60.56/~jnz1568/getInfo.php?workbook=16_08.xlsx&amp;sheet=A0&amp;row=1217&amp;col=6&amp;number=110500&amp;sourceID=14","110500")</f>
        <v>110500</v>
      </c>
      <c r="G1217" s="4" t="str">
        <f>HYPERLINK("http://141.218.60.56/~jnz1568/getInfo.php?workbook=16_08.xlsx&amp;sheet=A0&amp;row=1217&amp;col=7&amp;number=0&amp;sourceID=14","0")</f>
        <v>0</v>
      </c>
    </row>
    <row r="1218" spans="1:7">
      <c r="A1218" s="3">
        <v>16</v>
      </c>
      <c r="B1218" s="3">
        <v>8</v>
      </c>
      <c r="C1218" s="3">
        <v>83</v>
      </c>
      <c r="D1218" s="3">
        <v>12</v>
      </c>
      <c r="E1218" s="3">
        <v>268.016</v>
      </c>
      <c r="F1218" s="4" t="str">
        <f>HYPERLINK("http://141.218.60.56/~jnz1568/getInfo.php?workbook=16_08.xlsx&amp;sheet=A0&amp;row=1218&amp;col=6&amp;number=11930&amp;sourceID=14","11930")</f>
        <v>11930</v>
      </c>
      <c r="G1218" s="4" t="str">
        <f>HYPERLINK("http://141.218.60.56/~jnz1568/getInfo.php?workbook=16_08.xlsx&amp;sheet=A0&amp;row=1218&amp;col=7&amp;number=0&amp;sourceID=14","0")</f>
        <v>0</v>
      </c>
    </row>
    <row r="1219" spans="1:7">
      <c r="A1219" s="3">
        <v>16</v>
      </c>
      <c r="B1219" s="3">
        <v>8</v>
      </c>
      <c r="C1219" s="3">
        <v>83</v>
      </c>
      <c r="D1219" s="3">
        <v>17</v>
      </c>
      <c r="E1219" s="3">
        <v>346.706</v>
      </c>
      <c r="F1219" s="4" t="str">
        <f>HYPERLINK("http://141.218.60.56/~jnz1568/getInfo.php?workbook=16_08.xlsx&amp;sheet=A0&amp;row=1219&amp;col=6&amp;number=5476&amp;sourceID=14","5476")</f>
        <v>5476</v>
      </c>
      <c r="G1219" s="4" t="str">
        <f>HYPERLINK("http://141.218.60.56/~jnz1568/getInfo.php?workbook=16_08.xlsx&amp;sheet=A0&amp;row=1219&amp;col=7&amp;number=0&amp;sourceID=14","0")</f>
        <v>0</v>
      </c>
    </row>
    <row r="1220" spans="1:7">
      <c r="A1220" s="3">
        <v>16</v>
      </c>
      <c r="B1220" s="3">
        <v>8</v>
      </c>
      <c r="C1220" s="3">
        <v>83</v>
      </c>
      <c r="D1220" s="3">
        <v>18</v>
      </c>
      <c r="E1220" s="3">
        <v>347.464</v>
      </c>
      <c r="F1220" s="4" t="str">
        <f>HYPERLINK("http://141.218.60.56/~jnz1568/getInfo.php?workbook=16_08.xlsx&amp;sheet=A0&amp;row=1220&amp;col=6&amp;number=11150&amp;sourceID=14","11150")</f>
        <v>11150</v>
      </c>
      <c r="G1220" s="4" t="str">
        <f>HYPERLINK("http://141.218.60.56/~jnz1568/getInfo.php?workbook=16_08.xlsx&amp;sheet=A0&amp;row=1220&amp;col=7&amp;number=0&amp;sourceID=14","0")</f>
        <v>0</v>
      </c>
    </row>
    <row r="1221" spans="1:7">
      <c r="A1221" s="3">
        <v>16</v>
      </c>
      <c r="B1221" s="3">
        <v>8</v>
      </c>
      <c r="C1221" s="3">
        <v>83</v>
      </c>
      <c r="D1221" s="3">
        <v>20</v>
      </c>
      <c r="E1221" s="3">
        <v>379.56</v>
      </c>
      <c r="F1221" s="4" t="str">
        <f>HYPERLINK("http://141.218.60.56/~jnz1568/getInfo.php?workbook=16_08.xlsx&amp;sheet=A0&amp;row=1221&amp;col=6&amp;number=3173000&amp;sourceID=14","3173000")</f>
        <v>3173000</v>
      </c>
      <c r="G1221" s="4" t="str">
        <f>HYPERLINK("http://141.218.60.56/~jnz1568/getInfo.php?workbook=16_08.xlsx&amp;sheet=A0&amp;row=1221&amp;col=7&amp;number=0&amp;sourceID=14","0")</f>
        <v>0</v>
      </c>
    </row>
    <row r="1222" spans="1:7">
      <c r="A1222" s="3">
        <v>16</v>
      </c>
      <c r="B1222" s="3">
        <v>8</v>
      </c>
      <c r="C1222" s="3">
        <v>83</v>
      </c>
      <c r="D1222" s="3">
        <v>21</v>
      </c>
      <c r="E1222" s="3">
        <v>380.101</v>
      </c>
      <c r="F1222" s="4" t="str">
        <f>HYPERLINK("http://141.218.60.56/~jnz1568/getInfo.php?workbook=16_08.xlsx&amp;sheet=A0&amp;row=1222&amp;col=6&amp;number=1347000&amp;sourceID=14","1347000")</f>
        <v>1347000</v>
      </c>
      <c r="G1222" s="4" t="str">
        <f>HYPERLINK("http://141.218.60.56/~jnz1568/getInfo.php?workbook=16_08.xlsx&amp;sheet=A0&amp;row=1222&amp;col=7&amp;number=0&amp;sourceID=14","0")</f>
        <v>0</v>
      </c>
    </row>
    <row r="1223" spans="1:7">
      <c r="A1223" s="3">
        <v>16</v>
      </c>
      <c r="B1223" s="3">
        <v>8</v>
      </c>
      <c r="C1223" s="3">
        <v>83</v>
      </c>
      <c r="D1223" s="3">
        <v>22</v>
      </c>
      <c r="E1223" s="3">
        <v>-380.702</v>
      </c>
      <c r="F1223" s="4" t="str">
        <f>HYPERLINK("http://141.218.60.56/~jnz1568/getInfo.php?workbook=16_08.xlsx&amp;sheet=A0&amp;row=1223&amp;col=6&amp;number=1640000&amp;sourceID=14","1640000")</f>
        <v>1640000</v>
      </c>
      <c r="G1223" s="4" t="str">
        <f>HYPERLINK("http://141.218.60.56/~jnz1568/getInfo.php?workbook=16_08.xlsx&amp;sheet=A0&amp;row=1223&amp;col=7&amp;number=0&amp;sourceID=14","0")</f>
        <v>0</v>
      </c>
    </row>
    <row r="1224" spans="1:7">
      <c r="A1224" s="3">
        <v>16</v>
      </c>
      <c r="B1224" s="3">
        <v>8</v>
      </c>
      <c r="C1224" s="3">
        <v>83</v>
      </c>
      <c r="D1224" s="3">
        <v>24</v>
      </c>
      <c r="E1224" s="3">
        <v>375.982</v>
      </c>
      <c r="F1224" s="4" t="str">
        <f>HYPERLINK("http://141.218.60.56/~jnz1568/getInfo.php?workbook=16_08.xlsx&amp;sheet=A0&amp;row=1224&amp;col=6&amp;number=42970&amp;sourceID=14","42970")</f>
        <v>42970</v>
      </c>
      <c r="G1224" s="4" t="str">
        <f>HYPERLINK("http://141.218.60.56/~jnz1568/getInfo.php?workbook=16_08.xlsx&amp;sheet=A0&amp;row=1224&amp;col=7&amp;number=0&amp;sourceID=14","0")</f>
        <v>0</v>
      </c>
    </row>
    <row r="1225" spans="1:7">
      <c r="A1225" s="3">
        <v>16</v>
      </c>
      <c r="B1225" s="3">
        <v>8</v>
      </c>
      <c r="C1225" s="3">
        <v>83</v>
      </c>
      <c r="D1225" s="3">
        <v>25</v>
      </c>
      <c r="E1225" s="3">
        <v>378.093</v>
      </c>
      <c r="F1225" s="4" t="str">
        <f>HYPERLINK("http://141.218.60.56/~jnz1568/getInfo.php?workbook=16_08.xlsx&amp;sheet=A0&amp;row=1225&amp;col=6&amp;number=14920&amp;sourceID=14","14920")</f>
        <v>14920</v>
      </c>
      <c r="G1225" s="4" t="str">
        <f>HYPERLINK("http://141.218.60.56/~jnz1568/getInfo.php?workbook=16_08.xlsx&amp;sheet=A0&amp;row=1225&amp;col=7&amp;number=0&amp;sourceID=14","0")</f>
        <v>0</v>
      </c>
    </row>
    <row r="1226" spans="1:7">
      <c r="A1226" s="3">
        <v>16</v>
      </c>
      <c r="B1226" s="3">
        <v>8</v>
      </c>
      <c r="C1226" s="3">
        <v>83</v>
      </c>
      <c r="D1226" s="3">
        <v>27</v>
      </c>
      <c r="E1226" s="3">
        <v>-484.015</v>
      </c>
      <c r="F1226" s="4" t="str">
        <f>HYPERLINK("http://141.218.60.56/~jnz1568/getInfo.php?workbook=16_08.xlsx&amp;sheet=A0&amp;row=1226&amp;col=6&amp;number=10290000&amp;sourceID=14","10290000")</f>
        <v>10290000</v>
      </c>
      <c r="G1226" s="4" t="str">
        <f>HYPERLINK("http://141.218.60.56/~jnz1568/getInfo.php?workbook=16_08.xlsx&amp;sheet=A0&amp;row=1226&amp;col=7&amp;number=0&amp;sourceID=14","0")</f>
        <v>0</v>
      </c>
    </row>
    <row r="1227" spans="1:7">
      <c r="A1227" s="3">
        <v>16</v>
      </c>
      <c r="B1227" s="3">
        <v>8</v>
      </c>
      <c r="C1227" s="3">
        <v>83</v>
      </c>
      <c r="D1227" s="3">
        <v>28</v>
      </c>
      <c r="E1227" s="3">
        <v>482.908</v>
      </c>
      <c r="F1227" s="4" t="str">
        <f>HYPERLINK("http://141.218.60.56/~jnz1568/getInfo.php?workbook=16_08.xlsx&amp;sheet=A0&amp;row=1227&amp;col=6&amp;number=4968000&amp;sourceID=14","4968000")</f>
        <v>4968000</v>
      </c>
      <c r="G1227" s="4" t="str">
        <f>HYPERLINK("http://141.218.60.56/~jnz1568/getInfo.php?workbook=16_08.xlsx&amp;sheet=A0&amp;row=1227&amp;col=7&amp;number=0&amp;sourceID=14","0")</f>
        <v>0</v>
      </c>
    </row>
    <row r="1228" spans="1:7">
      <c r="A1228" s="3">
        <v>16</v>
      </c>
      <c r="B1228" s="3">
        <v>8</v>
      </c>
      <c r="C1228" s="3">
        <v>83</v>
      </c>
      <c r="D1228" s="3">
        <v>30</v>
      </c>
      <c r="E1228" s="3">
        <v>-470.87</v>
      </c>
      <c r="F1228" s="4" t="str">
        <f>HYPERLINK("http://141.218.60.56/~jnz1568/getInfo.php?workbook=16_08.xlsx&amp;sheet=A0&amp;row=1228&amp;col=6&amp;number=54990&amp;sourceID=14","54990")</f>
        <v>54990</v>
      </c>
      <c r="G1228" s="4" t="str">
        <f>HYPERLINK("http://141.218.60.56/~jnz1568/getInfo.php?workbook=16_08.xlsx&amp;sheet=A0&amp;row=1228&amp;col=7&amp;number=0&amp;sourceID=14","0")</f>
        <v>0</v>
      </c>
    </row>
    <row r="1229" spans="1:7">
      <c r="A1229" s="3">
        <v>16</v>
      </c>
      <c r="B1229" s="3">
        <v>8</v>
      </c>
      <c r="C1229" s="3">
        <v>83</v>
      </c>
      <c r="D1229" s="3">
        <v>31</v>
      </c>
      <c r="E1229" s="3">
        <v>502.978</v>
      </c>
      <c r="F1229" s="4" t="str">
        <f>HYPERLINK("http://141.218.60.56/~jnz1568/getInfo.php?workbook=16_08.xlsx&amp;sheet=A0&amp;row=1229&amp;col=6&amp;number=33790000&amp;sourceID=14","33790000")</f>
        <v>33790000</v>
      </c>
      <c r="G1229" s="4" t="str">
        <f>HYPERLINK("http://141.218.60.56/~jnz1568/getInfo.php?workbook=16_08.xlsx&amp;sheet=A0&amp;row=1229&amp;col=7&amp;number=0&amp;sourceID=14","0")</f>
        <v>0</v>
      </c>
    </row>
    <row r="1230" spans="1:7">
      <c r="A1230" s="3">
        <v>16</v>
      </c>
      <c r="B1230" s="3">
        <v>8</v>
      </c>
      <c r="C1230" s="3">
        <v>83</v>
      </c>
      <c r="D1230" s="3">
        <v>35</v>
      </c>
      <c r="E1230" s="3">
        <v>-615.799</v>
      </c>
      <c r="F1230" s="4" t="str">
        <f>HYPERLINK("http://141.218.60.56/~jnz1568/getInfo.php?workbook=16_08.xlsx&amp;sheet=A0&amp;row=1230&amp;col=6&amp;number=101500000&amp;sourceID=14","101500000")</f>
        <v>101500000</v>
      </c>
      <c r="G1230" s="4" t="str">
        <f>HYPERLINK("http://141.218.60.56/~jnz1568/getInfo.php?workbook=16_08.xlsx&amp;sheet=A0&amp;row=1230&amp;col=7&amp;number=0&amp;sourceID=14","0")</f>
        <v>0</v>
      </c>
    </row>
    <row r="1231" spans="1:7">
      <c r="A1231" s="3">
        <v>16</v>
      </c>
      <c r="B1231" s="3">
        <v>8</v>
      </c>
      <c r="C1231" s="3">
        <v>83</v>
      </c>
      <c r="D1231" s="3">
        <v>36</v>
      </c>
      <c r="E1231" s="3">
        <v>609.574</v>
      </c>
      <c r="F1231" s="4" t="str">
        <f>HYPERLINK("http://141.218.60.56/~jnz1568/getInfo.php?workbook=16_08.xlsx&amp;sheet=A0&amp;row=1231&amp;col=6&amp;number=72970000&amp;sourceID=14","72970000")</f>
        <v>72970000</v>
      </c>
      <c r="G1231" s="4" t="str">
        <f>HYPERLINK("http://141.218.60.56/~jnz1568/getInfo.php?workbook=16_08.xlsx&amp;sheet=A0&amp;row=1231&amp;col=7&amp;number=0&amp;sourceID=14","0")</f>
        <v>0</v>
      </c>
    </row>
    <row r="1232" spans="1:7">
      <c r="A1232" s="3">
        <v>16</v>
      </c>
      <c r="B1232" s="3">
        <v>8</v>
      </c>
      <c r="C1232" s="3">
        <v>83</v>
      </c>
      <c r="D1232" s="3">
        <v>37</v>
      </c>
      <c r="E1232" s="3">
        <v>603.846</v>
      </c>
      <c r="F1232" s="4" t="str">
        <f>HYPERLINK("http://141.218.60.56/~jnz1568/getInfo.php?workbook=16_08.xlsx&amp;sheet=A0&amp;row=1232&amp;col=6&amp;number=15710000&amp;sourceID=14","15710000")</f>
        <v>15710000</v>
      </c>
      <c r="G1232" s="4" t="str">
        <f>HYPERLINK("http://141.218.60.56/~jnz1568/getInfo.php?workbook=16_08.xlsx&amp;sheet=A0&amp;row=1232&amp;col=7&amp;number=0&amp;sourceID=14","0")</f>
        <v>0</v>
      </c>
    </row>
    <row r="1233" spans="1:7">
      <c r="A1233" s="3">
        <v>16</v>
      </c>
      <c r="B1233" s="3">
        <v>8</v>
      </c>
      <c r="C1233" s="3">
        <v>83</v>
      </c>
      <c r="D1233" s="3">
        <v>43</v>
      </c>
      <c r="E1233" s="3">
        <v>-593.005</v>
      </c>
      <c r="F1233" s="4" t="str">
        <f>HYPERLINK("http://141.218.60.56/~jnz1568/getInfo.php?workbook=16_08.xlsx&amp;sheet=A0&amp;row=1233&amp;col=6&amp;number=30230000&amp;sourceID=14","30230000")</f>
        <v>30230000</v>
      </c>
      <c r="G1233" s="4" t="str">
        <f>HYPERLINK("http://141.218.60.56/~jnz1568/getInfo.php?workbook=16_08.xlsx&amp;sheet=A0&amp;row=1233&amp;col=7&amp;number=0&amp;sourceID=14","0")</f>
        <v>0</v>
      </c>
    </row>
    <row r="1234" spans="1:7">
      <c r="A1234" s="3">
        <v>16</v>
      </c>
      <c r="B1234" s="3">
        <v>8</v>
      </c>
      <c r="C1234" s="3">
        <v>83</v>
      </c>
      <c r="D1234" s="3">
        <v>44</v>
      </c>
      <c r="E1234" s="3">
        <v>609.574</v>
      </c>
      <c r="F1234" s="4" t="str">
        <f>HYPERLINK("http://141.218.60.56/~jnz1568/getInfo.php?workbook=16_08.xlsx&amp;sheet=A0&amp;row=1234&amp;col=6&amp;number=150100000&amp;sourceID=14","150100000")</f>
        <v>150100000</v>
      </c>
      <c r="G1234" s="4" t="str">
        <f>HYPERLINK("http://141.218.60.56/~jnz1568/getInfo.php?workbook=16_08.xlsx&amp;sheet=A0&amp;row=1234&amp;col=7&amp;number=0&amp;sourceID=14","0")</f>
        <v>0</v>
      </c>
    </row>
    <row r="1235" spans="1:7">
      <c r="A1235" s="3">
        <v>16</v>
      </c>
      <c r="B1235" s="3">
        <v>8</v>
      </c>
      <c r="C1235" s="3">
        <v>83</v>
      </c>
      <c r="D1235" s="3">
        <v>45</v>
      </c>
      <c r="E1235" s="3">
        <v>-638.267</v>
      </c>
      <c r="F1235" s="4" t="str">
        <f>HYPERLINK("http://141.218.60.56/~jnz1568/getInfo.php?workbook=16_08.xlsx&amp;sheet=A0&amp;row=1235&amp;col=6&amp;number=563200000&amp;sourceID=14","563200000")</f>
        <v>563200000</v>
      </c>
      <c r="G1235" s="4" t="str">
        <f>HYPERLINK("http://141.218.60.56/~jnz1568/getInfo.php?workbook=16_08.xlsx&amp;sheet=A0&amp;row=1235&amp;col=7&amp;number=0&amp;sourceID=14","0")</f>
        <v>0</v>
      </c>
    </row>
    <row r="1236" spans="1:7">
      <c r="A1236" s="3">
        <v>16</v>
      </c>
      <c r="B1236" s="3">
        <v>8</v>
      </c>
      <c r="C1236" s="3">
        <v>83</v>
      </c>
      <c r="D1236" s="3">
        <v>47</v>
      </c>
      <c r="E1236" s="3">
        <v>-672.745</v>
      </c>
      <c r="F1236" s="4" t="str">
        <f>HYPERLINK("http://141.218.60.56/~jnz1568/getInfo.php?workbook=16_08.xlsx&amp;sheet=A0&amp;row=1236&amp;col=6&amp;number=3525000&amp;sourceID=14","3525000")</f>
        <v>3525000</v>
      </c>
      <c r="G1236" s="4" t="str">
        <f>HYPERLINK("http://141.218.60.56/~jnz1568/getInfo.php?workbook=16_08.xlsx&amp;sheet=A0&amp;row=1236&amp;col=7&amp;number=0&amp;sourceID=14","0")</f>
        <v>0</v>
      </c>
    </row>
    <row r="1237" spans="1:7">
      <c r="A1237" s="3">
        <v>16</v>
      </c>
      <c r="B1237" s="3">
        <v>8</v>
      </c>
      <c r="C1237" s="3">
        <v>83</v>
      </c>
      <c r="D1237" s="3">
        <v>48</v>
      </c>
      <c r="E1237" s="3">
        <v>-684.144</v>
      </c>
      <c r="F1237" s="4" t="str">
        <f>HYPERLINK("http://141.218.60.56/~jnz1568/getInfo.php?workbook=16_08.xlsx&amp;sheet=A0&amp;row=1237&amp;col=6&amp;number=817900&amp;sourceID=14","817900")</f>
        <v>817900</v>
      </c>
      <c r="G1237" s="4" t="str">
        <f>HYPERLINK("http://141.218.60.56/~jnz1568/getInfo.php?workbook=16_08.xlsx&amp;sheet=A0&amp;row=1237&amp;col=7&amp;number=0&amp;sourceID=14","0")</f>
        <v>0</v>
      </c>
    </row>
    <row r="1238" spans="1:7">
      <c r="A1238" s="3">
        <v>16</v>
      </c>
      <c r="B1238" s="3">
        <v>8</v>
      </c>
      <c r="C1238" s="3">
        <v>83</v>
      </c>
      <c r="D1238" s="3">
        <v>52</v>
      </c>
      <c r="E1238" s="3">
        <v>-725.961</v>
      </c>
      <c r="F1238" s="4" t="str">
        <f>HYPERLINK("http://141.218.60.56/~jnz1568/getInfo.php?workbook=16_08.xlsx&amp;sheet=A0&amp;row=1238&amp;col=6&amp;number=71660000&amp;sourceID=14","71660000")</f>
        <v>71660000</v>
      </c>
      <c r="G1238" s="4" t="str">
        <f>HYPERLINK("http://141.218.60.56/~jnz1568/getInfo.php?workbook=16_08.xlsx&amp;sheet=A0&amp;row=1238&amp;col=7&amp;number=0&amp;sourceID=14","0")</f>
        <v>0</v>
      </c>
    </row>
    <row r="1239" spans="1:7">
      <c r="A1239" s="3">
        <v>16</v>
      </c>
      <c r="B1239" s="3">
        <v>8</v>
      </c>
      <c r="C1239" s="3">
        <v>83</v>
      </c>
      <c r="D1239" s="3">
        <v>53</v>
      </c>
      <c r="E1239" s="3">
        <v>-737.71</v>
      </c>
      <c r="F1239" s="4" t="str">
        <f>HYPERLINK("http://141.218.60.56/~jnz1568/getInfo.php?workbook=16_08.xlsx&amp;sheet=A0&amp;row=1239&amp;col=6&amp;number=710400000&amp;sourceID=14","710400000")</f>
        <v>710400000</v>
      </c>
      <c r="G1239" s="4" t="str">
        <f>HYPERLINK("http://141.218.60.56/~jnz1568/getInfo.php?workbook=16_08.xlsx&amp;sheet=A0&amp;row=1239&amp;col=7&amp;number=0&amp;sourceID=14","0")</f>
        <v>0</v>
      </c>
    </row>
    <row r="1240" spans="1:7">
      <c r="A1240" s="3">
        <v>16</v>
      </c>
      <c r="B1240" s="3">
        <v>8</v>
      </c>
      <c r="C1240" s="3">
        <v>83</v>
      </c>
      <c r="D1240" s="3">
        <v>54</v>
      </c>
      <c r="E1240" s="3">
        <v>-743.844</v>
      </c>
      <c r="F1240" s="4" t="str">
        <f>HYPERLINK("http://141.218.60.56/~jnz1568/getInfo.php?workbook=16_08.xlsx&amp;sheet=A0&amp;row=1240&amp;col=6&amp;number=809300000&amp;sourceID=14","809300000")</f>
        <v>809300000</v>
      </c>
      <c r="G1240" s="4" t="str">
        <f>HYPERLINK("http://141.218.60.56/~jnz1568/getInfo.php?workbook=16_08.xlsx&amp;sheet=A0&amp;row=1240&amp;col=7&amp;number=0&amp;sourceID=14","0")</f>
        <v>0</v>
      </c>
    </row>
    <row r="1241" spans="1:7">
      <c r="A1241" s="3">
        <v>16</v>
      </c>
      <c r="B1241" s="3">
        <v>8</v>
      </c>
      <c r="C1241" s="3">
        <v>83</v>
      </c>
      <c r="D1241" s="3">
        <v>55</v>
      </c>
      <c r="E1241" s="3">
        <v>-915.356</v>
      </c>
      <c r="F1241" s="4" t="str">
        <f>HYPERLINK("http://141.218.60.56/~jnz1568/getInfo.php?workbook=16_08.xlsx&amp;sheet=A0&amp;row=1241&amp;col=6&amp;number=630200&amp;sourceID=14","630200")</f>
        <v>630200</v>
      </c>
      <c r="G1241" s="4" t="str">
        <f>HYPERLINK("http://141.218.60.56/~jnz1568/getInfo.php?workbook=16_08.xlsx&amp;sheet=A0&amp;row=1241&amp;col=7&amp;number=0&amp;sourceID=14","0")</f>
        <v>0</v>
      </c>
    </row>
    <row r="1242" spans="1:7">
      <c r="A1242" s="3">
        <v>16</v>
      </c>
      <c r="B1242" s="3">
        <v>8</v>
      </c>
      <c r="C1242" s="3">
        <v>83</v>
      </c>
      <c r="D1242" s="3">
        <v>66</v>
      </c>
      <c r="E1242" s="3">
        <v>-1488.217</v>
      </c>
      <c r="F1242" s="4" t="str">
        <f>HYPERLINK("http://141.218.60.56/~jnz1568/getInfo.php?workbook=16_08.xlsx&amp;sheet=A0&amp;row=1242&amp;col=6&amp;number=238700&amp;sourceID=14","238700")</f>
        <v>238700</v>
      </c>
      <c r="G1242" s="4" t="str">
        <f>HYPERLINK("http://141.218.60.56/~jnz1568/getInfo.php?workbook=16_08.xlsx&amp;sheet=A0&amp;row=1242&amp;col=7&amp;number=0&amp;sourceID=14","0")</f>
        <v>0</v>
      </c>
    </row>
    <row r="1243" spans="1:7">
      <c r="A1243" s="3">
        <v>16</v>
      </c>
      <c r="B1243" s="3">
        <v>8</v>
      </c>
      <c r="C1243" s="3">
        <v>84</v>
      </c>
      <c r="D1243" s="3">
        <v>1</v>
      </c>
      <c r="E1243" s="3">
        <v>46.237</v>
      </c>
      <c r="F1243" s="4" t="str">
        <f>HYPERLINK("http://141.218.60.56/~jnz1568/getInfo.php?workbook=16_08.xlsx&amp;sheet=A0&amp;row=1243&amp;col=6&amp;number=12200000000&amp;sourceID=14","12200000000")</f>
        <v>12200000000</v>
      </c>
      <c r="G1243" s="4" t="str">
        <f>HYPERLINK("http://141.218.60.56/~jnz1568/getInfo.php?workbook=16_08.xlsx&amp;sheet=A0&amp;row=1243&amp;col=7&amp;number=0&amp;sourceID=14","0")</f>
        <v>0</v>
      </c>
    </row>
    <row r="1244" spans="1:7">
      <c r="A1244" s="3">
        <v>16</v>
      </c>
      <c r="B1244" s="3">
        <v>8</v>
      </c>
      <c r="C1244" s="3">
        <v>84</v>
      </c>
      <c r="D1244" s="3">
        <v>2</v>
      </c>
      <c r="E1244" s="3">
        <v>46.409</v>
      </c>
      <c r="F1244" s="4" t="str">
        <f>HYPERLINK("http://141.218.60.56/~jnz1568/getInfo.php?workbook=16_08.xlsx&amp;sheet=A0&amp;row=1244&amp;col=6&amp;number=63840000000&amp;sourceID=14","63840000000")</f>
        <v>63840000000</v>
      </c>
      <c r="G1244" s="4" t="str">
        <f>HYPERLINK("http://141.218.60.56/~jnz1568/getInfo.php?workbook=16_08.xlsx&amp;sheet=A0&amp;row=1244&amp;col=7&amp;number=0&amp;sourceID=14","0")</f>
        <v>0</v>
      </c>
    </row>
    <row r="1245" spans="1:7">
      <c r="A1245" s="3">
        <v>16</v>
      </c>
      <c r="B1245" s="3">
        <v>8</v>
      </c>
      <c r="C1245" s="3">
        <v>84</v>
      </c>
      <c r="D1245" s="3">
        <v>3</v>
      </c>
      <c r="E1245" s="3">
        <v>46.466</v>
      </c>
      <c r="F1245" s="4" t="str">
        <f>HYPERLINK("http://141.218.60.56/~jnz1568/getInfo.php?workbook=16_08.xlsx&amp;sheet=A0&amp;row=1245&amp;col=6&amp;number=2264&amp;sourceID=14","2264")</f>
        <v>2264</v>
      </c>
      <c r="G1245" s="4" t="str">
        <f>HYPERLINK("http://141.218.60.56/~jnz1568/getInfo.php?workbook=16_08.xlsx&amp;sheet=A0&amp;row=1245&amp;col=7&amp;number=0&amp;sourceID=14","0")</f>
        <v>0</v>
      </c>
    </row>
    <row r="1246" spans="1:7">
      <c r="A1246" s="3">
        <v>16</v>
      </c>
      <c r="B1246" s="3">
        <v>8</v>
      </c>
      <c r="C1246" s="3">
        <v>84</v>
      </c>
      <c r="D1246" s="3">
        <v>4</v>
      </c>
      <c r="E1246" s="3">
        <v>47.518</v>
      </c>
      <c r="F1246" s="4" t="str">
        <f>HYPERLINK("http://141.218.60.56/~jnz1568/getInfo.php?workbook=16_08.xlsx&amp;sheet=A0&amp;row=1246&amp;col=6&amp;number=1158000000000&amp;sourceID=14","1158000000000")</f>
        <v>1158000000000</v>
      </c>
      <c r="G1246" s="4" t="str">
        <f>HYPERLINK("http://141.218.60.56/~jnz1568/getInfo.php?workbook=16_08.xlsx&amp;sheet=A0&amp;row=1246&amp;col=7&amp;number=0&amp;sourceID=14","0")</f>
        <v>0</v>
      </c>
    </row>
    <row r="1247" spans="1:7">
      <c r="A1247" s="3">
        <v>16</v>
      </c>
      <c r="B1247" s="3">
        <v>8</v>
      </c>
      <c r="C1247" s="3">
        <v>84</v>
      </c>
      <c r="D1247" s="3">
        <v>5</v>
      </c>
      <c r="E1247" s="3">
        <v>49.018</v>
      </c>
      <c r="F1247" s="4" t="str">
        <f>HYPERLINK("http://141.218.60.56/~jnz1568/getInfo.php?workbook=16_08.xlsx&amp;sheet=A0&amp;row=1247&amp;col=6&amp;number=7908&amp;sourceID=14","7908")</f>
        <v>7908</v>
      </c>
      <c r="G1247" s="4" t="str">
        <f>HYPERLINK("http://141.218.60.56/~jnz1568/getInfo.php?workbook=16_08.xlsx&amp;sheet=A0&amp;row=1247&amp;col=7&amp;number=0&amp;sourceID=14","0")</f>
        <v>0</v>
      </c>
    </row>
    <row r="1248" spans="1:7">
      <c r="A1248" s="3">
        <v>16</v>
      </c>
      <c r="B1248" s="3">
        <v>8</v>
      </c>
      <c r="C1248" s="3">
        <v>84</v>
      </c>
      <c r="D1248" s="3">
        <v>6</v>
      </c>
      <c r="E1248" s="3">
        <v>58.215</v>
      </c>
      <c r="F1248" s="4" t="str">
        <f>HYPERLINK("http://141.218.60.56/~jnz1568/getInfo.php?workbook=16_08.xlsx&amp;sheet=A0&amp;row=1248&amp;col=6&amp;number=123100&amp;sourceID=14","123100")</f>
        <v>123100</v>
      </c>
      <c r="G1248" s="4" t="str">
        <f>HYPERLINK("http://141.218.60.56/~jnz1568/getInfo.php?workbook=16_08.xlsx&amp;sheet=A0&amp;row=1248&amp;col=7&amp;number=0&amp;sourceID=14","0")</f>
        <v>0</v>
      </c>
    </row>
    <row r="1249" spans="1:7">
      <c r="A1249" s="3">
        <v>16</v>
      </c>
      <c r="B1249" s="3">
        <v>8</v>
      </c>
      <c r="C1249" s="3">
        <v>84</v>
      </c>
      <c r="D1249" s="3">
        <v>7</v>
      </c>
      <c r="E1249" s="3">
        <v>58.453</v>
      </c>
      <c r="F1249" s="4" t="str">
        <f>HYPERLINK("http://141.218.60.56/~jnz1568/getInfo.php?workbook=16_08.xlsx&amp;sheet=A0&amp;row=1249&amp;col=6&amp;number=25150&amp;sourceID=14","25150")</f>
        <v>25150</v>
      </c>
      <c r="G1249" s="4" t="str">
        <f>HYPERLINK("http://141.218.60.56/~jnz1568/getInfo.php?workbook=16_08.xlsx&amp;sheet=A0&amp;row=1249&amp;col=7&amp;number=0&amp;sourceID=14","0")</f>
        <v>0</v>
      </c>
    </row>
    <row r="1250" spans="1:7">
      <c r="A1250" s="3">
        <v>16</v>
      </c>
      <c r="B1250" s="3">
        <v>8</v>
      </c>
      <c r="C1250" s="3">
        <v>84</v>
      </c>
      <c r="D1250" s="3">
        <v>8</v>
      </c>
      <c r="E1250" s="3">
        <v>58.587</v>
      </c>
      <c r="F1250" s="4" t="str">
        <f>HYPERLINK("http://141.218.60.56/~jnz1568/getInfo.php?workbook=16_08.xlsx&amp;sheet=A0&amp;row=1250&amp;col=6&amp;number=1418&amp;sourceID=14","1418")</f>
        <v>1418</v>
      </c>
      <c r="G1250" s="4" t="str">
        <f>HYPERLINK("http://141.218.60.56/~jnz1568/getInfo.php?workbook=16_08.xlsx&amp;sheet=A0&amp;row=1250&amp;col=7&amp;number=0&amp;sourceID=14","0")</f>
        <v>0</v>
      </c>
    </row>
    <row r="1251" spans="1:7">
      <c r="A1251" s="3">
        <v>16</v>
      </c>
      <c r="B1251" s="3">
        <v>8</v>
      </c>
      <c r="C1251" s="3">
        <v>84</v>
      </c>
      <c r="D1251" s="3">
        <v>9</v>
      </c>
      <c r="E1251" s="3">
        <v>64.654</v>
      </c>
      <c r="F1251" s="4" t="str">
        <f>HYPERLINK("http://141.218.60.56/~jnz1568/getInfo.php?workbook=16_08.xlsx&amp;sheet=A0&amp;row=1251&amp;col=6&amp;number=617500&amp;sourceID=14","617500")</f>
        <v>617500</v>
      </c>
      <c r="G1251" s="4" t="str">
        <f>HYPERLINK("http://141.218.60.56/~jnz1568/getInfo.php?workbook=16_08.xlsx&amp;sheet=A0&amp;row=1251&amp;col=7&amp;number=0&amp;sourceID=14","0")</f>
        <v>0</v>
      </c>
    </row>
    <row r="1252" spans="1:7">
      <c r="A1252" s="3">
        <v>16</v>
      </c>
      <c r="B1252" s="3">
        <v>8</v>
      </c>
      <c r="C1252" s="3">
        <v>84</v>
      </c>
      <c r="D1252" s="3">
        <v>16</v>
      </c>
      <c r="E1252" s="3">
        <v>328.852</v>
      </c>
      <c r="F1252" s="4" t="str">
        <f>HYPERLINK("http://141.218.60.56/~jnz1568/getInfo.php?workbook=16_08.xlsx&amp;sheet=A0&amp;row=1252&amp;col=6&amp;number=36850&amp;sourceID=14","36850")</f>
        <v>36850</v>
      </c>
      <c r="G1252" s="4" t="str">
        <f>HYPERLINK("http://141.218.60.56/~jnz1568/getInfo.php?workbook=16_08.xlsx&amp;sheet=A0&amp;row=1252&amp;col=7&amp;number=0&amp;sourceID=14","0")</f>
        <v>0</v>
      </c>
    </row>
    <row r="1253" spans="1:7">
      <c r="A1253" s="3">
        <v>16</v>
      </c>
      <c r="B1253" s="3">
        <v>8</v>
      </c>
      <c r="C1253" s="3">
        <v>84</v>
      </c>
      <c r="D1253" s="3">
        <v>18</v>
      </c>
      <c r="E1253" s="3">
        <v>339.787</v>
      </c>
      <c r="F1253" s="4" t="str">
        <f>HYPERLINK("http://141.218.60.56/~jnz1568/getInfo.php?workbook=16_08.xlsx&amp;sheet=A0&amp;row=1253&amp;col=6&amp;number=29760&amp;sourceID=14","29760")</f>
        <v>29760</v>
      </c>
      <c r="G1253" s="4" t="str">
        <f>HYPERLINK("http://141.218.60.56/~jnz1568/getInfo.php?workbook=16_08.xlsx&amp;sheet=A0&amp;row=1253&amp;col=7&amp;number=0&amp;sourceID=14","0")</f>
        <v>0</v>
      </c>
    </row>
    <row r="1254" spans="1:7">
      <c r="A1254" s="3">
        <v>16</v>
      </c>
      <c r="B1254" s="3">
        <v>8</v>
      </c>
      <c r="C1254" s="3">
        <v>84</v>
      </c>
      <c r="D1254" s="3">
        <v>19</v>
      </c>
      <c r="E1254" s="3">
        <v>341.207</v>
      </c>
      <c r="F1254" s="4" t="str">
        <f>HYPERLINK("http://141.218.60.56/~jnz1568/getInfo.php?workbook=16_08.xlsx&amp;sheet=A0&amp;row=1254&amp;col=6&amp;number=2810&amp;sourceID=14","2810")</f>
        <v>2810</v>
      </c>
      <c r="G1254" s="4" t="str">
        <f>HYPERLINK("http://141.218.60.56/~jnz1568/getInfo.php?workbook=16_08.xlsx&amp;sheet=A0&amp;row=1254&amp;col=7&amp;number=0&amp;sourceID=14","0")</f>
        <v>0</v>
      </c>
    </row>
    <row r="1255" spans="1:7">
      <c r="A1255" s="3">
        <v>16</v>
      </c>
      <c r="B1255" s="3">
        <v>8</v>
      </c>
      <c r="C1255" s="3">
        <v>84</v>
      </c>
      <c r="D1255" s="3">
        <v>20</v>
      </c>
      <c r="E1255" s="3">
        <v>370.418</v>
      </c>
      <c r="F1255" s="4" t="str">
        <f>HYPERLINK("http://141.218.60.56/~jnz1568/getInfo.php?workbook=16_08.xlsx&amp;sheet=A0&amp;row=1255&amp;col=6&amp;number=284800&amp;sourceID=14","284800")</f>
        <v>284800</v>
      </c>
      <c r="G1255" s="4" t="str">
        <f>HYPERLINK("http://141.218.60.56/~jnz1568/getInfo.php?workbook=16_08.xlsx&amp;sheet=A0&amp;row=1255&amp;col=7&amp;number=0&amp;sourceID=14","0")</f>
        <v>0</v>
      </c>
    </row>
    <row r="1256" spans="1:7">
      <c r="A1256" s="3">
        <v>16</v>
      </c>
      <c r="B1256" s="3">
        <v>8</v>
      </c>
      <c r="C1256" s="3">
        <v>84</v>
      </c>
      <c r="D1256" s="3">
        <v>21</v>
      </c>
      <c r="E1256" s="3">
        <v>370.934</v>
      </c>
      <c r="F1256" s="4" t="str">
        <f>HYPERLINK("http://141.218.60.56/~jnz1568/getInfo.php?workbook=16_08.xlsx&amp;sheet=A0&amp;row=1256&amp;col=6&amp;number=107700&amp;sourceID=14","107700")</f>
        <v>107700</v>
      </c>
      <c r="G1256" s="4" t="str">
        <f>HYPERLINK("http://141.218.60.56/~jnz1568/getInfo.php?workbook=16_08.xlsx&amp;sheet=A0&amp;row=1256&amp;col=7&amp;number=0&amp;sourceID=14","0")</f>
        <v>0</v>
      </c>
    </row>
    <row r="1257" spans="1:7">
      <c r="A1257" s="3">
        <v>16</v>
      </c>
      <c r="B1257" s="3">
        <v>8</v>
      </c>
      <c r="C1257" s="3">
        <v>84</v>
      </c>
      <c r="D1257" s="3">
        <v>25</v>
      </c>
      <c r="E1257" s="3">
        <v>369.021</v>
      </c>
      <c r="F1257" s="4" t="str">
        <f>HYPERLINK("http://141.218.60.56/~jnz1568/getInfo.php?workbook=16_08.xlsx&amp;sheet=A0&amp;row=1257&amp;col=6&amp;number=12190&amp;sourceID=14","12190")</f>
        <v>12190</v>
      </c>
      <c r="G1257" s="4" t="str">
        <f>HYPERLINK("http://141.218.60.56/~jnz1568/getInfo.php?workbook=16_08.xlsx&amp;sheet=A0&amp;row=1257&amp;col=7&amp;number=0&amp;sourceID=14","0")</f>
        <v>0</v>
      </c>
    </row>
    <row r="1258" spans="1:7">
      <c r="A1258" s="3">
        <v>16</v>
      </c>
      <c r="B1258" s="3">
        <v>8</v>
      </c>
      <c r="C1258" s="3">
        <v>84</v>
      </c>
      <c r="D1258" s="3">
        <v>26</v>
      </c>
      <c r="E1258" s="3">
        <v>387.075</v>
      </c>
      <c r="F1258" s="4" t="str">
        <f>HYPERLINK("http://141.218.60.56/~jnz1568/getInfo.php?workbook=16_08.xlsx&amp;sheet=A0&amp;row=1258&amp;col=6&amp;number=24680&amp;sourceID=14","24680")</f>
        <v>24680</v>
      </c>
      <c r="G1258" s="4" t="str">
        <f>HYPERLINK("http://141.218.60.56/~jnz1568/getInfo.php?workbook=16_08.xlsx&amp;sheet=A0&amp;row=1258&amp;col=7&amp;number=0&amp;sourceID=14","0")</f>
        <v>0</v>
      </c>
    </row>
    <row r="1259" spans="1:7">
      <c r="A1259" s="3">
        <v>16</v>
      </c>
      <c r="B1259" s="3">
        <v>8</v>
      </c>
      <c r="C1259" s="3">
        <v>84</v>
      </c>
      <c r="D1259" s="3">
        <v>27</v>
      </c>
      <c r="E1259" s="3">
        <v>-464.357</v>
      </c>
      <c r="F1259" s="4" t="str">
        <f>HYPERLINK("http://141.218.60.56/~jnz1568/getInfo.php?workbook=16_08.xlsx&amp;sheet=A0&amp;row=1259&amp;col=6&amp;number=850600&amp;sourceID=14","850600")</f>
        <v>850600</v>
      </c>
      <c r="G1259" s="4" t="str">
        <f>HYPERLINK("http://141.218.60.56/~jnz1568/getInfo.php?workbook=16_08.xlsx&amp;sheet=A0&amp;row=1259&amp;col=7&amp;number=0&amp;sourceID=14","0")</f>
        <v>0</v>
      </c>
    </row>
    <row r="1260" spans="1:7">
      <c r="A1260" s="3">
        <v>16</v>
      </c>
      <c r="B1260" s="3">
        <v>8</v>
      </c>
      <c r="C1260" s="3">
        <v>84</v>
      </c>
      <c r="D1260" s="3">
        <v>28</v>
      </c>
      <c r="E1260" s="3">
        <v>468.206</v>
      </c>
      <c r="F1260" s="4" t="str">
        <f>HYPERLINK("http://141.218.60.56/~jnz1568/getInfo.php?workbook=16_08.xlsx&amp;sheet=A0&amp;row=1260&amp;col=6&amp;number=55930000&amp;sourceID=14","55930000")</f>
        <v>55930000</v>
      </c>
      <c r="G1260" s="4" t="str">
        <f>HYPERLINK("http://141.218.60.56/~jnz1568/getInfo.php?workbook=16_08.xlsx&amp;sheet=A0&amp;row=1260&amp;col=7&amp;number=0&amp;sourceID=14","0")</f>
        <v>0</v>
      </c>
    </row>
    <row r="1261" spans="1:7">
      <c r="A1261" s="3">
        <v>16</v>
      </c>
      <c r="B1261" s="3">
        <v>8</v>
      </c>
      <c r="C1261" s="3">
        <v>84</v>
      </c>
      <c r="D1261" s="3">
        <v>29</v>
      </c>
      <c r="E1261" s="3">
        <v>472.039</v>
      </c>
      <c r="F1261" s="4" t="str">
        <f>HYPERLINK("http://141.218.60.56/~jnz1568/getInfo.php?workbook=16_08.xlsx&amp;sheet=A0&amp;row=1261&amp;col=6&amp;number=630900&amp;sourceID=14","630900")</f>
        <v>630900</v>
      </c>
      <c r="G1261" s="4" t="str">
        <f>HYPERLINK("http://141.218.60.56/~jnz1568/getInfo.php?workbook=16_08.xlsx&amp;sheet=A0&amp;row=1261&amp;col=7&amp;number=0&amp;sourceID=14","0")</f>
        <v>0</v>
      </c>
    </row>
    <row r="1262" spans="1:7">
      <c r="A1262" s="3">
        <v>16</v>
      </c>
      <c r="B1262" s="3">
        <v>8</v>
      </c>
      <c r="C1262" s="3">
        <v>84</v>
      </c>
      <c r="D1262" s="3">
        <v>30</v>
      </c>
      <c r="E1262" s="3">
        <v>-452.245</v>
      </c>
      <c r="F1262" s="4" t="str">
        <f>HYPERLINK("http://141.218.60.56/~jnz1568/getInfo.php?workbook=16_08.xlsx&amp;sheet=A0&amp;row=1262&amp;col=6&amp;number=95030000&amp;sourceID=14","95030000")</f>
        <v>95030000</v>
      </c>
      <c r="G1262" s="4" t="str">
        <f>HYPERLINK("http://141.218.60.56/~jnz1568/getInfo.php?workbook=16_08.xlsx&amp;sheet=A0&amp;row=1262&amp;col=7&amp;number=0&amp;sourceID=14","0")</f>
        <v>0</v>
      </c>
    </row>
    <row r="1263" spans="1:7">
      <c r="A1263" s="3">
        <v>16</v>
      </c>
      <c r="B1263" s="3">
        <v>8</v>
      </c>
      <c r="C1263" s="3">
        <v>84</v>
      </c>
      <c r="D1263" s="3">
        <v>31</v>
      </c>
      <c r="E1263" s="3">
        <v>487.049</v>
      </c>
      <c r="F1263" s="4" t="str">
        <f>HYPERLINK("http://141.218.60.56/~jnz1568/getInfo.php?workbook=16_08.xlsx&amp;sheet=A0&amp;row=1263&amp;col=6&amp;number=3252000&amp;sourceID=14","3252000")</f>
        <v>3252000</v>
      </c>
      <c r="G1263" s="4" t="str">
        <f>HYPERLINK("http://141.218.60.56/~jnz1568/getInfo.php?workbook=16_08.xlsx&amp;sheet=A0&amp;row=1263&amp;col=7&amp;number=0&amp;sourceID=14","0")</f>
        <v>0</v>
      </c>
    </row>
    <row r="1264" spans="1:7">
      <c r="A1264" s="3">
        <v>16</v>
      </c>
      <c r="B1264" s="3">
        <v>8</v>
      </c>
      <c r="C1264" s="3">
        <v>84</v>
      </c>
      <c r="D1264" s="3">
        <v>32</v>
      </c>
      <c r="E1264" s="3">
        <v>489.601</v>
      </c>
      <c r="F1264" s="4" t="str">
        <f>HYPERLINK("http://141.218.60.56/~jnz1568/getInfo.php?workbook=16_08.xlsx&amp;sheet=A0&amp;row=1264&amp;col=6&amp;number=4379000&amp;sourceID=14","4379000")</f>
        <v>4379000</v>
      </c>
      <c r="G1264" s="4" t="str">
        <f>HYPERLINK("http://141.218.60.56/~jnz1568/getInfo.php?workbook=16_08.xlsx&amp;sheet=A0&amp;row=1264&amp;col=7&amp;number=0&amp;sourceID=14","0")</f>
        <v>0</v>
      </c>
    </row>
    <row r="1265" spans="1:7">
      <c r="A1265" s="3">
        <v>16</v>
      </c>
      <c r="B1265" s="3">
        <v>8</v>
      </c>
      <c r="C1265" s="3">
        <v>84</v>
      </c>
      <c r="D1265" s="3">
        <v>34</v>
      </c>
      <c r="E1265" s="3">
        <v>500.648</v>
      </c>
      <c r="F1265" s="4" t="str">
        <f>HYPERLINK("http://141.218.60.56/~jnz1568/getInfo.php?workbook=16_08.xlsx&amp;sheet=A0&amp;row=1265&amp;col=6&amp;number=356800000&amp;sourceID=14","356800000")</f>
        <v>356800000</v>
      </c>
      <c r="G1265" s="4" t="str">
        <f>HYPERLINK("http://141.218.60.56/~jnz1568/getInfo.php?workbook=16_08.xlsx&amp;sheet=A0&amp;row=1265&amp;col=7&amp;number=0&amp;sourceID=14","0")</f>
        <v>0</v>
      </c>
    </row>
    <row r="1266" spans="1:7">
      <c r="A1266" s="3">
        <v>16</v>
      </c>
      <c r="B1266" s="3">
        <v>8</v>
      </c>
      <c r="C1266" s="3">
        <v>84</v>
      </c>
      <c r="D1266" s="3">
        <v>36</v>
      </c>
      <c r="E1266" s="3">
        <v>586.335</v>
      </c>
      <c r="F1266" s="4" t="str">
        <f>HYPERLINK("http://141.218.60.56/~jnz1568/getInfo.php?workbook=16_08.xlsx&amp;sheet=A0&amp;row=1266&amp;col=6&amp;number=14070000&amp;sourceID=14","14070000")</f>
        <v>14070000</v>
      </c>
      <c r="G1266" s="4" t="str">
        <f>HYPERLINK("http://141.218.60.56/~jnz1568/getInfo.php?workbook=16_08.xlsx&amp;sheet=A0&amp;row=1266&amp;col=7&amp;number=0&amp;sourceID=14","0")</f>
        <v>0</v>
      </c>
    </row>
    <row r="1267" spans="1:7">
      <c r="A1267" s="3">
        <v>16</v>
      </c>
      <c r="B1267" s="3">
        <v>8</v>
      </c>
      <c r="C1267" s="3">
        <v>84</v>
      </c>
      <c r="D1267" s="3">
        <v>37</v>
      </c>
      <c r="E1267" s="3">
        <v>581.034</v>
      </c>
      <c r="F1267" s="4" t="str">
        <f>HYPERLINK("http://141.218.60.56/~jnz1568/getInfo.php?workbook=16_08.xlsx&amp;sheet=A0&amp;row=1267&amp;col=6&amp;number=16380000&amp;sourceID=14","16380000")</f>
        <v>16380000</v>
      </c>
      <c r="G1267" s="4" t="str">
        <f>HYPERLINK("http://141.218.60.56/~jnz1568/getInfo.php?workbook=16_08.xlsx&amp;sheet=A0&amp;row=1267&amp;col=7&amp;number=0&amp;sourceID=14","0")</f>
        <v>0</v>
      </c>
    </row>
    <row r="1268" spans="1:7">
      <c r="A1268" s="3">
        <v>16</v>
      </c>
      <c r="B1268" s="3">
        <v>8</v>
      </c>
      <c r="C1268" s="3">
        <v>84</v>
      </c>
      <c r="D1268" s="3">
        <v>43</v>
      </c>
      <c r="E1268" s="3">
        <v>-563.765</v>
      </c>
      <c r="F1268" s="4" t="str">
        <f>HYPERLINK("http://141.218.60.56/~jnz1568/getInfo.php?workbook=16_08.xlsx&amp;sheet=A0&amp;row=1268&amp;col=6&amp;number=6854000&amp;sourceID=14","6854000")</f>
        <v>6854000</v>
      </c>
      <c r="G1268" s="4" t="str">
        <f>HYPERLINK("http://141.218.60.56/~jnz1568/getInfo.php?workbook=16_08.xlsx&amp;sheet=A0&amp;row=1268&amp;col=7&amp;number=0&amp;sourceID=14","0")</f>
        <v>0</v>
      </c>
    </row>
    <row r="1269" spans="1:7">
      <c r="A1269" s="3">
        <v>16</v>
      </c>
      <c r="B1269" s="3">
        <v>8</v>
      </c>
      <c r="C1269" s="3">
        <v>84</v>
      </c>
      <c r="D1269" s="3">
        <v>44</v>
      </c>
      <c r="E1269" s="3">
        <v>586.335</v>
      </c>
      <c r="F1269" s="4" t="str">
        <f>HYPERLINK("http://141.218.60.56/~jnz1568/getInfo.php?workbook=16_08.xlsx&amp;sheet=A0&amp;row=1269&amp;col=6&amp;number=76160000&amp;sourceID=14","76160000")</f>
        <v>76160000</v>
      </c>
      <c r="G1269" s="4" t="str">
        <f>HYPERLINK("http://141.218.60.56/~jnz1568/getInfo.php?workbook=16_08.xlsx&amp;sheet=A0&amp;row=1269&amp;col=7&amp;number=0&amp;sourceID=14","0")</f>
        <v>0</v>
      </c>
    </row>
    <row r="1270" spans="1:7">
      <c r="A1270" s="3">
        <v>16</v>
      </c>
      <c r="B1270" s="3">
        <v>8</v>
      </c>
      <c r="C1270" s="3">
        <v>84</v>
      </c>
      <c r="D1270" s="3">
        <v>45</v>
      </c>
      <c r="E1270" s="3">
        <v>-604.52</v>
      </c>
      <c r="F1270" s="4" t="str">
        <f>HYPERLINK("http://141.218.60.56/~jnz1568/getInfo.php?workbook=16_08.xlsx&amp;sheet=A0&amp;row=1270&amp;col=6&amp;number=66050000&amp;sourceID=14","66050000")</f>
        <v>66050000</v>
      </c>
      <c r="G1270" s="4" t="str">
        <f>HYPERLINK("http://141.218.60.56/~jnz1568/getInfo.php?workbook=16_08.xlsx&amp;sheet=A0&amp;row=1270&amp;col=7&amp;number=0&amp;sourceID=14","0")</f>
        <v>0</v>
      </c>
    </row>
    <row r="1271" spans="1:7">
      <c r="A1271" s="3">
        <v>16</v>
      </c>
      <c r="B1271" s="3">
        <v>8</v>
      </c>
      <c r="C1271" s="3">
        <v>84</v>
      </c>
      <c r="D1271" s="3">
        <v>46</v>
      </c>
      <c r="E1271" s="3">
        <v>632.123</v>
      </c>
      <c r="F1271" s="4" t="str">
        <f>HYPERLINK("http://141.218.60.56/~jnz1568/getInfo.php?workbook=16_08.xlsx&amp;sheet=A0&amp;row=1271&amp;col=6&amp;number=46190000&amp;sourceID=14","46190000")</f>
        <v>46190000</v>
      </c>
      <c r="G1271" s="4" t="str">
        <f>HYPERLINK("http://141.218.60.56/~jnz1568/getInfo.php?workbook=16_08.xlsx&amp;sheet=A0&amp;row=1271&amp;col=7&amp;number=0&amp;sourceID=14","0")</f>
        <v>0</v>
      </c>
    </row>
    <row r="1272" spans="1:7">
      <c r="A1272" s="3">
        <v>16</v>
      </c>
      <c r="B1272" s="3">
        <v>8</v>
      </c>
      <c r="C1272" s="3">
        <v>84</v>
      </c>
      <c r="D1272" s="3">
        <v>47</v>
      </c>
      <c r="E1272" s="3">
        <v>-635.36</v>
      </c>
      <c r="F1272" s="4" t="str">
        <f>HYPERLINK("http://141.218.60.56/~jnz1568/getInfo.php?workbook=16_08.xlsx&amp;sheet=A0&amp;row=1272&amp;col=6&amp;number=1202000&amp;sourceID=14","1202000")</f>
        <v>1202000</v>
      </c>
      <c r="G1272" s="4" t="str">
        <f>HYPERLINK("http://141.218.60.56/~jnz1568/getInfo.php?workbook=16_08.xlsx&amp;sheet=A0&amp;row=1272&amp;col=7&amp;number=0&amp;sourceID=14","0")</f>
        <v>0</v>
      </c>
    </row>
    <row r="1273" spans="1:7">
      <c r="A1273" s="3">
        <v>16</v>
      </c>
      <c r="B1273" s="3">
        <v>8</v>
      </c>
      <c r="C1273" s="3">
        <v>84</v>
      </c>
      <c r="D1273" s="3">
        <v>48</v>
      </c>
      <c r="E1273" s="3">
        <v>-645.518</v>
      </c>
      <c r="F1273" s="4" t="str">
        <f>HYPERLINK("http://141.218.60.56/~jnz1568/getInfo.php?workbook=16_08.xlsx&amp;sheet=A0&amp;row=1273&amp;col=6&amp;number=1495000000&amp;sourceID=14","1495000000")</f>
        <v>1495000000</v>
      </c>
      <c r="G1273" s="4" t="str">
        <f>HYPERLINK("http://141.218.60.56/~jnz1568/getInfo.php?workbook=16_08.xlsx&amp;sheet=A0&amp;row=1273&amp;col=7&amp;number=0&amp;sourceID=14","0")</f>
        <v>0</v>
      </c>
    </row>
    <row r="1274" spans="1:7">
      <c r="A1274" s="3">
        <v>16</v>
      </c>
      <c r="B1274" s="3">
        <v>8</v>
      </c>
      <c r="C1274" s="3">
        <v>84</v>
      </c>
      <c r="D1274" s="3">
        <v>52</v>
      </c>
      <c r="E1274" s="3">
        <v>-682.618</v>
      </c>
      <c r="F1274" s="4" t="str">
        <f>HYPERLINK("http://141.218.60.56/~jnz1568/getInfo.php?workbook=16_08.xlsx&amp;sheet=A0&amp;row=1274&amp;col=6&amp;number=40360000&amp;sourceID=14","40360000")</f>
        <v>40360000</v>
      </c>
      <c r="G1274" s="4" t="str">
        <f>HYPERLINK("http://141.218.60.56/~jnz1568/getInfo.php?workbook=16_08.xlsx&amp;sheet=A0&amp;row=1274&amp;col=7&amp;number=0&amp;sourceID=14","0")</f>
        <v>0</v>
      </c>
    </row>
    <row r="1275" spans="1:7">
      <c r="A1275" s="3">
        <v>16</v>
      </c>
      <c r="B1275" s="3">
        <v>8</v>
      </c>
      <c r="C1275" s="3">
        <v>84</v>
      </c>
      <c r="D1275" s="3">
        <v>53</v>
      </c>
      <c r="E1275" s="3">
        <v>-692.996</v>
      </c>
      <c r="F1275" s="4" t="str">
        <f>HYPERLINK("http://141.218.60.56/~jnz1568/getInfo.php?workbook=16_08.xlsx&amp;sheet=A0&amp;row=1275&amp;col=6&amp;number=313400000&amp;sourceID=14","313400000")</f>
        <v>313400000</v>
      </c>
      <c r="G1275" s="4" t="str">
        <f>HYPERLINK("http://141.218.60.56/~jnz1568/getInfo.php?workbook=16_08.xlsx&amp;sheet=A0&amp;row=1275&amp;col=7&amp;number=0&amp;sourceID=14","0")</f>
        <v>0</v>
      </c>
    </row>
    <row r="1276" spans="1:7">
      <c r="A1276" s="3">
        <v>16</v>
      </c>
      <c r="B1276" s="3">
        <v>8</v>
      </c>
      <c r="C1276" s="3">
        <v>84</v>
      </c>
      <c r="D1276" s="3">
        <v>55</v>
      </c>
      <c r="E1276" s="3">
        <v>-847.504</v>
      </c>
      <c r="F1276" s="4" t="str">
        <f>HYPERLINK("http://141.218.60.56/~jnz1568/getInfo.php?workbook=16_08.xlsx&amp;sheet=A0&amp;row=1276&amp;col=6&amp;number=498600000&amp;sourceID=14","498600000")</f>
        <v>498600000</v>
      </c>
      <c r="G1276" s="4" t="str">
        <f>HYPERLINK("http://141.218.60.56/~jnz1568/getInfo.php?workbook=16_08.xlsx&amp;sheet=A0&amp;row=1276&amp;col=7&amp;number=0&amp;sourceID=14","0")</f>
        <v>0</v>
      </c>
    </row>
    <row r="1277" spans="1:7">
      <c r="A1277" s="3">
        <v>16</v>
      </c>
      <c r="B1277" s="3">
        <v>8</v>
      </c>
      <c r="C1277" s="3">
        <v>85</v>
      </c>
      <c r="D1277" s="3">
        <v>1</v>
      </c>
      <c r="E1277" s="3">
        <v>46.153</v>
      </c>
      <c r="F1277" s="4" t="str">
        <f>HYPERLINK("http://141.218.60.56/~jnz1568/getInfo.php?workbook=16_08.xlsx&amp;sheet=A0&amp;row=1277&amp;col=6&amp;number=8069000000&amp;sourceID=14","8069000000")</f>
        <v>8069000000</v>
      </c>
      <c r="G1277" s="4" t="str">
        <f>HYPERLINK("http://141.218.60.56/~jnz1568/getInfo.php?workbook=16_08.xlsx&amp;sheet=A0&amp;row=1277&amp;col=7&amp;number=0&amp;sourceID=14","0")</f>
        <v>0</v>
      </c>
    </row>
    <row r="1278" spans="1:7">
      <c r="A1278" s="3">
        <v>16</v>
      </c>
      <c r="B1278" s="3">
        <v>8</v>
      </c>
      <c r="C1278" s="3">
        <v>85</v>
      </c>
      <c r="D1278" s="3">
        <v>4</v>
      </c>
      <c r="E1278" s="3">
        <v>47.429</v>
      </c>
      <c r="F1278" s="4" t="str">
        <f>HYPERLINK("http://141.218.60.56/~jnz1568/getInfo.php?workbook=16_08.xlsx&amp;sheet=A0&amp;row=1278&amp;col=6&amp;number=1702000000000&amp;sourceID=14","1702000000000")</f>
        <v>1702000000000</v>
      </c>
      <c r="G1278" s="4" t="str">
        <f>HYPERLINK("http://141.218.60.56/~jnz1568/getInfo.php?workbook=16_08.xlsx&amp;sheet=A0&amp;row=1278&amp;col=7&amp;number=0&amp;sourceID=14","0")</f>
        <v>0</v>
      </c>
    </row>
    <row r="1279" spans="1:7">
      <c r="A1279" s="3">
        <v>16</v>
      </c>
      <c r="B1279" s="3">
        <v>8</v>
      </c>
      <c r="C1279" s="3">
        <v>85</v>
      </c>
      <c r="D1279" s="3">
        <v>6</v>
      </c>
      <c r="E1279" s="3">
        <v>58.081</v>
      </c>
      <c r="F1279" s="4" t="str">
        <f>HYPERLINK("http://141.218.60.56/~jnz1568/getInfo.php?workbook=16_08.xlsx&amp;sheet=A0&amp;row=1279&amp;col=6&amp;number=21180&amp;sourceID=14","21180")</f>
        <v>21180</v>
      </c>
      <c r="G1279" s="4" t="str">
        <f>HYPERLINK("http://141.218.60.56/~jnz1568/getInfo.php?workbook=16_08.xlsx&amp;sheet=A0&amp;row=1279&amp;col=7&amp;number=0&amp;sourceID=14","0")</f>
        <v>0</v>
      </c>
    </row>
    <row r="1280" spans="1:7">
      <c r="A1280" s="3">
        <v>16</v>
      </c>
      <c r="B1280" s="3">
        <v>8</v>
      </c>
      <c r="C1280" s="3">
        <v>85</v>
      </c>
      <c r="D1280" s="3">
        <v>9</v>
      </c>
      <c r="E1280" s="3">
        <v>64.49</v>
      </c>
      <c r="F1280" s="4" t="str">
        <f>HYPERLINK("http://141.218.60.56/~jnz1568/getInfo.php?workbook=16_08.xlsx&amp;sheet=A0&amp;row=1280&amp;col=6&amp;number=1064000&amp;sourceID=14","1064000")</f>
        <v>1064000</v>
      </c>
      <c r="G1280" s="4" t="str">
        <f>HYPERLINK("http://141.218.60.56/~jnz1568/getInfo.php?workbook=16_08.xlsx&amp;sheet=A0&amp;row=1280&amp;col=7&amp;number=0&amp;sourceID=14","0")</f>
        <v>0</v>
      </c>
    </row>
    <row r="1281" spans="1:7">
      <c r="A1281" s="3">
        <v>16</v>
      </c>
      <c r="B1281" s="3">
        <v>8</v>
      </c>
      <c r="C1281" s="3">
        <v>85</v>
      </c>
      <c r="D1281" s="3">
        <v>16</v>
      </c>
      <c r="E1281" s="3">
        <v>324.636</v>
      </c>
      <c r="F1281" s="4" t="str">
        <f>HYPERLINK("http://141.218.60.56/~jnz1568/getInfo.php?workbook=16_08.xlsx&amp;sheet=A0&amp;row=1281&amp;col=6&amp;number=18790&amp;sourceID=14","18790")</f>
        <v>18790</v>
      </c>
      <c r="G1281" s="4" t="str">
        <f>HYPERLINK("http://141.218.60.56/~jnz1568/getInfo.php?workbook=16_08.xlsx&amp;sheet=A0&amp;row=1281&amp;col=7&amp;number=0&amp;sourceID=14","0")</f>
        <v>0</v>
      </c>
    </row>
    <row r="1282" spans="1:7">
      <c r="A1282" s="3">
        <v>16</v>
      </c>
      <c r="B1282" s="3">
        <v>8</v>
      </c>
      <c r="C1282" s="3">
        <v>85</v>
      </c>
      <c r="D1282" s="3">
        <v>17</v>
      </c>
      <c r="E1282" s="3">
        <v>334.582</v>
      </c>
      <c r="F1282" s="4" t="str">
        <f>HYPERLINK("http://141.218.60.56/~jnz1568/getInfo.php?workbook=16_08.xlsx&amp;sheet=A0&amp;row=1282&amp;col=6&amp;number=0.0005226&amp;sourceID=14","0.0005226")</f>
        <v>0.0005226</v>
      </c>
      <c r="G1282" s="4" t="str">
        <f>HYPERLINK("http://141.218.60.56/~jnz1568/getInfo.php?workbook=16_08.xlsx&amp;sheet=A0&amp;row=1282&amp;col=7&amp;number=0&amp;sourceID=14","0")</f>
        <v>0</v>
      </c>
    </row>
    <row r="1283" spans="1:7">
      <c r="A1283" s="3">
        <v>16</v>
      </c>
      <c r="B1283" s="3">
        <v>8</v>
      </c>
      <c r="C1283" s="3">
        <v>85</v>
      </c>
      <c r="D1283" s="3">
        <v>19</v>
      </c>
      <c r="E1283" s="3">
        <v>336.671</v>
      </c>
      <c r="F1283" s="4" t="str">
        <f>HYPERLINK("http://141.218.60.56/~jnz1568/getInfo.php?workbook=16_08.xlsx&amp;sheet=A0&amp;row=1283&amp;col=6&amp;number=4376&amp;sourceID=14","4376")</f>
        <v>4376</v>
      </c>
      <c r="G1283" s="4" t="str">
        <f>HYPERLINK("http://141.218.60.56/~jnz1568/getInfo.php?workbook=16_08.xlsx&amp;sheet=A0&amp;row=1283&amp;col=7&amp;number=0&amp;sourceID=14","0")</f>
        <v>0</v>
      </c>
    </row>
    <row r="1284" spans="1:7">
      <c r="A1284" s="3">
        <v>16</v>
      </c>
      <c r="B1284" s="3">
        <v>8</v>
      </c>
      <c r="C1284" s="3">
        <v>85</v>
      </c>
      <c r="D1284" s="3">
        <v>21</v>
      </c>
      <c r="E1284" s="3">
        <v>365.579</v>
      </c>
      <c r="F1284" s="4" t="str">
        <f>HYPERLINK("http://141.218.60.56/~jnz1568/getInfo.php?workbook=16_08.xlsx&amp;sheet=A0&amp;row=1284&amp;col=6&amp;number=191200&amp;sourceID=14","191200")</f>
        <v>191200</v>
      </c>
      <c r="G1284" s="4" t="str">
        <f>HYPERLINK("http://141.218.60.56/~jnz1568/getInfo.php?workbook=16_08.xlsx&amp;sheet=A0&amp;row=1284&amp;col=7&amp;number=0&amp;sourceID=14","0")</f>
        <v>0</v>
      </c>
    </row>
    <row r="1285" spans="1:7">
      <c r="A1285" s="3">
        <v>16</v>
      </c>
      <c r="B1285" s="3">
        <v>8</v>
      </c>
      <c r="C1285" s="3">
        <v>85</v>
      </c>
      <c r="D1285" s="3">
        <v>25</v>
      </c>
      <c r="E1285" s="3">
        <v>363.721</v>
      </c>
      <c r="F1285" s="4" t="str">
        <f>HYPERLINK("http://141.218.60.56/~jnz1568/getInfo.php?workbook=16_08.xlsx&amp;sheet=A0&amp;row=1285&amp;col=6&amp;number=3335&amp;sourceID=14","3335")</f>
        <v>3335</v>
      </c>
      <c r="G1285" s="4" t="str">
        <f>HYPERLINK("http://141.218.60.56/~jnz1568/getInfo.php?workbook=16_08.xlsx&amp;sheet=A0&amp;row=1285&amp;col=7&amp;number=0&amp;sourceID=14","0")</f>
        <v>0</v>
      </c>
    </row>
    <row r="1286" spans="1:7">
      <c r="A1286" s="3">
        <v>16</v>
      </c>
      <c r="B1286" s="3">
        <v>8</v>
      </c>
      <c r="C1286" s="3">
        <v>85</v>
      </c>
      <c r="D1286" s="3">
        <v>26</v>
      </c>
      <c r="E1286" s="3">
        <v>381.247</v>
      </c>
      <c r="F1286" s="4" t="str">
        <f>HYPERLINK("http://141.218.60.56/~jnz1568/getInfo.php?workbook=16_08.xlsx&amp;sheet=A0&amp;row=1286&amp;col=6&amp;number=49320&amp;sourceID=14","49320")</f>
        <v>49320</v>
      </c>
      <c r="G1286" s="4" t="str">
        <f>HYPERLINK("http://141.218.60.56/~jnz1568/getInfo.php?workbook=16_08.xlsx&amp;sheet=A0&amp;row=1286&amp;col=7&amp;number=0&amp;sourceID=14","0")</f>
        <v>0</v>
      </c>
    </row>
    <row r="1287" spans="1:7">
      <c r="A1287" s="3">
        <v>16</v>
      </c>
      <c r="B1287" s="3">
        <v>8</v>
      </c>
      <c r="C1287" s="3">
        <v>85</v>
      </c>
      <c r="D1287" s="3">
        <v>27</v>
      </c>
      <c r="E1287" s="3">
        <v>-457.15</v>
      </c>
      <c r="F1287" s="4" t="str">
        <f>HYPERLINK("http://141.218.60.56/~jnz1568/getInfo.php?workbook=16_08.xlsx&amp;sheet=A0&amp;row=1287&amp;col=6&amp;number=335100&amp;sourceID=14","335100")</f>
        <v>335100</v>
      </c>
      <c r="G1287" s="4" t="str">
        <f>HYPERLINK("http://141.218.60.56/~jnz1568/getInfo.php?workbook=16_08.xlsx&amp;sheet=A0&amp;row=1287&amp;col=7&amp;number=0&amp;sourceID=14","0")</f>
        <v>0</v>
      </c>
    </row>
    <row r="1288" spans="1:7">
      <c r="A1288" s="3">
        <v>16</v>
      </c>
      <c r="B1288" s="3">
        <v>8</v>
      </c>
      <c r="C1288" s="3">
        <v>85</v>
      </c>
      <c r="D1288" s="3">
        <v>29</v>
      </c>
      <c r="E1288" s="3">
        <v>463.401</v>
      </c>
      <c r="F1288" s="4" t="str">
        <f>HYPERLINK("http://141.218.60.56/~jnz1568/getInfo.php?workbook=16_08.xlsx&amp;sheet=A0&amp;row=1288&amp;col=6&amp;number=1124000&amp;sourceID=14","1124000")</f>
        <v>1124000</v>
      </c>
      <c r="G1288" s="4" t="str">
        <f>HYPERLINK("http://141.218.60.56/~jnz1568/getInfo.php?workbook=16_08.xlsx&amp;sheet=A0&amp;row=1288&amp;col=7&amp;number=0&amp;sourceID=14","0")</f>
        <v>0</v>
      </c>
    </row>
    <row r="1289" spans="1:7">
      <c r="A1289" s="3">
        <v>16</v>
      </c>
      <c r="B1289" s="3">
        <v>8</v>
      </c>
      <c r="C1289" s="3">
        <v>85</v>
      </c>
      <c r="D1289" s="3">
        <v>31</v>
      </c>
      <c r="E1289" s="3">
        <v>477.858</v>
      </c>
      <c r="F1289" s="4" t="str">
        <f>HYPERLINK("http://141.218.60.56/~jnz1568/getInfo.php?workbook=16_08.xlsx&amp;sheet=A0&amp;row=1289&amp;col=6&amp;number=141700&amp;sourceID=14","141700")</f>
        <v>141700</v>
      </c>
      <c r="G1289" s="4" t="str">
        <f>HYPERLINK("http://141.218.60.56/~jnz1568/getInfo.php?workbook=16_08.xlsx&amp;sheet=A0&amp;row=1289&amp;col=7&amp;number=0&amp;sourceID=14","0")</f>
        <v>0</v>
      </c>
    </row>
    <row r="1290" spans="1:7">
      <c r="A1290" s="3">
        <v>16</v>
      </c>
      <c r="B1290" s="3">
        <v>8</v>
      </c>
      <c r="C1290" s="3">
        <v>85</v>
      </c>
      <c r="D1290" s="3">
        <v>32</v>
      </c>
      <c r="E1290" s="3">
        <v>480.314</v>
      </c>
      <c r="F1290" s="4" t="str">
        <f>HYPERLINK("http://141.218.60.56/~jnz1568/getInfo.php?workbook=16_08.xlsx&amp;sheet=A0&amp;row=1290&amp;col=6&amp;number=7939&amp;sourceID=14","7939")</f>
        <v>7939</v>
      </c>
      <c r="G1290" s="4" t="str">
        <f>HYPERLINK("http://141.218.60.56/~jnz1568/getInfo.php?workbook=16_08.xlsx&amp;sheet=A0&amp;row=1290&amp;col=7&amp;number=0&amp;sourceID=14","0")</f>
        <v>0</v>
      </c>
    </row>
    <row r="1291" spans="1:7">
      <c r="A1291" s="3">
        <v>16</v>
      </c>
      <c r="B1291" s="3">
        <v>8</v>
      </c>
      <c r="C1291" s="3">
        <v>85</v>
      </c>
      <c r="D1291" s="3">
        <v>33</v>
      </c>
      <c r="E1291" s="3">
        <v>482.924</v>
      </c>
      <c r="F1291" s="4" t="str">
        <f>HYPERLINK("http://141.218.60.56/~jnz1568/getInfo.php?workbook=16_08.xlsx&amp;sheet=A0&amp;row=1291&amp;col=6&amp;number=161000&amp;sourceID=14","161000")</f>
        <v>161000</v>
      </c>
      <c r="G1291" s="4" t="str">
        <f>HYPERLINK("http://141.218.60.56/~jnz1568/getInfo.php?workbook=16_08.xlsx&amp;sheet=A0&amp;row=1291&amp;col=7&amp;number=0&amp;sourceID=14","0")</f>
        <v>0</v>
      </c>
    </row>
    <row r="1292" spans="1:7">
      <c r="A1292" s="3">
        <v>16</v>
      </c>
      <c r="B1292" s="3">
        <v>8</v>
      </c>
      <c r="C1292" s="3">
        <v>85</v>
      </c>
      <c r="D1292" s="3">
        <v>34</v>
      </c>
      <c r="E1292" s="3">
        <v>490.942</v>
      </c>
      <c r="F1292" s="4" t="str">
        <f>HYPERLINK("http://141.218.60.56/~jnz1568/getInfo.php?workbook=16_08.xlsx&amp;sheet=A0&amp;row=1292&amp;col=6&amp;number=240700000&amp;sourceID=14","240700000")</f>
        <v>240700000</v>
      </c>
      <c r="G1292" s="4" t="str">
        <f>HYPERLINK("http://141.218.60.56/~jnz1568/getInfo.php?workbook=16_08.xlsx&amp;sheet=A0&amp;row=1292&amp;col=7&amp;number=0&amp;sourceID=14","0")</f>
        <v>0</v>
      </c>
    </row>
    <row r="1293" spans="1:7">
      <c r="A1293" s="3">
        <v>16</v>
      </c>
      <c r="B1293" s="3">
        <v>8</v>
      </c>
      <c r="C1293" s="3">
        <v>85</v>
      </c>
      <c r="D1293" s="3">
        <v>37</v>
      </c>
      <c r="E1293" s="3">
        <v>568.001</v>
      </c>
      <c r="F1293" s="4" t="str">
        <f>HYPERLINK("http://141.218.60.56/~jnz1568/getInfo.php?workbook=16_08.xlsx&amp;sheet=A0&amp;row=1293&amp;col=6&amp;number=58820000&amp;sourceID=14","58820000")</f>
        <v>58820000</v>
      </c>
      <c r="G1293" s="4" t="str">
        <f>HYPERLINK("http://141.218.60.56/~jnz1568/getInfo.php?workbook=16_08.xlsx&amp;sheet=A0&amp;row=1293&amp;col=7&amp;number=0&amp;sourceID=14","0")</f>
        <v>0</v>
      </c>
    </row>
    <row r="1294" spans="1:7">
      <c r="A1294" s="3">
        <v>16</v>
      </c>
      <c r="B1294" s="3">
        <v>8</v>
      </c>
      <c r="C1294" s="3">
        <v>85</v>
      </c>
      <c r="D1294" s="3">
        <v>44</v>
      </c>
      <c r="E1294" s="3">
        <v>573.066</v>
      </c>
      <c r="F1294" s="4" t="str">
        <f>HYPERLINK("http://141.218.60.56/~jnz1568/getInfo.php?workbook=16_08.xlsx&amp;sheet=A0&amp;row=1294&amp;col=6&amp;number=26900000&amp;sourceID=14","26900000")</f>
        <v>26900000</v>
      </c>
      <c r="G1294" s="4" t="str">
        <f>HYPERLINK("http://141.218.60.56/~jnz1568/getInfo.php?workbook=16_08.xlsx&amp;sheet=A0&amp;row=1294&amp;col=7&amp;number=0&amp;sourceID=14","0")</f>
        <v>0</v>
      </c>
    </row>
    <row r="1295" spans="1:7">
      <c r="A1295" s="3">
        <v>16</v>
      </c>
      <c r="B1295" s="3">
        <v>8</v>
      </c>
      <c r="C1295" s="3">
        <v>85</v>
      </c>
      <c r="D1295" s="3">
        <v>46</v>
      </c>
      <c r="E1295" s="3">
        <v>616.728</v>
      </c>
      <c r="F1295" s="4" t="str">
        <f>HYPERLINK("http://141.218.60.56/~jnz1568/getInfo.php?workbook=16_08.xlsx&amp;sheet=A0&amp;row=1295&amp;col=6&amp;number=47220000&amp;sourceID=14","47220000")</f>
        <v>47220000</v>
      </c>
      <c r="G1295" s="4" t="str">
        <f>HYPERLINK("http://141.218.60.56/~jnz1568/getInfo.php?workbook=16_08.xlsx&amp;sheet=A0&amp;row=1295&amp;col=7&amp;number=0&amp;sourceID=14","0")</f>
        <v>0</v>
      </c>
    </row>
    <row r="1296" spans="1:7">
      <c r="A1296" s="3">
        <v>16</v>
      </c>
      <c r="B1296" s="3">
        <v>8</v>
      </c>
      <c r="C1296" s="3">
        <v>85</v>
      </c>
      <c r="D1296" s="3">
        <v>47</v>
      </c>
      <c r="E1296" s="3">
        <v>-621.944</v>
      </c>
      <c r="F1296" s="4" t="str">
        <f>HYPERLINK("http://141.218.60.56/~jnz1568/getInfo.php?workbook=16_08.xlsx&amp;sheet=A0&amp;row=1296&amp;col=6&amp;number=713300000&amp;sourceID=14","713300000")</f>
        <v>713300000</v>
      </c>
      <c r="G1296" s="4" t="str">
        <f>HYPERLINK("http://141.218.60.56/~jnz1568/getInfo.php?workbook=16_08.xlsx&amp;sheet=A0&amp;row=1296&amp;col=7&amp;number=0&amp;sourceID=14","0")</f>
        <v>0</v>
      </c>
    </row>
    <row r="1297" spans="1:7">
      <c r="A1297" s="3">
        <v>16</v>
      </c>
      <c r="B1297" s="3">
        <v>8</v>
      </c>
      <c r="C1297" s="3">
        <v>85</v>
      </c>
      <c r="D1297" s="3">
        <v>52</v>
      </c>
      <c r="E1297" s="3">
        <v>-667.156</v>
      </c>
      <c r="F1297" s="4" t="str">
        <f>HYPERLINK("http://141.218.60.56/~jnz1568/getInfo.php?workbook=16_08.xlsx&amp;sheet=A0&amp;row=1297&amp;col=6&amp;number=38540000&amp;sourceID=14","38540000")</f>
        <v>38540000</v>
      </c>
      <c r="G1297" s="4" t="str">
        <f>HYPERLINK("http://141.218.60.56/~jnz1568/getInfo.php?workbook=16_08.xlsx&amp;sheet=A0&amp;row=1297&amp;col=7&amp;number=0&amp;sourceID=14","0")</f>
        <v>0</v>
      </c>
    </row>
    <row r="1298" spans="1:7">
      <c r="A1298" s="3">
        <v>16</v>
      </c>
      <c r="B1298" s="3">
        <v>8</v>
      </c>
      <c r="C1298" s="3">
        <v>85</v>
      </c>
      <c r="D1298" s="3">
        <v>55</v>
      </c>
      <c r="E1298" s="3">
        <v>-823.8</v>
      </c>
      <c r="F1298" s="4" t="str">
        <f>HYPERLINK("http://141.218.60.56/~jnz1568/getInfo.php?workbook=16_08.xlsx&amp;sheet=A0&amp;row=1298&amp;col=6&amp;number=1152000000&amp;sourceID=14","1152000000")</f>
        <v>1152000000</v>
      </c>
      <c r="G1298" s="4" t="str">
        <f>HYPERLINK("http://141.218.60.56/~jnz1568/getInfo.php?workbook=16_08.xlsx&amp;sheet=A0&amp;row=1298&amp;col=7&amp;number=0&amp;sourceID=14","0")</f>
        <v>0</v>
      </c>
    </row>
    <row r="1299" spans="1:7">
      <c r="A1299" s="3">
        <v>16</v>
      </c>
      <c r="B1299" s="3">
        <v>8</v>
      </c>
      <c r="C1299" s="3">
        <v>86</v>
      </c>
      <c r="D1299" s="3">
        <v>1</v>
      </c>
      <c r="E1299" s="3">
        <v>45.657</v>
      </c>
      <c r="F1299" s="4" t="str">
        <f>HYPERLINK("http://141.218.60.56/~jnz1568/getInfo.php?workbook=16_08.xlsx&amp;sheet=A0&amp;row=1299&amp;col=6&amp;number=5811000&amp;sourceID=14","5811000")</f>
        <v>5811000</v>
      </c>
      <c r="G1299" s="4" t="str">
        <f>HYPERLINK("http://141.218.60.56/~jnz1568/getInfo.php?workbook=16_08.xlsx&amp;sheet=A0&amp;row=1299&amp;col=7&amp;number=0&amp;sourceID=14","0")</f>
        <v>0</v>
      </c>
    </row>
    <row r="1300" spans="1:7">
      <c r="A1300" s="3">
        <v>16</v>
      </c>
      <c r="B1300" s="3">
        <v>8</v>
      </c>
      <c r="C1300" s="3">
        <v>86</v>
      </c>
      <c r="D1300" s="3">
        <v>2</v>
      </c>
      <c r="E1300" s="3">
        <v>45.825</v>
      </c>
      <c r="F1300" s="4" t="str">
        <f>HYPERLINK("http://141.218.60.56/~jnz1568/getInfo.php?workbook=16_08.xlsx&amp;sheet=A0&amp;row=1300&amp;col=6&amp;number=897200000&amp;sourceID=14","897200000")</f>
        <v>897200000</v>
      </c>
      <c r="G1300" s="4" t="str">
        <f>HYPERLINK("http://141.218.60.56/~jnz1568/getInfo.php?workbook=16_08.xlsx&amp;sheet=A0&amp;row=1300&amp;col=7&amp;number=0&amp;sourceID=14","0")</f>
        <v>0</v>
      </c>
    </row>
    <row r="1301" spans="1:7">
      <c r="A1301" s="3">
        <v>16</v>
      </c>
      <c r="B1301" s="3">
        <v>8</v>
      </c>
      <c r="C1301" s="3">
        <v>86</v>
      </c>
      <c r="D1301" s="3">
        <v>3</v>
      </c>
      <c r="E1301" s="3">
        <v>45.881</v>
      </c>
      <c r="F1301" s="4" t="str">
        <f>HYPERLINK("http://141.218.60.56/~jnz1568/getInfo.php?workbook=16_08.xlsx&amp;sheet=A0&amp;row=1301&amp;col=6&amp;number=1461000000&amp;sourceID=14","1461000000")</f>
        <v>1461000000</v>
      </c>
      <c r="G1301" s="4" t="str">
        <f>HYPERLINK("http://141.218.60.56/~jnz1568/getInfo.php?workbook=16_08.xlsx&amp;sheet=A0&amp;row=1301&amp;col=7&amp;number=0&amp;sourceID=14","0")</f>
        <v>0</v>
      </c>
    </row>
    <row r="1302" spans="1:7">
      <c r="A1302" s="3">
        <v>16</v>
      </c>
      <c r="B1302" s="3">
        <v>8</v>
      </c>
      <c r="C1302" s="3">
        <v>86</v>
      </c>
      <c r="D1302" s="3">
        <v>4</v>
      </c>
      <c r="E1302" s="3">
        <v>46.906</v>
      </c>
      <c r="F1302" s="4" t="str">
        <f>HYPERLINK("http://141.218.60.56/~jnz1568/getInfo.php?workbook=16_08.xlsx&amp;sheet=A0&amp;row=1302&amp;col=6&amp;number=112900000000&amp;sourceID=14","112900000000")</f>
        <v>112900000000</v>
      </c>
      <c r="G1302" s="4" t="str">
        <f>HYPERLINK("http://141.218.60.56/~jnz1568/getInfo.php?workbook=16_08.xlsx&amp;sheet=A0&amp;row=1302&amp;col=7&amp;number=0&amp;sourceID=14","0")</f>
        <v>0</v>
      </c>
    </row>
    <row r="1303" spans="1:7">
      <c r="A1303" s="3">
        <v>16</v>
      </c>
      <c r="B1303" s="3">
        <v>8</v>
      </c>
      <c r="C1303" s="3">
        <v>86</v>
      </c>
      <c r="D1303" s="3">
        <v>5</v>
      </c>
      <c r="E1303" s="3">
        <v>48.367</v>
      </c>
      <c r="F1303" s="4" t="str">
        <f>HYPERLINK("http://141.218.60.56/~jnz1568/getInfo.php?workbook=16_08.xlsx&amp;sheet=A0&amp;row=1303&amp;col=6&amp;number=1722000000000&amp;sourceID=14","1722000000000")</f>
        <v>1722000000000</v>
      </c>
      <c r="G1303" s="4" t="str">
        <f>HYPERLINK("http://141.218.60.56/~jnz1568/getInfo.php?workbook=16_08.xlsx&amp;sheet=A0&amp;row=1303&amp;col=7&amp;number=0&amp;sourceID=14","0")</f>
        <v>0</v>
      </c>
    </row>
    <row r="1304" spans="1:7">
      <c r="A1304" s="3">
        <v>16</v>
      </c>
      <c r="B1304" s="3">
        <v>8</v>
      </c>
      <c r="C1304" s="3">
        <v>86</v>
      </c>
      <c r="D1304" s="3">
        <v>6</v>
      </c>
      <c r="E1304" s="3">
        <v>57.299</v>
      </c>
      <c r="F1304" s="4" t="str">
        <f>HYPERLINK("http://141.218.60.56/~jnz1568/getInfo.php?workbook=16_08.xlsx&amp;sheet=A0&amp;row=1304&amp;col=6&amp;number=6999&amp;sourceID=14","6999")</f>
        <v>6999</v>
      </c>
      <c r="G1304" s="4" t="str">
        <f>HYPERLINK("http://141.218.60.56/~jnz1568/getInfo.php?workbook=16_08.xlsx&amp;sheet=A0&amp;row=1304&amp;col=7&amp;number=0&amp;sourceID=14","0")</f>
        <v>0</v>
      </c>
    </row>
    <row r="1305" spans="1:7">
      <c r="A1305" s="3">
        <v>16</v>
      </c>
      <c r="B1305" s="3">
        <v>8</v>
      </c>
      <c r="C1305" s="3">
        <v>86</v>
      </c>
      <c r="D1305" s="3">
        <v>7</v>
      </c>
      <c r="E1305" s="3">
        <v>57.53</v>
      </c>
      <c r="F1305" s="4" t="str">
        <f>HYPERLINK("http://141.218.60.56/~jnz1568/getInfo.php?workbook=16_08.xlsx&amp;sheet=A0&amp;row=1305&amp;col=6&amp;number=4726&amp;sourceID=14","4726")</f>
        <v>4726</v>
      </c>
      <c r="G1305" s="4" t="str">
        <f>HYPERLINK("http://141.218.60.56/~jnz1568/getInfo.php?workbook=16_08.xlsx&amp;sheet=A0&amp;row=1305&amp;col=7&amp;number=0&amp;sourceID=14","0")</f>
        <v>0</v>
      </c>
    </row>
    <row r="1306" spans="1:7">
      <c r="A1306" s="3">
        <v>16</v>
      </c>
      <c r="B1306" s="3">
        <v>8</v>
      </c>
      <c r="C1306" s="3">
        <v>86</v>
      </c>
      <c r="D1306" s="3">
        <v>9</v>
      </c>
      <c r="E1306" s="3">
        <v>63.526</v>
      </c>
      <c r="F1306" s="4" t="str">
        <f>HYPERLINK("http://141.218.60.56/~jnz1568/getInfo.php?workbook=16_08.xlsx&amp;sheet=A0&amp;row=1306&amp;col=6&amp;number=672000&amp;sourceID=14","672000")</f>
        <v>672000</v>
      </c>
      <c r="G1306" s="4" t="str">
        <f>HYPERLINK("http://141.218.60.56/~jnz1568/getInfo.php?workbook=16_08.xlsx&amp;sheet=A0&amp;row=1306&amp;col=7&amp;number=0&amp;sourceID=14","0")</f>
        <v>0</v>
      </c>
    </row>
    <row r="1307" spans="1:7">
      <c r="A1307" s="3">
        <v>16</v>
      </c>
      <c r="B1307" s="3">
        <v>8</v>
      </c>
      <c r="C1307" s="3">
        <v>86</v>
      </c>
      <c r="D1307" s="3">
        <v>10</v>
      </c>
      <c r="E1307" s="3">
        <v>86.881</v>
      </c>
      <c r="F1307" s="4" t="str">
        <f>HYPERLINK("http://141.218.60.56/~jnz1568/getInfo.php?workbook=16_08.xlsx&amp;sheet=A0&amp;row=1307&amp;col=6&amp;number=28360000&amp;sourceID=14","28360000")</f>
        <v>28360000</v>
      </c>
      <c r="G1307" s="4" t="str">
        <f>HYPERLINK("http://141.218.60.56/~jnz1568/getInfo.php?workbook=16_08.xlsx&amp;sheet=A0&amp;row=1307&amp;col=7&amp;number=0&amp;sourceID=14","0")</f>
        <v>0</v>
      </c>
    </row>
    <row r="1308" spans="1:7">
      <c r="A1308" s="3">
        <v>16</v>
      </c>
      <c r="B1308" s="3">
        <v>8</v>
      </c>
      <c r="C1308" s="3">
        <v>86</v>
      </c>
      <c r="D1308" s="3">
        <v>16</v>
      </c>
      <c r="E1308" s="3">
        <v>301.615</v>
      </c>
      <c r="F1308" s="4" t="str">
        <f>HYPERLINK("http://141.218.60.56/~jnz1568/getInfo.php?workbook=16_08.xlsx&amp;sheet=A0&amp;row=1308&amp;col=6&amp;number=8450&amp;sourceID=14","8450")</f>
        <v>8450</v>
      </c>
      <c r="G1308" s="4" t="str">
        <f>HYPERLINK("http://141.218.60.56/~jnz1568/getInfo.php?workbook=16_08.xlsx&amp;sheet=A0&amp;row=1308&amp;col=7&amp;number=0&amp;sourceID=14","0")</f>
        <v>0</v>
      </c>
    </row>
    <row r="1309" spans="1:7">
      <c r="A1309" s="3">
        <v>16</v>
      </c>
      <c r="B1309" s="3">
        <v>8</v>
      </c>
      <c r="C1309" s="3">
        <v>86</v>
      </c>
      <c r="D1309" s="3">
        <v>20</v>
      </c>
      <c r="E1309" s="3">
        <v>336.218</v>
      </c>
      <c r="F1309" s="4" t="str">
        <f>HYPERLINK("http://141.218.60.56/~jnz1568/getInfo.php?workbook=16_08.xlsx&amp;sheet=A0&amp;row=1309&amp;col=6&amp;number=17120&amp;sourceID=14","17120")</f>
        <v>17120</v>
      </c>
      <c r="G1309" s="4" t="str">
        <f>HYPERLINK("http://141.218.60.56/~jnz1568/getInfo.php?workbook=16_08.xlsx&amp;sheet=A0&amp;row=1309&amp;col=7&amp;number=0&amp;sourceID=14","0")</f>
        <v>0</v>
      </c>
    </row>
    <row r="1310" spans="1:7">
      <c r="A1310" s="3">
        <v>16</v>
      </c>
      <c r="B1310" s="3">
        <v>8</v>
      </c>
      <c r="C1310" s="3">
        <v>86</v>
      </c>
      <c r="D1310" s="3">
        <v>21</v>
      </c>
      <c r="E1310" s="3">
        <v>336.643</v>
      </c>
      <c r="F1310" s="4" t="str">
        <f>HYPERLINK("http://141.218.60.56/~jnz1568/getInfo.php?workbook=16_08.xlsx&amp;sheet=A0&amp;row=1310&amp;col=6&amp;number=51330&amp;sourceID=14","51330")</f>
        <v>51330</v>
      </c>
      <c r="G1310" s="4" t="str">
        <f>HYPERLINK("http://141.218.60.56/~jnz1568/getInfo.php?workbook=16_08.xlsx&amp;sheet=A0&amp;row=1310&amp;col=7&amp;number=0&amp;sourceID=14","0")</f>
        <v>0</v>
      </c>
    </row>
    <row r="1311" spans="1:7">
      <c r="A1311" s="3">
        <v>16</v>
      </c>
      <c r="B1311" s="3">
        <v>8</v>
      </c>
      <c r="C1311" s="3">
        <v>86</v>
      </c>
      <c r="D1311" s="3">
        <v>22</v>
      </c>
      <c r="E1311" s="3">
        <v>-334.172</v>
      </c>
      <c r="F1311" s="4" t="str">
        <f>HYPERLINK("http://141.218.60.56/~jnz1568/getInfo.php?workbook=16_08.xlsx&amp;sheet=A0&amp;row=1311&amp;col=6&amp;number=106800&amp;sourceID=14","106800")</f>
        <v>106800</v>
      </c>
      <c r="G1311" s="4" t="str">
        <f>HYPERLINK("http://141.218.60.56/~jnz1568/getInfo.php?workbook=16_08.xlsx&amp;sheet=A0&amp;row=1311&amp;col=7&amp;number=0&amp;sourceID=14","0")</f>
        <v>0</v>
      </c>
    </row>
    <row r="1312" spans="1:7">
      <c r="A1312" s="3">
        <v>16</v>
      </c>
      <c r="B1312" s="3">
        <v>8</v>
      </c>
      <c r="C1312" s="3">
        <v>86</v>
      </c>
      <c r="D1312" s="3">
        <v>26</v>
      </c>
      <c r="E1312" s="3">
        <v>349.884</v>
      </c>
      <c r="F1312" s="4" t="str">
        <f>HYPERLINK("http://141.218.60.56/~jnz1568/getInfo.php?workbook=16_08.xlsx&amp;sheet=A0&amp;row=1312&amp;col=6&amp;number=87870&amp;sourceID=14","87870")</f>
        <v>87870</v>
      </c>
      <c r="G1312" s="4" t="str">
        <f>HYPERLINK("http://141.218.60.56/~jnz1568/getInfo.php?workbook=16_08.xlsx&amp;sheet=A0&amp;row=1312&amp;col=7&amp;number=0&amp;sourceID=14","0")</f>
        <v>0</v>
      </c>
    </row>
    <row r="1313" spans="1:7">
      <c r="A1313" s="3">
        <v>16</v>
      </c>
      <c r="B1313" s="3">
        <v>8</v>
      </c>
      <c r="C1313" s="3">
        <v>86</v>
      </c>
      <c r="D1313" s="3">
        <v>27</v>
      </c>
      <c r="E1313" s="3">
        <v>-411.219</v>
      </c>
      <c r="F1313" s="4" t="str">
        <f>HYPERLINK("http://141.218.60.56/~jnz1568/getInfo.php?workbook=16_08.xlsx&amp;sheet=A0&amp;row=1313&amp;col=6&amp;number=259900&amp;sourceID=14","259900")</f>
        <v>259900</v>
      </c>
      <c r="G1313" s="4" t="str">
        <f>HYPERLINK("http://141.218.60.56/~jnz1568/getInfo.php?workbook=16_08.xlsx&amp;sheet=A0&amp;row=1313&amp;col=7&amp;number=0&amp;sourceID=14","0")</f>
        <v>0</v>
      </c>
    </row>
    <row r="1314" spans="1:7">
      <c r="A1314" s="3">
        <v>16</v>
      </c>
      <c r="B1314" s="3">
        <v>8</v>
      </c>
      <c r="C1314" s="3">
        <v>86</v>
      </c>
      <c r="D1314" s="3">
        <v>28</v>
      </c>
      <c r="E1314" s="3">
        <v>414.865</v>
      </c>
      <c r="F1314" s="4" t="str">
        <f>HYPERLINK("http://141.218.60.56/~jnz1568/getInfo.php?workbook=16_08.xlsx&amp;sheet=A0&amp;row=1314&amp;col=6&amp;number=4247000&amp;sourceID=14","4247000")</f>
        <v>4247000</v>
      </c>
      <c r="G1314" s="4" t="str">
        <f>HYPERLINK("http://141.218.60.56/~jnz1568/getInfo.php?workbook=16_08.xlsx&amp;sheet=A0&amp;row=1314&amp;col=7&amp;number=0&amp;sourceID=14","0")</f>
        <v>0</v>
      </c>
    </row>
    <row r="1315" spans="1:7">
      <c r="A1315" s="3">
        <v>16</v>
      </c>
      <c r="B1315" s="3">
        <v>8</v>
      </c>
      <c r="C1315" s="3">
        <v>86</v>
      </c>
      <c r="D1315" s="3">
        <v>30</v>
      </c>
      <c r="E1315" s="3">
        <v>-401.691</v>
      </c>
      <c r="F1315" s="4" t="str">
        <f>HYPERLINK("http://141.218.60.56/~jnz1568/getInfo.php?workbook=16_08.xlsx&amp;sheet=A0&amp;row=1315&amp;col=6&amp;number=18320000&amp;sourceID=14","18320000")</f>
        <v>18320000</v>
      </c>
      <c r="G1315" s="4" t="str">
        <f>HYPERLINK("http://141.218.60.56/~jnz1568/getInfo.php?workbook=16_08.xlsx&amp;sheet=A0&amp;row=1315&amp;col=7&amp;number=0&amp;sourceID=14","0")</f>
        <v>0</v>
      </c>
    </row>
    <row r="1316" spans="1:7">
      <c r="A1316" s="3">
        <v>16</v>
      </c>
      <c r="B1316" s="3">
        <v>8</v>
      </c>
      <c r="C1316" s="3">
        <v>86</v>
      </c>
      <c r="D1316" s="3">
        <v>31</v>
      </c>
      <c r="E1316" s="3">
        <v>429.592</v>
      </c>
      <c r="F1316" s="4" t="str">
        <f>HYPERLINK("http://141.218.60.56/~jnz1568/getInfo.php?workbook=16_08.xlsx&amp;sheet=A0&amp;row=1316&amp;col=6&amp;number=632200&amp;sourceID=14","632200")</f>
        <v>632200</v>
      </c>
      <c r="G1316" s="4" t="str">
        <f>HYPERLINK("http://141.218.60.56/~jnz1568/getInfo.php?workbook=16_08.xlsx&amp;sheet=A0&amp;row=1316&amp;col=7&amp;number=0&amp;sourceID=14","0")</f>
        <v>0</v>
      </c>
    </row>
    <row r="1317" spans="1:7">
      <c r="A1317" s="3">
        <v>16</v>
      </c>
      <c r="B1317" s="3">
        <v>8</v>
      </c>
      <c r="C1317" s="3">
        <v>86</v>
      </c>
      <c r="D1317" s="3">
        <v>35</v>
      </c>
      <c r="E1317" s="3">
        <v>-502.6</v>
      </c>
      <c r="F1317" s="4" t="str">
        <f>HYPERLINK("http://141.218.60.56/~jnz1568/getInfo.php?workbook=16_08.xlsx&amp;sheet=A0&amp;row=1317&amp;col=6&amp;number=695100&amp;sourceID=14","695100")</f>
        <v>695100</v>
      </c>
      <c r="G1317" s="4" t="str">
        <f>HYPERLINK("http://141.218.60.56/~jnz1568/getInfo.php?workbook=16_08.xlsx&amp;sheet=A0&amp;row=1317&amp;col=7&amp;number=0&amp;sourceID=14","0")</f>
        <v>0</v>
      </c>
    </row>
    <row r="1318" spans="1:7">
      <c r="A1318" s="3">
        <v>16</v>
      </c>
      <c r="B1318" s="3">
        <v>8</v>
      </c>
      <c r="C1318" s="3">
        <v>86</v>
      </c>
      <c r="D1318" s="3">
        <v>36</v>
      </c>
      <c r="E1318" s="3">
        <v>505.02</v>
      </c>
      <c r="F1318" s="4" t="str">
        <f>HYPERLINK("http://141.218.60.56/~jnz1568/getInfo.php?workbook=16_08.xlsx&amp;sheet=A0&amp;row=1318&amp;col=6&amp;number=30820000&amp;sourceID=14","30820000")</f>
        <v>30820000</v>
      </c>
      <c r="G1318" s="4" t="str">
        <f>HYPERLINK("http://141.218.60.56/~jnz1568/getInfo.php?workbook=16_08.xlsx&amp;sheet=A0&amp;row=1318&amp;col=7&amp;number=0&amp;sourceID=14","0")</f>
        <v>0</v>
      </c>
    </row>
    <row r="1319" spans="1:7">
      <c r="A1319" s="3">
        <v>16</v>
      </c>
      <c r="B1319" s="3">
        <v>8</v>
      </c>
      <c r="C1319" s="3">
        <v>86</v>
      </c>
      <c r="D1319" s="3">
        <v>37</v>
      </c>
      <c r="E1319" s="3">
        <v>501.082</v>
      </c>
      <c r="F1319" s="4" t="str">
        <f>HYPERLINK("http://141.218.60.56/~jnz1568/getInfo.php?workbook=16_08.xlsx&amp;sheet=A0&amp;row=1319&amp;col=6&amp;number=82720&amp;sourceID=14","82720")</f>
        <v>82720</v>
      </c>
      <c r="G1319" s="4" t="str">
        <f>HYPERLINK("http://141.218.60.56/~jnz1568/getInfo.php?workbook=16_08.xlsx&amp;sheet=A0&amp;row=1319&amp;col=7&amp;number=0&amp;sourceID=14","0")</f>
        <v>0</v>
      </c>
    </row>
    <row r="1320" spans="1:7">
      <c r="A1320" s="3">
        <v>16</v>
      </c>
      <c r="B1320" s="3">
        <v>8</v>
      </c>
      <c r="C1320" s="3">
        <v>86</v>
      </c>
      <c r="D1320" s="3">
        <v>43</v>
      </c>
      <c r="E1320" s="3">
        <v>-487.312</v>
      </c>
      <c r="F1320" s="4" t="str">
        <f>HYPERLINK("http://141.218.60.56/~jnz1568/getInfo.php?workbook=16_08.xlsx&amp;sheet=A0&amp;row=1320&amp;col=6&amp;number=7364000&amp;sourceID=14","7364000")</f>
        <v>7364000</v>
      </c>
      <c r="G1320" s="4" t="str">
        <f>HYPERLINK("http://141.218.60.56/~jnz1568/getInfo.php?workbook=16_08.xlsx&amp;sheet=A0&amp;row=1320&amp;col=7&amp;number=0&amp;sourceID=14","0")</f>
        <v>0</v>
      </c>
    </row>
    <row r="1321" spans="1:7">
      <c r="A1321" s="3">
        <v>16</v>
      </c>
      <c r="B1321" s="3">
        <v>8</v>
      </c>
      <c r="C1321" s="3">
        <v>86</v>
      </c>
      <c r="D1321" s="3">
        <v>44</v>
      </c>
      <c r="E1321" s="3">
        <v>505.02</v>
      </c>
      <c r="F1321" s="4" t="str">
        <f>HYPERLINK("http://141.218.60.56/~jnz1568/getInfo.php?workbook=16_08.xlsx&amp;sheet=A0&amp;row=1321&amp;col=6&amp;number=126400&amp;sourceID=14","126400")</f>
        <v>126400</v>
      </c>
      <c r="G1321" s="4" t="str">
        <f>HYPERLINK("http://141.218.60.56/~jnz1568/getInfo.php?workbook=16_08.xlsx&amp;sheet=A0&amp;row=1321&amp;col=7&amp;number=0&amp;sourceID=14","0")</f>
        <v>0</v>
      </c>
    </row>
    <row r="1322" spans="1:7">
      <c r="A1322" s="3">
        <v>16</v>
      </c>
      <c r="B1322" s="3">
        <v>8</v>
      </c>
      <c r="C1322" s="3">
        <v>86</v>
      </c>
      <c r="D1322" s="3">
        <v>45</v>
      </c>
      <c r="E1322" s="3">
        <v>-517.468</v>
      </c>
      <c r="F1322" s="4" t="str">
        <f>HYPERLINK("http://141.218.60.56/~jnz1568/getInfo.php?workbook=16_08.xlsx&amp;sheet=A0&amp;row=1322&amp;col=6&amp;number=96500000&amp;sourceID=14","96500000")</f>
        <v>96500000</v>
      </c>
      <c r="G1322" s="4" t="str">
        <f>HYPERLINK("http://141.218.60.56/~jnz1568/getInfo.php?workbook=16_08.xlsx&amp;sheet=A0&amp;row=1322&amp;col=7&amp;number=0&amp;sourceID=14","0")</f>
        <v>0</v>
      </c>
    </row>
    <row r="1323" spans="1:7">
      <c r="A1323" s="3">
        <v>16</v>
      </c>
      <c r="B1323" s="3">
        <v>8</v>
      </c>
      <c r="C1323" s="3">
        <v>86</v>
      </c>
      <c r="D1323" s="3">
        <v>47</v>
      </c>
      <c r="E1323" s="3">
        <v>-539.901</v>
      </c>
      <c r="F1323" s="4" t="str">
        <f>HYPERLINK("http://141.218.60.56/~jnz1568/getInfo.php?workbook=16_08.xlsx&amp;sheet=A0&amp;row=1323&amp;col=6&amp;number=6391000&amp;sourceID=14","6391000")</f>
        <v>6391000</v>
      </c>
      <c r="G1323" s="4" t="str">
        <f>HYPERLINK("http://141.218.60.56/~jnz1568/getInfo.php?workbook=16_08.xlsx&amp;sheet=A0&amp;row=1323&amp;col=7&amp;number=0&amp;sourceID=14","0")</f>
        <v>0</v>
      </c>
    </row>
    <row r="1324" spans="1:7">
      <c r="A1324" s="3">
        <v>16</v>
      </c>
      <c r="B1324" s="3">
        <v>8</v>
      </c>
      <c r="C1324" s="3">
        <v>86</v>
      </c>
      <c r="D1324" s="3">
        <v>48</v>
      </c>
      <c r="E1324" s="3">
        <v>-547.217</v>
      </c>
      <c r="F1324" s="4" t="str">
        <f>HYPERLINK("http://141.218.60.56/~jnz1568/getInfo.php?workbook=16_08.xlsx&amp;sheet=A0&amp;row=1324&amp;col=6&amp;number=2505000000&amp;sourceID=14","2505000000")</f>
        <v>2505000000</v>
      </c>
      <c r="G1324" s="4" t="str">
        <f>HYPERLINK("http://141.218.60.56/~jnz1568/getInfo.php?workbook=16_08.xlsx&amp;sheet=A0&amp;row=1324&amp;col=7&amp;number=0&amp;sourceID=14","0")</f>
        <v>0</v>
      </c>
    </row>
    <row r="1325" spans="1:7">
      <c r="A1325" s="3">
        <v>16</v>
      </c>
      <c r="B1325" s="3">
        <v>8</v>
      </c>
      <c r="C1325" s="3">
        <v>86</v>
      </c>
      <c r="D1325" s="3">
        <v>52</v>
      </c>
      <c r="E1325" s="3">
        <v>-573.647</v>
      </c>
      <c r="F1325" s="4" t="str">
        <f>HYPERLINK("http://141.218.60.56/~jnz1568/getInfo.php?workbook=16_08.xlsx&amp;sheet=A0&amp;row=1325&amp;col=6&amp;number=488000&amp;sourceID=14","488000")</f>
        <v>488000</v>
      </c>
      <c r="G1325" s="4" t="str">
        <f>HYPERLINK("http://141.218.60.56/~jnz1568/getInfo.php?workbook=16_08.xlsx&amp;sheet=A0&amp;row=1325&amp;col=7&amp;number=0&amp;sourceID=14","0")</f>
        <v>0</v>
      </c>
    </row>
    <row r="1326" spans="1:7">
      <c r="A1326" s="3">
        <v>16</v>
      </c>
      <c r="B1326" s="3">
        <v>8</v>
      </c>
      <c r="C1326" s="3">
        <v>86</v>
      </c>
      <c r="D1326" s="3">
        <v>53</v>
      </c>
      <c r="E1326" s="3">
        <v>-580.959</v>
      </c>
      <c r="F1326" s="4" t="str">
        <f>HYPERLINK("http://141.218.60.56/~jnz1568/getInfo.php?workbook=16_08.xlsx&amp;sheet=A0&amp;row=1326&amp;col=6&amp;number=109000000&amp;sourceID=14","109000000")</f>
        <v>109000000</v>
      </c>
      <c r="G1326" s="4" t="str">
        <f>HYPERLINK("http://141.218.60.56/~jnz1568/getInfo.php?workbook=16_08.xlsx&amp;sheet=A0&amp;row=1326&amp;col=7&amp;number=0&amp;sourceID=14","0")</f>
        <v>0</v>
      </c>
    </row>
    <row r="1327" spans="1:7">
      <c r="A1327" s="3">
        <v>16</v>
      </c>
      <c r="B1327" s="3">
        <v>8</v>
      </c>
      <c r="C1327" s="3">
        <v>86</v>
      </c>
      <c r="D1327" s="3">
        <v>54</v>
      </c>
      <c r="E1327" s="3">
        <v>-584.756</v>
      </c>
      <c r="F1327" s="4" t="str">
        <f>HYPERLINK("http://141.218.60.56/~jnz1568/getInfo.php?workbook=16_08.xlsx&amp;sheet=A0&amp;row=1327&amp;col=6&amp;number=36130&amp;sourceID=14","36130")</f>
        <v>36130</v>
      </c>
      <c r="G1327" s="4" t="str">
        <f>HYPERLINK("http://141.218.60.56/~jnz1568/getInfo.php?workbook=16_08.xlsx&amp;sheet=A0&amp;row=1327&amp;col=7&amp;number=0&amp;sourceID=14","0")</f>
        <v>0</v>
      </c>
    </row>
    <row r="1328" spans="1:7">
      <c r="A1328" s="3">
        <v>16</v>
      </c>
      <c r="B1328" s="3">
        <v>8</v>
      </c>
      <c r="C1328" s="3">
        <v>86</v>
      </c>
      <c r="D1328" s="3">
        <v>55</v>
      </c>
      <c r="E1328" s="3">
        <v>-685.769</v>
      </c>
      <c r="F1328" s="4" t="str">
        <f>HYPERLINK("http://141.218.60.56/~jnz1568/getInfo.php?workbook=16_08.xlsx&amp;sheet=A0&amp;row=1328&amp;col=6&amp;number=76450000&amp;sourceID=14","76450000")</f>
        <v>76450000</v>
      </c>
      <c r="G1328" s="4" t="str">
        <f>HYPERLINK("http://141.218.60.56/~jnz1568/getInfo.php?workbook=16_08.xlsx&amp;sheet=A0&amp;row=1328&amp;col=7&amp;number=0&amp;sourceID=14","0")</f>
        <v>0</v>
      </c>
    </row>
    <row r="1329" spans="1:7">
      <c r="A1329" s="3">
        <v>16</v>
      </c>
      <c r="B1329" s="3">
        <v>8</v>
      </c>
      <c r="C1329" s="3">
        <v>86</v>
      </c>
      <c r="D1329" s="3">
        <v>66</v>
      </c>
      <c r="E1329" s="3">
        <v>-963.677</v>
      </c>
      <c r="F1329" s="4" t="str">
        <f>HYPERLINK("http://141.218.60.56/~jnz1568/getInfo.php?workbook=16_08.xlsx&amp;sheet=A0&amp;row=1329&amp;col=6&amp;number=506000000&amp;sourceID=14","506000000")</f>
        <v>506000000</v>
      </c>
      <c r="G1329" s="4" t="str">
        <f>HYPERLINK("http://141.218.60.56/~jnz1568/getInfo.php?workbook=16_08.xlsx&amp;sheet=A0&amp;row=1329&amp;col=7&amp;number=0&amp;sourceID=14","0")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3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16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HYPERLINK("http://141.218.60.56/~jnz1568/getInfo.php?workbook=16_08.xlsx&amp;sheet=U0&amp;row=4&amp;col=6&amp;number=3&amp;sourceID=14","3")</f>
        <v>3</v>
      </c>
      <c r="G4" s="4" t="str">
        <f>HYPERLINK("http://141.218.60.56/~jnz1568/getInfo.php?workbook=16_08.xlsx&amp;sheet=U0&amp;row=4&amp;col=7&amp;number=0.15&amp;sourceID=14","0.15")</f>
        <v>0.15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HYPERLINK("http://141.218.60.56/~jnz1568/getInfo.php?workbook=16_08.xlsx&amp;sheet=U0&amp;row=5&amp;col=6&amp;number=3.1&amp;sourceID=14","3.1")</f>
        <v>3.1</v>
      </c>
      <c r="G5" s="4" t="str">
        <f>HYPERLINK("http://141.218.60.56/~jnz1568/getInfo.php?workbook=16_08.xlsx&amp;sheet=U0&amp;row=5&amp;col=7&amp;number=0.15&amp;sourceID=14","0.15")</f>
        <v>0.15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HYPERLINK("http://141.218.60.56/~jnz1568/getInfo.php?workbook=16_08.xlsx&amp;sheet=U0&amp;row=6&amp;col=6&amp;number=3.2&amp;sourceID=14","3.2")</f>
        <v>3.2</v>
      </c>
      <c r="G6" s="4" t="str">
        <f>HYPERLINK("http://141.218.60.56/~jnz1568/getInfo.php?workbook=16_08.xlsx&amp;sheet=U0&amp;row=6&amp;col=7&amp;number=0.15&amp;sourceID=14","0.15")</f>
        <v>0.15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HYPERLINK("http://141.218.60.56/~jnz1568/getInfo.php?workbook=16_08.xlsx&amp;sheet=U0&amp;row=7&amp;col=6&amp;number=3.3&amp;sourceID=14","3.3")</f>
        <v>3.3</v>
      </c>
      <c r="G7" s="4" t="str">
        <f>HYPERLINK("http://141.218.60.56/~jnz1568/getInfo.php?workbook=16_08.xlsx&amp;sheet=U0&amp;row=7&amp;col=7&amp;number=0.15&amp;sourceID=14","0.15")</f>
        <v>0.15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HYPERLINK("http://141.218.60.56/~jnz1568/getInfo.php?workbook=16_08.xlsx&amp;sheet=U0&amp;row=8&amp;col=6&amp;number=3.4&amp;sourceID=14","3.4")</f>
        <v>3.4</v>
      </c>
      <c r="G8" s="4" t="str">
        <f>HYPERLINK("http://141.218.60.56/~jnz1568/getInfo.php?workbook=16_08.xlsx&amp;sheet=U0&amp;row=8&amp;col=7&amp;number=0.15&amp;sourceID=14","0.15")</f>
        <v>0.15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HYPERLINK("http://141.218.60.56/~jnz1568/getInfo.php?workbook=16_08.xlsx&amp;sheet=U0&amp;row=9&amp;col=6&amp;number=3.5&amp;sourceID=14","3.5")</f>
        <v>3.5</v>
      </c>
      <c r="G9" s="4" t="str">
        <f>HYPERLINK("http://141.218.60.56/~jnz1568/getInfo.php?workbook=16_08.xlsx&amp;sheet=U0&amp;row=9&amp;col=7&amp;number=0.15&amp;sourceID=14","0.15")</f>
        <v>0.15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HYPERLINK("http://141.218.60.56/~jnz1568/getInfo.php?workbook=16_08.xlsx&amp;sheet=U0&amp;row=10&amp;col=6&amp;number=3.6&amp;sourceID=14","3.6")</f>
        <v>3.6</v>
      </c>
      <c r="G10" s="4" t="str">
        <f>HYPERLINK("http://141.218.60.56/~jnz1568/getInfo.php?workbook=16_08.xlsx&amp;sheet=U0&amp;row=10&amp;col=7&amp;number=0.15&amp;sourceID=14","0.15")</f>
        <v>0.15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HYPERLINK("http://141.218.60.56/~jnz1568/getInfo.php?workbook=16_08.xlsx&amp;sheet=U0&amp;row=11&amp;col=6&amp;number=3.7&amp;sourceID=14","3.7")</f>
        <v>3.7</v>
      </c>
      <c r="G11" s="4" t="str">
        <f>HYPERLINK("http://141.218.60.56/~jnz1568/getInfo.php?workbook=16_08.xlsx&amp;sheet=U0&amp;row=11&amp;col=7&amp;number=0.15&amp;sourceID=14","0.15")</f>
        <v>0.15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HYPERLINK("http://141.218.60.56/~jnz1568/getInfo.php?workbook=16_08.xlsx&amp;sheet=U0&amp;row=12&amp;col=6&amp;number=3.8&amp;sourceID=14","3.8")</f>
        <v>3.8</v>
      </c>
      <c r="G12" s="4" t="str">
        <f>HYPERLINK("http://141.218.60.56/~jnz1568/getInfo.php?workbook=16_08.xlsx&amp;sheet=U0&amp;row=12&amp;col=7&amp;number=0.15&amp;sourceID=14","0.15")</f>
        <v>0.15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HYPERLINK("http://141.218.60.56/~jnz1568/getInfo.php?workbook=16_08.xlsx&amp;sheet=U0&amp;row=13&amp;col=6&amp;number=3.9&amp;sourceID=14","3.9")</f>
        <v>3.9</v>
      </c>
      <c r="G13" s="4" t="str">
        <f>HYPERLINK("http://141.218.60.56/~jnz1568/getInfo.php?workbook=16_08.xlsx&amp;sheet=U0&amp;row=13&amp;col=7&amp;number=0.149&amp;sourceID=14","0.149")</f>
        <v>0.149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HYPERLINK("http://141.218.60.56/~jnz1568/getInfo.php?workbook=16_08.xlsx&amp;sheet=U0&amp;row=14&amp;col=6&amp;number=4&amp;sourceID=14","4")</f>
        <v>4</v>
      </c>
      <c r="G14" s="4" t="str">
        <f>HYPERLINK("http://141.218.60.56/~jnz1568/getInfo.php?workbook=16_08.xlsx&amp;sheet=U0&amp;row=14&amp;col=7&amp;number=0.149&amp;sourceID=14","0.149")</f>
        <v>0.149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HYPERLINK("http://141.218.60.56/~jnz1568/getInfo.php?workbook=16_08.xlsx&amp;sheet=U0&amp;row=15&amp;col=6&amp;number=4.1&amp;sourceID=14","4.1")</f>
        <v>4.1</v>
      </c>
      <c r="G15" s="4" t="str">
        <f>HYPERLINK("http://141.218.60.56/~jnz1568/getInfo.php?workbook=16_08.xlsx&amp;sheet=U0&amp;row=15&amp;col=7&amp;number=0.149&amp;sourceID=14","0.149")</f>
        <v>0.149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HYPERLINK("http://141.218.60.56/~jnz1568/getInfo.php?workbook=16_08.xlsx&amp;sheet=U0&amp;row=16&amp;col=6&amp;number=4.2&amp;sourceID=14","4.2")</f>
        <v>4.2</v>
      </c>
      <c r="G16" s="4" t="str">
        <f>HYPERLINK("http://141.218.60.56/~jnz1568/getInfo.php?workbook=16_08.xlsx&amp;sheet=U0&amp;row=16&amp;col=7&amp;number=0.149&amp;sourceID=14","0.149")</f>
        <v>0.149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HYPERLINK("http://141.218.60.56/~jnz1568/getInfo.php?workbook=16_08.xlsx&amp;sheet=U0&amp;row=17&amp;col=6&amp;number=4.3&amp;sourceID=14","4.3")</f>
        <v>4.3</v>
      </c>
      <c r="G17" s="4" t="str">
        <f>HYPERLINK("http://141.218.60.56/~jnz1568/getInfo.php?workbook=16_08.xlsx&amp;sheet=U0&amp;row=17&amp;col=7&amp;number=0.149&amp;sourceID=14","0.149")</f>
        <v>0.149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HYPERLINK("http://141.218.60.56/~jnz1568/getInfo.php?workbook=16_08.xlsx&amp;sheet=U0&amp;row=18&amp;col=6&amp;number=4.4&amp;sourceID=14","4.4")</f>
        <v>4.4</v>
      </c>
      <c r="G18" s="4" t="str">
        <f>HYPERLINK("http://141.218.60.56/~jnz1568/getInfo.php?workbook=16_08.xlsx&amp;sheet=U0&amp;row=18&amp;col=7&amp;number=0.149&amp;sourceID=14","0.149")</f>
        <v>0.149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HYPERLINK("http://141.218.60.56/~jnz1568/getInfo.php?workbook=16_08.xlsx&amp;sheet=U0&amp;row=19&amp;col=6&amp;number=4.5&amp;sourceID=14","4.5")</f>
        <v>4.5</v>
      </c>
      <c r="G19" s="4" t="str">
        <f>HYPERLINK("http://141.218.60.56/~jnz1568/getInfo.php?workbook=16_08.xlsx&amp;sheet=U0&amp;row=19&amp;col=7&amp;number=0.149&amp;sourceID=14","0.149")</f>
        <v>0.149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HYPERLINK("http://141.218.60.56/~jnz1568/getInfo.php?workbook=16_08.xlsx&amp;sheet=U0&amp;row=20&amp;col=6&amp;number=4.6&amp;sourceID=14","4.6")</f>
        <v>4.6</v>
      </c>
      <c r="G20" s="4" t="str">
        <f>HYPERLINK("http://141.218.60.56/~jnz1568/getInfo.php?workbook=16_08.xlsx&amp;sheet=U0&amp;row=20&amp;col=7&amp;number=0.149&amp;sourceID=14","0.149")</f>
        <v>0.149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HYPERLINK("http://141.218.60.56/~jnz1568/getInfo.php?workbook=16_08.xlsx&amp;sheet=U0&amp;row=21&amp;col=6&amp;number=4.7&amp;sourceID=14","4.7")</f>
        <v>4.7</v>
      </c>
      <c r="G21" s="4" t="str">
        <f>HYPERLINK("http://141.218.60.56/~jnz1568/getInfo.php?workbook=16_08.xlsx&amp;sheet=U0&amp;row=21&amp;col=7&amp;number=0.149&amp;sourceID=14","0.149")</f>
        <v>0.149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HYPERLINK("http://141.218.60.56/~jnz1568/getInfo.php?workbook=16_08.xlsx&amp;sheet=U0&amp;row=22&amp;col=6&amp;number=4.8&amp;sourceID=14","4.8")</f>
        <v>4.8</v>
      </c>
      <c r="G22" s="4" t="str">
        <f>HYPERLINK("http://141.218.60.56/~jnz1568/getInfo.php?workbook=16_08.xlsx&amp;sheet=U0&amp;row=22&amp;col=7&amp;number=0.149&amp;sourceID=14","0.149")</f>
        <v>0.149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HYPERLINK("http://141.218.60.56/~jnz1568/getInfo.php?workbook=16_08.xlsx&amp;sheet=U0&amp;row=23&amp;col=6&amp;number=4.9&amp;sourceID=14","4.9")</f>
        <v>4.9</v>
      </c>
      <c r="G23" s="4" t="str">
        <f>HYPERLINK("http://141.218.60.56/~jnz1568/getInfo.php?workbook=16_08.xlsx&amp;sheet=U0&amp;row=23&amp;col=7&amp;number=0.149&amp;sourceID=14","0.149")</f>
        <v>0.149</v>
      </c>
    </row>
    <row r="24" spans="1:7">
      <c r="A24" s="3">
        <v>16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HYPERLINK("http://141.218.60.56/~jnz1568/getInfo.php?workbook=16_08.xlsx&amp;sheet=U0&amp;row=24&amp;col=6&amp;number=3&amp;sourceID=14","3")</f>
        <v>3</v>
      </c>
      <c r="G24" s="4" t="str">
        <f>HYPERLINK("http://141.218.60.56/~jnz1568/getInfo.php?workbook=16_08.xlsx&amp;sheet=U0&amp;row=24&amp;col=7&amp;number=0.0331&amp;sourceID=14","0.0331")</f>
        <v>0.0331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HYPERLINK("http://141.218.60.56/~jnz1568/getInfo.php?workbook=16_08.xlsx&amp;sheet=U0&amp;row=25&amp;col=6&amp;number=3.1&amp;sourceID=14","3.1")</f>
        <v>3.1</v>
      </c>
      <c r="G25" s="4" t="str">
        <f>HYPERLINK("http://141.218.60.56/~jnz1568/getInfo.php?workbook=16_08.xlsx&amp;sheet=U0&amp;row=25&amp;col=7&amp;number=0.0331&amp;sourceID=14","0.0331")</f>
        <v>0.0331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HYPERLINK("http://141.218.60.56/~jnz1568/getInfo.php?workbook=16_08.xlsx&amp;sheet=U0&amp;row=26&amp;col=6&amp;number=3.2&amp;sourceID=14","3.2")</f>
        <v>3.2</v>
      </c>
      <c r="G26" s="4" t="str">
        <f>HYPERLINK("http://141.218.60.56/~jnz1568/getInfo.php?workbook=16_08.xlsx&amp;sheet=U0&amp;row=26&amp;col=7&amp;number=0.0331&amp;sourceID=14","0.0331")</f>
        <v>0.0331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HYPERLINK("http://141.218.60.56/~jnz1568/getInfo.php?workbook=16_08.xlsx&amp;sheet=U0&amp;row=27&amp;col=6&amp;number=3.3&amp;sourceID=14","3.3")</f>
        <v>3.3</v>
      </c>
      <c r="G27" s="4" t="str">
        <f>HYPERLINK("http://141.218.60.56/~jnz1568/getInfo.php?workbook=16_08.xlsx&amp;sheet=U0&amp;row=27&amp;col=7&amp;number=0.0331&amp;sourceID=14","0.0331")</f>
        <v>0.0331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HYPERLINK("http://141.218.60.56/~jnz1568/getInfo.php?workbook=16_08.xlsx&amp;sheet=U0&amp;row=28&amp;col=6&amp;number=3.4&amp;sourceID=14","3.4")</f>
        <v>3.4</v>
      </c>
      <c r="G28" s="4" t="str">
        <f>HYPERLINK("http://141.218.60.56/~jnz1568/getInfo.php?workbook=16_08.xlsx&amp;sheet=U0&amp;row=28&amp;col=7&amp;number=0.0331&amp;sourceID=14","0.0331")</f>
        <v>0.0331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HYPERLINK("http://141.218.60.56/~jnz1568/getInfo.php?workbook=16_08.xlsx&amp;sheet=U0&amp;row=29&amp;col=6&amp;number=3.5&amp;sourceID=14","3.5")</f>
        <v>3.5</v>
      </c>
      <c r="G29" s="4" t="str">
        <f>HYPERLINK("http://141.218.60.56/~jnz1568/getInfo.php?workbook=16_08.xlsx&amp;sheet=U0&amp;row=29&amp;col=7&amp;number=0.0331&amp;sourceID=14","0.0331")</f>
        <v>0.0331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HYPERLINK("http://141.218.60.56/~jnz1568/getInfo.php?workbook=16_08.xlsx&amp;sheet=U0&amp;row=30&amp;col=6&amp;number=3.6&amp;sourceID=14","3.6")</f>
        <v>3.6</v>
      </c>
      <c r="G30" s="4" t="str">
        <f>HYPERLINK("http://141.218.60.56/~jnz1568/getInfo.php?workbook=16_08.xlsx&amp;sheet=U0&amp;row=30&amp;col=7&amp;number=0.0331&amp;sourceID=14","0.0331")</f>
        <v>0.0331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HYPERLINK("http://141.218.60.56/~jnz1568/getInfo.php?workbook=16_08.xlsx&amp;sheet=U0&amp;row=31&amp;col=6&amp;number=3.7&amp;sourceID=14","3.7")</f>
        <v>3.7</v>
      </c>
      <c r="G31" s="4" t="str">
        <f>HYPERLINK("http://141.218.60.56/~jnz1568/getInfo.php?workbook=16_08.xlsx&amp;sheet=U0&amp;row=31&amp;col=7&amp;number=0.0331&amp;sourceID=14","0.0331")</f>
        <v>0.0331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HYPERLINK("http://141.218.60.56/~jnz1568/getInfo.php?workbook=16_08.xlsx&amp;sheet=U0&amp;row=32&amp;col=6&amp;number=3.8&amp;sourceID=14","3.8")</f>
        <v>3.8</v>
      </c>
      <c r="G32" s="4" t="str">
        <f>HYPERLINK("http://141.218.60.56/~jnz1568/getInfo.php?workbook=16_08.xlsx&amp;sheet=U0&amp;row=32&amp;col=7&amp;number=0.0331&amp;sourceID=14","0.0331")</f>
        <v>0.0331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HYPERLINK("http://141.218.60.56/~jnz1568/getInfo.php?workbook=16_08.xlsx&amp;sheet=U0&amp;row=33&amp;col=6&amp;number=3.9&amp;sourceID=14","3.9")</f>
        <v>3.9</v>
      </c>
      <c r="G33" s="4" t="str">
        <f>HYPERLINK("http://141.218.60.56/~jnz1568/getInfo.php?workbook=16_08.xlsx&amp;sheet=U0&amp;row=33&amp;col=7&amp;number=0.0331&amp;sourceID=14","0.0331")</f>
        <v>0.0331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HYPERLINK("http://141.218.60.56/~jnz1568/getInfo.php?workbook=16_08.xlsx&amp;sheet=U0&amp;row=34&amp;col=6&amp;number=4&amp;sourceID=14","4")</f>
        <v>4</v>
      </c>
      <c r="G34" s="4" t="str">
        <f>HYPERLINK("http://141.218.60.56/~jnz1568/getInfo.php?workbook=16_08.xlsx&amp;sheet=U0&amp;row=34&amp;col=7&amp;number=0.0331&amp;sourceID=14","0.0331")</f>
        <v>0.0331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HYPERLINK("http://141.218.60.56/~jnz1568/getInfo.php?workbook=16_08.xlsx&amp;sheet=U0&amp;row=35&amp;col=6&amp;number=4.1&amp;sourceID=14","4.1")</f>
        <v>4.1</v>
      </c>
      <c r="G35" s="4" t="str">
        <f>HYPERLINK("http://141.218.60.56/~jnz1568/getInfo.php?workbook=16_08.xlsx&amp;sheet=U0&amp;row=35&amp;col=7&amp;number=0.0331&amp;sourceID=14","0.0331")</f>
        <v>0.0331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HYPERLINK("http://141.218.60.56/~jnz1568/getInfo.php?workbook=16_08.xlsx&amp;sheet=U0&amp;row=36&amp;col=6&amp;number=4.2&amp;sourceID=14","4.2")</f>
        <v>4.2</v>
      </c>
      <c r="G36" s="4" t="str">
        <f>HYPERLINK("http://141.218.60.56/~jnz1568/getInfo.php?workbook=16_08.xlsx&amp;sheet=U0&amp;row=36&amp;col=7&amp;number=0.0331&amp;sourceID=14","0.0331")</f>
        <v>0.0331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HYPERLINK("http://141.218.60.56/~jnz1568/getInfo.php?workbook=16_08.xlsx&amp;sheet=U0&amp;row=37&amp;col=6&amp;number=4.3&amp;sourceID=14","4.3")</f>
        <v>4.3</v>
      </c>
      <c r="G37" s="4" t="str">
        <f>HYPERLINK("http://141.218.60.56/~jnz1568/getInfo.php?workbook=16_08.xlsx&amp;sheet=U0&amp;row=37&amp;col=7&amp;number=0.0331&amp;sourceID=14","0.0331")</f>
        <v>0.0331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HYPERLINK("http://141.218.60.56/~jnz1568/getInfo.php?workbook=16_08.xlsx&amp;sheet=U0&amp;row=38&amp;col=6&amp;number=4.4&amp;sourceID=14","4.4")</f>
        <v>4.4</v>
      </c>
      <c r="G38" s="4" t="str">
        <f>HYPERLINK("http://141.218.60.56/~jnz1568/getInfo.php?workbook=16_08.xlsx&amp;sheet=U0&amp;row=38&amp;col=7&amp;number=0.033&amp;sourceID=14","0.033")</f>
        <v>0.033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HYPERLINK("http://141.218.60.56/~jnz1568/getInfo.php?workbook=16_08.xlsx&amp;sheet=U0&amp;row=39&amp;col=6&amp;number=4.5&amp;sourceID=14","4.5")</f>
        <v>4.5</v>
      </c>
      <c r="G39" s="4" t="str">
        <f>HYPERLINK("http://141.218.60.56/~jnz1568/getInfo.php?workbook=16_08.xlsx&amp;sheet=U0&amp;row=39&amp;col=7&amp;number=0.033&amp;sourceID=14","0.033")</f>
        <v>0.033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HYPERLINK("http://141.218.60.56/~jnz1568/getInfo.php?workbook=16_08.xlsx&amp;sheet=U0&amp;row=40&amp;col=6&amp;number=4.6&amp;sourceID=14","4.6")</f>
        <v>4.6</v>
      </c>
      <c r="G40" s="4" t="str">
        <f>HYPERLINK("http://141.218.60.56/~jnz1568/getInfo.php?workbook=16_08.xlsx&amp;sheet=U0&amp;row=40&amp;col=7&amp;number=0.033&amp;sourceID=14","0.033")</f>
        <v>0.033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HYPERLINK("http://141.218.60.56/~jnz1568/getInfo.php?workbook=16_08.xlsx&amp;sheet=U0&amp;row=41&amp;col=6&amp;number=4.7&amp;sourceID=14","4.7")</f>
        <v>4.7</v>
      </c>
      <c r="G41" s="4" t="str">
        <f>HYPERLINK("http://141.218.60.56/~jnz1568/getInfo.php?workbook=16_08.xlsx&amp;sheet=U0&amp;row=41&amp;col=7&amp;number=0.033&amp;sourceID=14","0.033")</f>
        <v>0.033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HYPERLINK("http://141.218.60.56/~jnz1568/getInfo.php?workbook=16_08.xlsx&amp;sheet=U0&amp;row=42&amp;col=6&amp;number=4.8&amp;sourceID=14","4.8")</f>
        <v>4.8</v>
      </c>
      <c r="G42" s="4" t="str">
        <f>HYPERLINK("http://141.218.60.56/~jnz1568/getInfo.php?workbook=16_08.xlsx&amp;sheet=U0&amp;row=42&amp;col=7&amp;number=0.033&amp;sourceID=14","0.033")</f>
        <v>0.033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HYPERLINK("http://141.218.60.56/~jnz1568/getInfo.php?workbook=16_08.xlsx&amp;sheet=U0&amp;row=43&amp;col=6&amp;number=4.9&amp;sourceID=14","4.9")</f>
        <v>4.9</v>
      </c>
      <c r="G43" s="4" t="str">
        <f>HYPERLINK("http://141.218.60.56/~jnz1568/getInfo.php?workbook=16_08.xlsx&amp;sheet=U0&amp;row=43&amp;col=7&amp;number=0.033&amp;sourceID=14","0.033")</f>
        <v>0.033</v>
      </c>
    </row>
    <row r="44" spans="1:7">
      <c r="A44" s="3">
        <v>16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HYPERLINK("http://141.218.60.56/~jnz1568/getInfo.php?workbook=16_08.xlsx&amp;sheet=U0&amp;row=44&amp;col=6&amp;number=3&amp;sourceID=14","3")</f>
        <v>3</v>
      </c>
      <c r="G44" s="4" t="str">
        <f>HYPERLINK("http://141.218.60.56/~jnz1568/getInfo.php?workbook=16_08.xlsx&amp;sheet=U0&amp;row=44&amp;col=7&amp;number=0.169&amp;sourceID=14","0.169")</f>
        <v>0.169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HYPERLINK("http://141.218.60.56/~jnz1568/getInfo.php?workbook=16_08.xlsx&amp;sheet=U0&amp;row=45&amp;col=6&amp;number=3.1&amp;sourceID=14","3.1")</f>
        <v>3.1</v>
      </c>
      <c r="G45" s="4" t="str">
        <f>HYPERLINK("http://141.218.60.56/~jnz1568/getInfo.php?workbook=16_08.xlsx&amp;sheet=U0&amp;row=45&amp;col=7&amp;number=0.169&amp;sourceID=14","0.169")</f>
        <v>0.169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HYPERLINK("http://141.218.60.56/~jnz1568/getInfo.php?workbook=16_08.xlsx&amp;sheet=U0&amp;row=46&amp;col=6&amp;number=3.2&amp;sourceID=14","3.2")</f>
        <v>3.2</v>
      </c>
      <c r="G46" s="4" t="str">
        <f>HYPERLINK("http://141.218.60.56/~jnz1568/getInfo.php?workbook=16_08.xlsx&amp;sheet=U0&amp;row=46&amp;col=7&amp;number=0.169&amp;sourceID=14","0.169")</f>
        <v>0.169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HYPERLINK("http://141.218.60.56/~jnz1568/getInfo.php?workbook=16_08.xlsx&amp;sheet=U0&amp;row=47&amp;col=6&amp;number=3.3&amp;sourceID=14","3.3")</f>
        <v>3.3</v>
      </c>
      <c r="G47" s="4" t="str">
        <f>HYPERLINK("http://141.218.60.56/~jnz1568/getInfo.php?workbook=16_08.xlsx&amp;sheet=U0&amp;row=47&amp;col=7&amp;number=0.169&amp;sourceID=14","0.169")</f>
        <v>0.169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HYPERLINK("http://141.218.60.56/~jnz1568/getInfo.php?workbook=16_08.xlsx&amp;sheet=U0&amp;row=48&amp;col=6&amp;number=3.4&amp;sourceID=14","3.4")</f>
        <v>3.4</v>
      </c>
      <c r="G48" s="4" t="str">
        <f>HYPERLINK("http://141.218.60.56/~jnz1568/getInfo.php?workbook=16_08.xlsx&amp;sheet=U0&amp;row=48&amp;col=7&amp;number=0.169&amp;sourceID=14","0.169")</f>
        <v>0.169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HYPERLINK("http://141.218.60.56/~jnz1568/getInfo.php?workbook=16_08.xlsx&amp;sheet=U0&amp;row=49&amp;col=6&amp;number=3.5&amp;sourceID=14","3.5")</f>
        <v>3.5</v>
      </c>
      <c r="G49" s="4" t="str">
        <f>HYPERLINK("http://141.218.60.56/~jnz1568/getInfo.php?workbook=16_08.xlsx&amp;sheet=U0&amp;row=49&amp;col=7&amp;number=0.169&amp;sourceID=14","0.169")</f>
        <v>0.169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HYPERLINK("http://141.218.60.56/~jnz1568/getInfo.php?workbook=16_08.xlsx&amp;sheet=U0&amp;row=50&amp;col=6&amp;number=3.6&amp;sourceID=14","3.6")</f>
        <v>3.6</v>
      </c>
      <c r="G50" s="4" t="str">
        <f>HYPERLINK("http://141.218.60.56/~jnz1568/getInfo.php?workbook=16_08.xlsx&amp;sheet=U0&amp;row=50&amp;col=7&amp;number=0.169&amp;sourceID=14","0.169")</f>
        <v>0.169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HYPERLINK("http://141.218.60.56/~jnz1568/getInfo.php?workbook=16_08.xlsx&amp;sheet=U0&amp;row=51&amp;col=6&amp;number=3.7&amp;sourceID=14","3.7")</f>
        <v>3.7</v>
      </c>
      <c r="G51" s="4" t="str">
        <f>HYPERLINK("http://141.218.60.56/~jnz1568/getInfo.php?workbook=16_08.xlsx&amp;sheet=U0&amp;row=51&amp;col=7&amp;number=0.169&amp;sourceID=14","0.169")</f>
        <v>0.169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HYPERLINK("http://141.218.60.56/~jnz1568/getInfo.php?workbook=16_08.xlsx&amp;sheet=U0&amp;row=52&amp;col=6&amp;number=3.8&amp;sourceID=14","3.8")</f>
        <v>3.8</v>
      </c>
      <c r="G52" s="4" t="str">
        <f>HYPERLINK("http://141.218.60.56/~jnz1568/getInfo.php?workbook=16_08.xlsx&amp;sheet=U0&amp;row=52&amp;col=7&amp;number=0.169&amp;sourceID=14","0.169")</f>
        <v>0.169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HYPERLINK("http://141.218.60.56/~jnz1568/getInfo.php?workbook=16_08.xlsx&amp;sheet=U0&amp;row=53&amp;col=6&amp;number=3.9&amp;sourceID=14","3.9")</f>
        <v>3.9</v>
      </c>
      <c r="G53" s="4" t="str">
        <f>HYPERLINK("http://141.218.60.56/~jnz1568/getInfo.php?workbook=16_08.xlsx&amp;sheet=U0&amp;row=53&amp;col=7&amp;number=0.169&amp;sourceID=14","0.169")</f>
        <v>0.169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HYPERLINK("http://141.218.60.56/~jnz1568/getInfo.php?workbook=16_08.xlsx&amp;sheet=U0&amp;row=54&amp;col=6&amp;number=4&amp;sourceID=14","4")</f>
        <v>4</v>
      </c>
      <c r="G54" s="4" t="str">
        <f>HYPERLINK("http://141.218.60.56/~jnz1568/getInfo.php?workbook=16_08.xlsx&amp;sheet=U0&amp;row=54&amp;col=7&amp;number=0.169&amp;sourceID=14","0.169")</f>
        <v>0.169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HYPERLINK("http://141.218.60.56/~jnz1568/getInfo.php?workbook=16_08.xlsx&amp;sheet=U0&amp;row=55&amp;col=6&amp;number=4.1&amp;sourceID=14","4.1")</f>
        <v>4.1</v>
      </c>
      <c r="G55" s="4" t="str">
        <f>HYPERLINK("http://141.218.60.56/~jnz1568/getInfo.php?workbook=16_08.xlsx&amp;sheet=U0&amp;row=55&amp;col=7&amp;number=0.169&amp;sourceID=14","0.169")</f>
        <v>0.169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HYPERLINK("http://141.218.60.56/~jnz1568/getInfo.php?workbook=16_08.xlsx&amp;sheet=U0&amp;row=56&amp;col=6&amp;number=4.2&amp;sourceID=14","4.2")</f>
        <v>4.2</v>
      </c>
      <c r="G56" s="4" t="str">
        <f>HYPERLINK("http://141.218.60.56/~jnz1568/getInfo.php?workbook=16_08.xlsx&amp;sheet=U0&amp;row=56&amp;col=7&amp;number=0.169&amp;sourceID=14","0.169")</f>
        <v>0.169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HYPERLINK("http://141.218.60.56/~jnz1568/getInfo.php?workbook=16_08.xlsx&amp;sheet=U0&amp;row=57&amp;col=6&amp;number=4.3&amp;sourceID=14","4.3")</f>
        <v>4.3</v>
      </c>
      <c r="G57" s="4" t="str">
        <f>HYPERLINK("http://141.218.60.56/~jnz1568/getInfo.php?workbook=16_08.xlsx&amp;sheet=U0&amp;row=57&amp;col=7&amp;number=0.169&amp;sourceID=14","0.169")</f>
        <v>0.169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HYPERLINK("http://141.218.60.56/~jnz1568/getInfo.php?workbook=16_08.xlsx&amp;sheet=U0&amp;row=58&amp;col=6&amp;number=4.4&amp;sourceID=14","4.4")</f>
        <v>4.4</v>
      </c>
      <c r="G58" s="4" t="str">
        <f>HYPERLINK("http://141.218.60.56/~jnz1568/getInfo.php?workbook=16_08.xlsx&amp;sheet=U0&amp;row=58&amp;col=7&amp;number=0.168&amp;sourceID=14","0.168")</f>
        <v>0.168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HYPERLINK("http://141.218.60.56/~jnz1568/getInfo.php?workbook=16_08.xlsx&amp;sheet=U0&amp;row=59&amp;col=6&amp;number=4.5&amp;sourceID=14","4.5")</f>
        <v>4.5</v>
      </c>
      <c r="G59" s="4" t="str">
        <f>HYPERLINK("http://141.218.60.56/~jnz1568/getInfo.php?workbook=16_08.xlsx&amp;sheet=U0&amp;row=59&amp;col=7&amp;number=0.168&amp;sourceID=14","0.168")</f>
        <v>0.168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HYPERLINK("http://141.218.60.56/~jnz1568/getInfo.php?workbook=16_08.xlsx&amp;sheet=U0&amp;row=60&amp;col=6&amp;number=4.6&amp;sourceID=14","4.6")</f>
        <v>4.6</v>
      </c>
      <c r="G60" s="4" t="str">
        <f>HYPERLINK("http://141.218.60.56/~jnz1568/getInfo.php?workbook=16_08.xlsx&amp;sheet=U0&amp;row=60&amp;col=7&amp;number=0.168&amp;sourceID=14","0.168")</f>
        <v>0.168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HYPERLINK("http://141.218.60.56/~jnz1568/getInfo.php?workbook=16_08.xlsx&amp;sheet=U0&amp;row=61&amp;col=6&amp;number=4.7&amp;sourceID=14","4.7")</f>
        <v>4.7</v>
      </c>
      <c r="G61" s="4" t="str">
        <f>HYPERLINK("http://141.218.60.56/~jnz1568/getInfo.php?workbook=16_08.xlsx&amp;sheet=U0&amp;row=61&amp;col=7&amp;number=0.168&amp;sourceID=14","0.168")</f>
        <v>0.168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HYPERLINK("http://141.218.60.56/~jnz1568/getInfo.php?workbook=16_08.xlsx&amp;sheet=U0&amp;row=62&amp;col=6&amp;number=4.8&amp;sourceID=14","4.8")</f>
        <v>4.8</v>
      </c>
      <c r="G62" s="4" t="str">
        <f>HYPERLINK("http://141.218.60.56/~jnz1568/getInfo.php?workbook=16_08.xlsx&amp;sheet=U0&amp;row=62&amp;col=7&amp;number=0.168&amp;sourceID=14","0.168")</f>
        <v>0.168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HYPERLINK("http://141.218.60.56/~jnz1568/getInfo.php?workbook=16_08.xlsx&amp;sheet=U0&amp;row=63&amp;col=6&amp;number=4.9&amp;sourceID=14","4.9")</f>
        <v>4.9</v>
      </c>
      <c r="G63" s="4" t="str">
        <f>HYPERLINK("http://141.218.60.56/~jnz1568/getInfo.php?workbook=16_08.xlsx&amp;sheet=U0&amp;row=63&amp;col=7&amp;number=0.167&amp;sourceID=14","0.167")</f>
        <v>0.167</v>
      </c>
    </row>
    <row r="64" spans="1:7">
      <c r="A64" s="3">
        <v>16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HYPERLINK("http://141.218.60.56/~jnz1568/getInfo.php?workbook=16_08.xlsx&amp;sheet=U0&amp;row=64&amp;col=6&amp;number=3&amp;sourceID=14","3")</f>
        <v>3</v>
      </c>
      <c r="G64" s="4" t="str">
        <f>HYPERLINK("http://141.218.60.56/~jnz1568/getInfo.php?workbook=16_08.xlsx&amp;sheet=U0&amp;row=64&amp;col=7&amp;number=0.022&amp;sourceID=14","0.022")</f>
        <v>0.022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HYPERLINK("http://141.218.60.56/~jnz1568/getInfo.php?workbook=16_08.xlsx&amp;sheet=U0&amp;row=65&amp;col=6&amp;number=3.1&amp;sourceID=14","3.1")</f>
        <v>3.1</v>
      </c>
      <c r="G65" s="4" t="str">
        <f>HYPERLINK("http://141.218.60.56/~jnz1568/getInfo.php?workbook=16_08.xlsx&amp;sheet=U0&amp;row=65&amp;col=7&amp;number=0.022&amp;sourceID=14","0.022")</f>
        <v>0.022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HYPERLINK("http://141.218.60.56/~jnz1568/getInfo.php?workbook=16_08.xlsx&amp;sheet=U0&amp;row=66&amp;col=6&amp;number=3.2&amp;sourceID=14","3.2")</f>
        <v>3.2</v>
      </c>
      <c r="G66" s="4" t="str">
        <f>HYPERLINK("http://141.218.60.56/~jnz1568/getInfo.php?workbook=16_08.xlsx&amp;sheet=U0&amp;row=66&amp;col=7&amp;number=0.022&amp;sourceID=14","0.022")</f>
        <v>0.022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HYPERLINK("http://141.218.60.56/~jnz1568/getInfo.php?workbook=16_08.xlsx&amp;sheet=U0&amp;row=67&amp;col=6&amp;number=3.3&amp;sourceID=14","3.3")</f>
        <v>3.3</v>
      </c>
      <c r="G67" s="4" t="str">
        <f>HYPERLINK("http://141.218.60.56/~jnz1568/getInfo.php?workbook=16_08.xlsx&amp;sheet=U0&amp;row=67&amp;col=7&amp;number=0.022&amp;sourceID=14","0.022")</f>
        <v>0.022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HYPERLINK("http://141.218.60.56/~jnz1568/getInfo.php?workbook=16_08.xlsx&amp;sheet=U0&amp;row=68&amp;col=6&amp;number=3.4&amp;sourceID=14","3.4")</f>
        <v>3.4</v>
      </c>
      <c r="G68" s="4" t="str">
        <f>HYPERLINK("http://141.218.60.56/~jnz1568/getInfo.php?workbook=16_08.xlsx&amp;sheet=U0&amp;row=68&amp;col=7&amp;number=0.022&amp;sourceID=14","0.022")</f>
        <v>0.022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HYPERLINK("http://141.218.60.56/~jnz1568/getInfo.php?workbook=16_08.xlsx&amp;sheet=U0&amp;row=69&amp;col=6&amp;number=3.5&amp;sourceID=14","3.5")</f>
        <v>3.5</v>
      </c>
      <c r="G69" s="4" t="str">
        <f>HYPERLINK("http://141.218.60.56/~jnz1568/getInfo.php?workbook=16_08.xlsx&amp;sheet=U0&amp;row=69&amp;col=7&amp;number=0.022&amp;sourceID=14","0.022")</f>
        <v>0.022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HYPERLINK("http://141.218.60.56/~jnz1568/getInfo.php?workbook=16_08.xlsx&amp;sheet=U0&amp;row=70&amp;col=6&amp;number=3.6&amp;sourceID=14","3.6")</f>
        <v>3.6</v>
      </c>
      <c r="G70" s="4" t="str">
        <f>HYPERLINK("http://141.218.60.56/~jnz1568/getInfo.php?workbook=16_08.xlsx&amp;sheet=U0&amp;row=70&amp;col=7&amp;number=0.022&amp;sourceID=14","0.022")</f>
        <v>0.022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HYPERLINK("http://141.218.60.56/~jnz1568/getInfo.php?workbook=16_08.xlsx&amp;sheet=U0&amp;row=71&amp;col=6&amp;number=3.7&amp;sourceID=14","3.7")</f>
        <v>3.7</v>
      </c>
      <c r="G71" s="4" t="str">
        <f>HYPERLINK("http://141.218.60.56/~jnz1568/getInfo.php?workbook=16_08.xlsx&amp;sheet=U0&amp;row=71&amp;col=7&amp;number=0.022&amp;sourceID=14","0.022")</f>
        <v>0.022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HYPERLINK("http://141.218.60.56/~jnz1568/getInfo.php?workbook=16_08.xlsx&amp;sheet=U0&amp;row=72&amp;col=6&amp;number=3.8&amp;sourceID=14","3.8")</f>
        <v>3.8</v>
      </c>
      <c r="G72" s="4" t="str">
        <f>HYPERLINK("http://141.218.60.56/~jnz1568/getInfo.php?workbook=16_08.xlsx&amp;sheet=U0&amp;row=72&amp;col=7&amp;number=0.0219&amp;sourceID=14","0.0219")</f>
        <v>0.0219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HYPERLINK("http://141.218.60.56/~jnz1568/getInfo.php?workbook=16_08.xlsx&amp;sheet=U0&amp;row=73&amp;col=6&amp;number=3.9&amp;sourceID=14","3.9")</f>
        <v>3.9</v>
      </c>
      <c r="G73" s="4" t="str">
        <f>HYPERLINK("http://141.218.60.56/~jnz1568/getInfo.php?workbook=16_08.xlsx&amp;sheet=U0&amp;row=73&amp;col=7&amp;number=0.0219&amp;sourceID=14","0.0219")</f>
        <v>0.0219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HYPERLINK("http://141.218.60.56/~jnz1568/getInfo.php?workbook=16_08.xlsx&amp;sheet=U0&amp;row=74&amp;col=6&amp;number=4&amp;sourceID=14","4")</f>
        <v>4</v>
      </c>
      <c r="G74" s="4" t="str">
        <f>HYPERLINK("http://141.218.60.56/~jnz1568/getInfo.php?workbook=16_08.xlsx&amp;sheet=U0&amp;row=74&amp;col=7&amp;number=0.0219&amp;sourceID=14","0.0219")</f>
        <v>0.0219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HYPERLINK("http://141.218.60.56/~jnz1568/getInfo.php?workbook=16_08.xlsx&amp;sheet=U0&amp;row=75&amp;col=6&amp;number=4.1&amp;sourceID=14","4.1")</f>
        <v>4.1</v>
      </c>
      <c r="G75" s="4" t="str">
        <f>HYPERLINK("http://141.218.60.56/~jnz1568/getInfo.php?workbook=16_08.xlsx&amp;sheet=U0&amp;row=75&amp;col=7&amp;number=0.0219&amp;sourceID=14","0.0219")</f>
        <v>0.0219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HYPERLINK("http://141.218.60.56/~jnz1568/getInfo.php?workbook=16_08.xlsx&amp;sheet=U0&amp;row=76&amp;col=6&amp;number=4.2&amp;sourceID=14","4.2")</f>
        <v>4.2</v>
      </c>
      <c r="G76" s="4" t="str">
        <f>HYPERLINK("http://141.218.60.56/~jnz1568/getInfo.php?workbook=16_08.xlsx&amp;sheet=U0&amp;row=76&amp;col=7&amp;number=0.0219&amp;sourceID=14","0.0219")</f>
        <v>0.0219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HYPERLINK("http://141.218.60.56/~jnz1568/getInfo.php?workbook=16_08.xlsx&amp;sheet=U0&amp;row=77&amp;col=6&amp;number=4.3&amp;sourceID=14","4.3")</f>
        <v>4.3</v>
      </c>
      <c r="G77" s="4" t="str">
        <f>HYPERLINK("http://141.218.60.56/~jnz1568/getInfo.php?workbook=16_08.xlsx&amp;sheet=U0&amp;row=77&amp;col=7&amp;number=0.0219&amp;sourceID=14","0.0219")</f>
        <v>0.0219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HYPERLINK("http://141.218.60.56/~jnz1568/getInfo.php?workbook=16_08.xlsx&amp;sheet=U0&amp;row=78&amp;col=6&amp;number=4.4&amp;sourceID=14","4.4")</f>
        <v>4.4</v>
      </c>
      <c r="G78" s="4" t="str">
        <f>HYPERLINK("http://141.218.60.56/~jnz1568/getInfo.php?workbook=16_08.xlsx&amp;sheet=U0&amp;row=78&amp;col=7&amp;number=0.0219&amp;sourceID=14","0.0219")</f>
        <v>0.0219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HYPERLINK("http://141.218.60.56/~jnz1568/getInfo.php?workbook=16_08.xlsx&amp;sheet=U0&amp;row=79&amp;col=6&amp;number=4.5&amp;sourceID=14","4.5")</f>
        <v>4.5</v>
      </c>
      <c r="G79" s="4" t="str">
        <f>HYPERLINK("http://141.218.60.56/~jnz1568/getInfo.php?workbook=16_08.xlsx&amp;sheet=U0&amp;row=79&amp;col=7&amp;number=0.0219&amp;sourceID=14","0.0219")</f>
        <v>0.0219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HYPERLINK("http://141.218.60.56/~jnz1568/getInfo.php?workbook=16_08.xlsx&amp;sheet=U0&amp;row=80&amp;col=6&amp;number=4.6&amp;sourceID=14","4.6")</f>
        <v>4.6</v>
      </c>
      <c r="G80" s="4" t="str">
        <f>HYPERLINK("http://141.218.60.56/~jnz1568/getInfo.php?workbook=16_08.xlsx&amp;sheet=U0&amp;row=80&amp;col=7&amp;number=0.0218&amp;sourceID=14","0.0218")</f>
        <v>0.0218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HYPERLINK("http://141.218.60.56/~jnz1568/getInfo.php?workbook=16_08.xlsx&amp;sheet=U0&amp;row=81&amp;col=6&amp;number=4.7&amp;sourceID=14","4.7")</f>
        <v>4.7</v>
      </c>
      <c r="G81" s="4" t="str">
        <f>HYPERLINK("http://141.218.60.56/~jnz1568/getInfo.php?workbook=16_08.xlsx&amp;sheet=U0&amp;row=81&amp;col=7&amp;number=0.0218&amp;sourceID=14","0.0218")</f>
        <v>0.0218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HYPERLINK("http://141.218.60.56/~jnz1568/getInfo.php?workbook=16_08.xlsx&amp;sheet=U0&amp;row=82&amp;col=6&amp;number=4.8&amp;sourceID=14","4.8")</f>
        <v>4.8</v>
      </c>
      <c r="G82" s="4" t="str">
        <f>HYPERLINK("http://141.218.60.56/~jnz1568/getInfo.php?workbook=16_08.xlsx&amp;sheet=U0&amp;row=82&amp;col=7&amp;number=0.0217&amp;sourceID=14","0.0217")</f>
        <v>0.0217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HYPERLINK("http://141.218.60.56/~jnz1568/getInfo.php?workbook=16_08.xlsx&amp;sheet=U0&amp;row=83&amp;col=6&amp;number=4.9&amp;sourceID=14","4.9")</f>
        <v>4.9</v>
      </c>
      <c r="G83" s="4" t="str">
        <f>HYPERLINK("http://141.218.60.56/~jnz1568/getInfo.php?workbook=16_08.xlsx&amp;sheet=U0&amp;row=83&amp;col=7&amp;number=0.0217&amp;sourceID=14","0.0217")</f>
        <v>0.0217</v>
      </c>
    </row>
    <row r="84" spans="1:7">
      <c r="A84" s="3">
        <v>16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HYPERLINK("http://141.218.60.56/~jnz1568/getInfo.php?workbook=16_08.xlsx&amp;sheet=U0&amp;row=84&amp;col=6&amp;number=3&amp;sourceID=14","3")</f>
        <v>3</v>
      </c>
      <c r="G84" s="4" t="str">
        <f>HYPERLINK("http://141.218.60.56/~jnz1568/getInfo.php?workbook=16_08.xlsx&amp;sheet=U0&amp;row=84&amp;col=7&amp;number=1.11&amp;sourceID=14","1.11")</f>
        <v>1.11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HYPERLINK("http://141.218.60.56/~jnz1568/getInfo.php?workbook=16_08.xlsx&amp;sheet=U0&amp;row=85&amp;col=6&amp;number=3.1&amp;sourceID=14","3.1")</f>
        <v>3.1</v>
      </c>
      <c r="G85" s="4" t="str">
        <f>HYPERLINK("http://141.218.60.56/~jnz1568/getInfo.php?workbook=16_08.xlsx&amp;sheet=U0&amp;row=85&amp;col=7&amp;number=1.11&amp;sourceID=14","1.11")</f>
        <v>1.11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HYPERLINK("http://141.218.60.56/~jnz1568/getInfo.php?workbook=16_08.xlsx&amp;sheet=U0&amp;row=86&amp;col=6&amp;number=3.2&amp;sourceID=14","3.2")</f>
        <v>3.2</v>
      </c>
      <c r="G86" s="4" t="str">
        <f>HYPERLINK("http://141.218.60.56/~jnz1568/getInfo.php?workbook=16_08.xlsx&amp;sheet=U0&amp;row=86&amp;col=7&amp;number=1.11&amp;sourceID=14","1.11")</f>
        <v>1.11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HYPERLINK("http://141.218.60.56/~jnz1568/getInfo.php?workbook=16_08.xlsx&amp;sheet=U0&amp;row=87&amp;col=6&amp;number=3.3&amp;sourceID=14","3.3")</f>
        <v>3.3</v>
      </c>
      <c r="G87" s="4" t="str">
        <f>HYPERLINK("http://141.218.60.56/~jnz1568/getInfo.php?workbook=16_08.xlsx&amp;sheet=U0&amp;row=87&amp;col=7&amp;number=1.11&amp;sourceID=14","1.11")</f>
        <v>1.11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HYPERLINK("http://141.218.60.56/~jnz1568/getInfo.php?workbook=16_08.xlsx&amp;sheet=U0&amp;row=88&amp;col=6&amp;number=3.4&amp;sourceID=14","3.4")</f>
        <v>3.4</v>
      </c>
      <c r="G88" s="4" t="str">
        <f>HYPERLINK("http://141.218.60.56/~jnz1568/getInfo.php?workbook=16_08.xlsx&amp;sheet=U0&amp;row=88&amp;col=7&amp;number=1.11&amp;sourceID=14","1.11")</f>
        <v>1.11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HYPERLINK("http://141.218.60.56/~jnz1568/getInfo.php?workbook=16_08.xlsx&amp;sheet=U0&amp;row=89&amp;col=6&amp;number=3.5&amp;sourceID=14","3.5")</f>
        <v>3.5</v>
      </c>
      <c r="G89" s="4" t="str">
        <f>HYPERLINK("http://141.218.60.56/~jnz1568/getInfo.php?workbook=16_08.xlsx&amp;sheet=U0&amp;row=89&amp;col=7&amp;number=1.11&amp;sourceID=14","1.11")</f>
        <v>1.11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HYPERLINK("http://141.218.60.56/~jnz1568/getInfo.php?workbook=16_08.xlsx&amp;sheet=U0&amp;row=90&amp;col=6&amp;number=3.6&amp;sourceID=14","3.6")</f>
        <v>3.6</v>
      </c>
      <c r="G90" s="4" t="str">
        <f>HYPERLINK("http://141.218.60.56/~jnz1568/getInfo.php?workbook=16_08.xlsx&amp;sheet=U0&amp;row=90&amp;col=7&amp;number=1.11&amp;sourceID=14","1.11")</f>
        <v>1.11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HYPERLINK("http://141.218.60.56/~jnz1568/getInfo.php?workbook=16_08.xlsx&amp;sheet=U0&amp;row=91&amp;col=6&amp;number=3.7&amp;sourceID=14","3.7")</f>
        <v>3.7</v>
      </c>
      <c r="G91" s="4" t="str">
        <f>HYPERLINK("http://141.218.60.56/~jnz1568/getInfo.php?workbook=16_08.xlsx&amp;sheet=U0&amp;row=91&amp;col=7&amp;number=1.11&amp;sourceID=14","1.11")</f>
        <v>1.11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HYPERLINK("http://141.218.60.56/~jnz1568/getInfo.php?workbook=16_08.xlsx&amp;sheet=U0&amp;row=92&amp;col=6&amp;number=3.8&amp;sourceID=14","3.8")</f>
        <v>3.8</v>
      </c>
      <c r="G92" s="4" t="str">
        <f>HYPERLINK("http://141.218.60.56/~jnz1568/getInfo.php?workbook=16_08.xlsx&amp;sheet=U0&amp;row=92&amp;col=7&amp;number=1.11&amp;sourceID=14","1.11")</f>
        <v>1.11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HYPERLINK("http://141.218.60.56/~jnz1568/getInfo.php?workbook=16_08.xlsx&amp;sheet=U0&amp;row=93&amp;col=6&amp;number=3.9&amp;sourceID=14","3.9")</f>
        <v>3.9</v>
      </c>
      <c r="G93" s="4" t="str">
        <f>HYPERLINK("http://141.218.60.56/~jnz1568/getInfo.php?workbook=16_08.xlsx&amp;sheet=U0&amp;row=93&amp;col=7&amp;number=1.12&amp;sourceID=14","1.12")</f>
        <v>1.12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HYPERLINK("http://141.218.60.56/~jnz1568/getInfo.php?workbook=16_08.xlsx&amp;sheet=U0&amp;row=94&amp;col=6&amp;number=4&amp;sourceID=14","4")</f>
        <v>4</v>
      </c>
      <c r="G94" s="4" t="str">
        <f>HYPERLINK("http://141.218.60.56/~jnz1568/getInfo.php?workbook=16_08.xlsx&amp;sheet=U0&amp;row=94&amp;col=7&amp;number=1.12&amp;sourceID=14","1.12")</f>
        <v>1.12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HYPERLINK("http://141.218.60.56/~jnz1568/getInfo.php?workbook=16_08.xlsx&amp;sheet=U0&amp;row=95&amp;col=6&amp;number=4.1&amp;sourceID=14","4.1")</f>
        <v>4.1</v>
      </c>
      <c r="G95" s="4" t="str">
        <f>HYPERLINK("http://141.218.60.56/~jnz1568/getInfo.php?workbook=16_08.xlsx&amp;sheet=U0&amp;row=95&amp;col=7&amp;number=1.12&amp;sourceID=14","1.12")</f>
        <v>1.12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HYPERLINK("http://141.218.60.56/~jnz1568/getInfo.php?workbook=16_08.xlsx&amp;sheet=U0&amp;row=96&amp;col=6&amp;number=4.2&amp;sourceID=14","4.2")</f>
        <v>4.2</v>
      </c>
      <c r="G96" s="4" t="str">
        <f>HYPERLINK("http://141.218.60.56/~jnz1568/getInfo.php?workbook=16_08.xlsx&amp;sheet=U0&amp;row=96&amp;col=7&amp;number=1.12&amp;sourceID=14","1.12")</f>
        <v>1.12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HYPERLINK("http://141.218.60.56/~jnz1568/getInfo.php?workbook=16_08.xlsx&amp;sheet=U0&amp;row=97&amp;col=6&amp;number=4.3&amp;sourceID=14","4.3")</f>
        <v>4.3</v>
      </c>
      <c r="G97" s="4" t="str">
        <f>HYPERLINK("http://141.218.60.56/~jnz1568/getInfo.php?workbook=16_08.xlsx&amp;sheet=U0&amp;row=97&amp;col=7&amp;number=1.12&amp;sourceID=14","1.12")</f>
        <v>1.12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HYPERLINK("http://141.218.60.56/~jnz1568/getInfo.php?workbook=16_08.xlsx&amp;sheet=U0&amp;row=98&amp;col=6&amp;number=4.4&amp;sourceID=14","4.4")</f>
        <v>4.4</v>
      </c>
      <c r="G98" s="4" t="str">
        <f>HYPERLINK("http://141.218.60.56/~jnz1568/getInfo.php?workbook=16_08.xlsx&amp;sheet=U0&amp;row=98&amp;col=7&amp;number=1.12&amp;sourceID=14","1.12")</f>
        <v>1.12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HYPERLINK("http://141.218.60.56/~jnz1568/getInfo.php?workbook=16_08.xlsx&amp;sheet=U0&amp;row=99&amp;col=6&amp;number=4.5&amp;sourceID=14","4.5")</f>
        <v>4.5</v>
      </c>
      <c r="G99" s="4" t="str">
        <f>HYPERLINK("http://141.218.60.56/~jnz1568/getInfo.php?workbook=16_08.xlsx&amp;sheet=U0&amp;row=99&amp;col=7&amp;number=1.13&amp;sourceID=14","1.13")</f>
        <v>1.13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HYPERLINK("http://141.218.60.56/~jnz1568/getInfo.php?workbook=16_08.xlsx&amp;sheet=U0&amp;row=100&amp;col=6&amp;number=4.6&amp;sourceID=14","4.6")</f>
        <v>4.6</v>
      </c>
      <c r="G100" s="4" t="str">
        <f>HYPERLINK("http://141.218.60.56/~jnz1568/getInfo.php?workbook=16_08.xlsx&amp;sheet=U0&amp;row=100&amp;col=7&amp;number=1.13&amp;sourceID=14","1.13")</f>
        <v>1.13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HYPERLINK("http://141.218.60.56/~jnz1568/getInfo.php?workbook=16_08.xlsx&amp;sheet=U0&amp;row=101&amp;col=6&amp;number=4.7&amp;sourceID=14","4.7")</f>
        <v>4.7</v>
      </c>
      <c r="G101" s="4" t="str">
        <f>HYPERLINK("http://141.218.60.56/~jnz1568/getInfo.php?workbook=16_08.xlsx&amp;sheet=U0&amp;row=101&amp;col=7&amp;number=1.13&amp;sourceID=14","1.13")</f>
        <v>1.13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HYPERLINK("http://141.218.60.56/~jnz1568/getInfo.php?workbook=16_08.xlsx&amp;sheet=U0&amp;row=102&amp;col=6&amp;number=4.8&amp;sourceID=14","4.8")</f>
        <v>4.8</v>
      </c>
      <c r="G102" s="4" t="str">
        <f>HYPERLINK("http://141.218.60.56/~jnz1568/getInfo.php?workbook=16_08.xlsx&amp;sheet=U0&amp;row=102&amp;col=7&amp;number=1.14&amp;sourceID=14","1.14")</f>
        <v>1.14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HYPERLINK("http://141.218.60.56/~jnz1568/getInfo.php?workbook=16_08.xlsx&amp;sheet=U0&amp;row=103&amp;col=6&amp;number=4.9&amp;sourceID=14","4.9")</f>
        <v>4.9</v>
      </c>
      <c r="G103" s="4" t="str">
        <f>HYPERLINK("http://141.218.60.56/~jnz1568/getInfo.php?workbook=16_08.xlsx&amp;sheet=U0&amp;row=103&amp;col=7&amp;number=1.15&amp;sourceID=14","1.15")</f>
        <v>1.15</v>
      </c>
    </row>
    <row r="104" spans="1:7">
      <c r="A104" s="3">
        <v>16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HYPERLINK("http://141.218.60.56/~jnz1568/getInfo.php?workbook=16_08.xlsx&amp;sheet=U0&amp;row=104&amp;col=6&amp;number=3&amp;sourceID=14","3")</f>
        <v>3</v>
      </c>
      <c r="G104" s="4" t="str">
        <f>HYPERLINK("http://141.218.60.56/~jnz1568/getInfo.php?workbook=16_08.xlsx&amp;sheet=U0&amp;row=104&amp;col=7&amp;number=0.378&amp;sourceID=14","0.378")</f>
        <v>0.378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HYPERLINK("http://141.218.60.56/~jnz1568/getInfo.php?workbook=16_08.xlsx&amp;sheet=U0&amp;row=105&amp;col=6&amp;number=3.1&amp;sourceID=14","3.1")</f>
        <v>3.1</v>
      </c>
      <c r="G105" s="4" t="str">
        <f>HYPERLINK("http://141.218.60.56/~jnz1568/getInfo.php?workbook=16_08.xlsx&amp;sheet=U0&amp;row=105&amp;col=7&amp;number=0.378&amp;sourceID=14","0.378")</f>
        <v>0.378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HYPERLINK("http://141.218.60.56/~jnz1568/getInfo.php?workbook=16_08.xlsx&amp;sheet=U0&amp;row=106&amp;col=6&amp;number=3.2&amp;sourceID=14","3.2")</f>
        <v>3.2</v>
      </c>
      <c r="G106" s="4" t="str">
        <f>HYPERLINK("http://141.218.60.56/~jnz1568/getInfo.php?workbook=16_08.xlsx&amp;sheet=U0&amp;row=106&amp;col=7&amp;number=0.378&amp;sourceID=14","0.378")</f>
        <v>0.378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HYPERLINK("http://141.218.60.56/~jnz1568/getInfo.php?workbook=16_08.xlsx&amp;sheet=U0&amp;row=107&amp;col=6&amp;number=3.3&amp;sourceID=14","3.3")</f>
        <v>3.3</v>
      </c>
      <c r="G107" s="4" t="str">
        <f>HYPERLINK("http://141.218.60.56/~jnz1568/getInfo.php?workbook=16_08.xlsx&amp;sheet=U0&amp;row=107&amp;col=7&amp;number=0.378&amp;sourceID=14","0.378")</f>
        <v>0.378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HYPERLINK("http://141.218.60.56/~jnz1568/getInfo.php?workbook=16_08.xlsx&amp;sheet=U0&amp;row=108&amp;col=6&amp;number=3.4&amp;sourceID=14","3.4")</f>
        <v>3.4</v>
      </c>
      <c r="G108" s="4" t="str">
        <f>HYPERLINK("http://141.218.60.56/~jnz1568/getInfo.php?workbook=16_08.xlsx&amp;sheet=U0&amp;row=108&amp;col=7&amp;number=0.378&amp;sourceID=14","0.378")</f>
        <v>0.378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HYPERLINK("http://141.218.60.56/~jnz1568/getInfo.php?workbook=16_08.xlsx&amp;sheet=U0&amp;row=109&amp;col=6&amp;number=3.5&amp;sourceID=14","3.5")</f>
        <v>3.5</v>
      </c>
      <c r="G109" s="4" t="str">
        <f>HYPERLINK("http://141.218.60.56/~jnz1568/getInfo.php?workbook=16_08.xlsx&amp;sheet=U0&amp;row=109&amp;col=7&amp;number=0.378&amp;sourceID=14","0.378")</f>
        <v>0.378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HYPERLINK("http://141.218.60.56/~jnz1568/getInfo.php?workbook=16_08.xlsx&amp;sheet=U0&amp;row=110&amp;col=6&amp;number=3.6&amp;sourceID=14","3.6")</f>
        <v>3.6</v>
      </c>
      <c r="G110" s="4" t="str">
        <f>HYPERLINK("http://141.218.60.56/~jnz1568/getInfo.php?workbook=16_08.xlsx&amp;sheet=U0&amp;row=110&amp;col=7&amp;number=0.378&amp;sourceID=14","0.378")</f>
        <v>0.378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HYPERLINK("http://141.218.60.56/~jnz1568/getInfo.php?workbook=16_08.xlsx&amp;sheet=U0&amp;row=111&amp;col=6&amp;number=3.7&amp;sourceID=14","3.7")</f>
        <v>3.7</v>
      </c>
      <c r="G111" s="4" t="str">
        <f>HYPERLINK("http://141.218.60.56/~jnz1568/getInfo.php?workbook=16_08.xlsx&amp;sheet=U0&amp;row=111&amp;col=7&amp;number=0.378&amp;sourceID=14","0.378")</f>
        <v>0.378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HYPERLINK("http://141.218.60.56/~jnz1568/getInfo.php?workbook=16_08.xlsx&amp;sheet=U0&amp;row=112&amp;col=6&amp;number=3.8&amp;sourceID=14","3.8")</f>
        <v>3.8</v>
      </c>
      <c r="G112" s="4" t="str">
        <f>HYPERLINK("http://141.218.60.56/~jnz1568/getInfo.php?workbook=16_08.xlsx&amp;sheet=U0&amp;row=112&amp;col=7&amp;number=0.378&amp;sourceID=14","0.378")</f>
        <v>0.378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HYPERLINK("http://141.218.60.56/~jnz1568/getInfo.php?workbook=16_08.xlsx&amp;sheet=U0&amp;row=113&amp;col=6&amp;number=3.9&amp;sourceID=14","3.9")</f>
        <v>3.9</v>
      </c>
      <c r="G113" s="4" t="str">
        <f>HYPERLINK("http://141.218.60.56/~jnz1568/getInfo.php?workbook=16_08.xlsx&amp;sheet=U0&amp;row=113&amp;col=7&amp;number=0.379&amp;sourceID=14","0.379")</f>
        <v>0.379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HYPERLINK("http://141.218.60.56/~jnz1568/getInfo.php?workbook=16_08.xlsx&amp;sheet=U0&amp;row=114&amp;col=6&amp;number=4&amp;sourceID=14","4")</f>
        <v>4</v>
      </c>
      <c r="G114" s="4" t="str">
        <f>HYPERLINK("http://141.218.60.56/~jnz1568/getInfo.php?workbook=16_08.xlsx&amp;sheet=U0&amp;row=114&amp;col=7&amp;number=0.379&amp;sourceID=14","0.379")</f>
        <v>0.379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HYPERLINK("http://141.218.60.56/~jnz1568/getInfo.php?workbook=16_08.xlsx&amp;sheet=U0&amp;row=115&amp;col=6&amp;number=4.1&amp;sourceID=14","4.1")</f>
        <v>4.1</v>
      </c>
      <c r="G115" s="4" t="str">
        <f>HYPERLINK("http://141.218.60.56/~jnz1568/getInfo.php?workbook=16_08.xlsx&amp;sheet=U0&amp;row=115&amp;col=7&amp;number=0.379&amp;sourceID=14","0.379")</f>
        <v>0.379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HYPERLINK("http://141.218.60.56/~jnz1568/getInfo.php?workbook=16_08.xlsx&amp;sheet=U0&amp;row=116&amp;col=6&amp;number=4.2&amp;sourceID=14","4.2")</f>
        <v>4.2</v>
      </c>
      <c r="G116" s="4" t="str">
        <f>HYPERLINK("http://141.218.60.56/~jnz1568/getInfo.php?workbook=16_08.xlsx&amp;sheet=U0&amp;row=116&amp;col=7&amp;number=0.38&amp;sourceID=14","0.38")</f>
        <v>0.38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HYPERLINK("http://141.218.60.56/~jnz1568/getInfo.php?workbook=16_08.xlsx&amp;sheet=U0&amp;row=117&amp;col=6&amp;number=4.3&amp;sourceID=14","4.3")</f>
        <v>4.3</v>
      </c>
      <c r="G117" s="4" t="str">
        <f>HYPERLINK("http://141.218.60.56/~jnz1568/getInfo.php?workbook=16_08.xlsx&amp;sheet=U0&amp;row=117&amp;col=7&amp;number=0.38&amp;sourceID=14","0.38")</f>
        <v>0.38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HYPERLINK("http://141.218.60.56/~jnz1568/getInfo.php?workbook=16_08.xlsx&amp;sheet=U0&amp;row=118&amp;col=6&amp;number=4.4&amp;sourceID=14","4.4")</f>
        <v>4.4</v>
      </c>
      <c r="G118" s="4" t="str">
        <f>HYPERLINK("http://141.218.60.56/~jnz1568/getInfo.php?workbook=16_08.xlsx&amp;sheet=U0&amp;row=118&amp;col=7&amp;number=0.381&amp;sourceID=14","0.381")</f>
        <v>0.381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HYPERLINK("http://141.218.60.56/~jnz1568/getInfo.php?workbook=16_08.xlsx&amp;sheet=U0&amp;row=119&amp;col=6&amp;number=4.5&amp;sourceID=14","4.5")</f>
        <v>4.5</v>
      </c>
      <c r="G119" s="4" t="str">
        <f>HYPERLINK("http://141.218.60.56/~jnz1568/getInfo.php?workbook=16_08.xlsx&amp;sheet=U0&amp;row=119&amp;col=7&amp;number=0.382&amp;sourceID=14","0.382")</f>
        <v>0.382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HYPERLINK("http://141.218.60.56/~jnz1568/getInfo.php?workbook=16_08.xlsx&amp;sheet=U0&amp;row=120&amp;col=6&amp;number=4.6&amp;sourceID=14","4.6")</f>
        <v>4.6</v>
      </c>
      <c r="G120" s="4" t="str">
        <f>HYPERLINK("http://141.218.60.56/~jnz1568/getInfo.php?workbook=16_08.xlsx&amp;sheet=U0&amp;row=120&amp;col=7&amp;number=0.383&amp;sourceID=14","0.383")</f>
        <v>0.383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HYPERLINK("http://141.218.60.56/~jnz1568/getInfo.php?workbook=16_08.xlsx&amp;sheet=U0&amp;row=121&amp;col=6&amp;number=4.7&amp;sourceID=14","4.7")</f>
        <v>4.7</v>
      </c>
      <c r="G121" s="4" t="str">
        <f>HYPERLINK("http://141.218.60.56/~jnz1568/getInfo.php?workbook=16_08.xlsx&amp;sheet=U0&amp;row=121&amp;col=7&amp;number=0.385&amp;sourceID=14","0.385")</f>
        <v>0.385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HYPERLINK("http://141.218.60.56/~jnz1568/getInfo.php?workbook=16_08.xlsx&amp;sheet=U0&amp;row=122&amp;col=6&amp;number=4.8&amp;sourceID=14","4.8")</f>
        <v>4.8</v>
      </c>
      <c r="G122" s="4" t="str">
        <f>HYPERLINK("http://141.218.60.56/~jnz1568/getInfo.php?workbook=16_08.xlsx&amp;sheet=U0&amp;row=122&amp;col=7&amp;number=0.387&amp;sourceID=14","0.387")</f>
        <v>0.387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HYPERLINK("http://141.218.60.56/~jnz1568/getInfo.php?workbook=16_08.xlsx&amp;sheet=U0&amp;row=123&amp;col=6&amp;number=4.9&amp;sourceID=14","4.9")</f>
        <v>4.9</v>
      </c>
      <c r="G123" s="4" t="str">
        <f>HYPERLINK("http://141.218.60.56/~jnz1568/getInfo.php?workbook=16_08.xlsx&amp;sheet=U0&amp;row=123&amp;col=7&amp;number=0.389&amp;sourceID=14","0.389")</f>
        <v>0.389</v>
      </c>
    </row>
    <row r="124" spans="1:7">
      <c r="A124" s="3">
        <v>16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HYPERLINK("http://141.218.60.56/~jnz1568/getInfo.php?workbook=16_08.xlsx&amp;sheet=U0&amp;row=124&amp;col=6&amp;number=3&amp;sourceID=14","3")</f>
        <v>3</v>
      </c>
      <c r="G124" s="4" t="str">
        <f>HYPERLINK("http://141.218.60.56/~jnz1568/getInfo.php?workbook=16_08.xlsx&amp;sheet=U0&amp;row=124&amp;col=7&amp;number=0.00401&amp;sourceID=14","0.00401")</f>
        <v>0.00401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HYPERLINK("http://141.218.60.56/~jnz1568/getInfo.php?workbook=16_08.xlsx&amp;sheet=U0&amp;row=125&amp;col=6&amp;number=3.1&amp;sourceID=14","3.1")</f>
        <v>3.1</v>
      </c>
      <c r="G125" s="4" t="str">
        <f>HYPERLINK("http://141.218.60.56/~jnz1568/getInfo.php?workbook=16_08.xlsx&amp;sheet=U0&amp;row=125&amp;col=7&amp;number=0.00401&amp;sourceID=14","0.00401")</f>
        <v>0.00401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HYPERLINK("http://141.218.60.56/~jnz1568/getInfo.php?workbook=16_08.xlsx&amp;sheet=U0&amp;row=126&amp;col=6&amp;number=3.2&amp;sourceID=14","3.2")</f>
        <v>3.2</v>
      </c>
      <c r="G126" s="4" t="str">
        <f>HYPERLINK("http://141.218.60.56/~jnz1568/getInfo.php?workbook=16_08.xlsx&amp;sheet=U0&amp;row=126&amp;col=7&amp;number=0.00401&amp;sourceID=14","0.00401")</f>
        <v>0.00401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HYPERLINK("http://141.218.60.56/~jnz1568/getInfo.php?workbook=16_08.xlsx&amp;sheet=U0&amp;row=127&amp;col=6&amp;number=3.3&amp;sourceID=14","3.3")</f>
        <v>3.3</v>
      </c>
      <c r="G127" s="4" t="str">
        <f>HYPERLINK("http://141.218.60.56/~jnz1568/getInfo.php?workbook=16_08.xlsx&amp;sheet=U0&amp;row=127&amp;col=7&amp;number=0.00401&amp;sourceID=14","0.00401")</f>
        <v>0.00401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HYPERLINK("http://141.218.60.56/~jnz1568/getInfo.php?workbook=16_08.xlsx&amp;sheet=U0&amp;row=128&amp;col=6&amp;number=3.4&amp;sourceID=14","3.4")</f>
        <v>3.4</v>
      </c>
      <c r="G128" s="4" t="str">
        <f>HYPERLINK("http://141.218.60.56/~jnz1568/getInfo.php?workbook=16_08.xlsx&amp;sheet=U0&amp;row=128&amp;col=7&amp;number=0.00401&amp;sourceID=14","0.00401")</f>
        <v>0.00401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HYPERLINK("http://141.218.60.56/~jnz1568/getInfo.php?workbook=16_08.xlsx&amp;sheet=U0&amp;row=129&amp;col=6&amp;number=3.5&amp;sourceID=14","3.5")</f>
        <v>3.5</v>
      </c>
      <c r="G129" s="4" t="str">
        <f>HYPERLINK("http://141.218.60.56/~jnz1568/getInfo.php?workbook=16_08.xlsx&amp;sheet=U0&amp;row=129&amp;col=7&amp;number=0.00401&amp;sourceID=14","0.00401")</f>
        <v>0.00401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HYPERLINK("http://141.218.60.56/~jnz1568/getInfo.php?workbook=16_08.xlsx&amp;sheet=U0&amp;row=130&amp;col=6&amp;number=3.6&amp;sourceID=14","3.6")</f>
        <v>3.6</v>
      </c>
      <c r="G130" s="4" t="str">
        <f>HYPERLINK("http://141.218.60.56/~jnz1568/getInfo.php?workbook=16_08.xlsx&amp;sheet=U0&amp;row=130&amp;col=7&amp;number=0.00401&amp;sourceID=14","0.00401")</f>
        <v>0.00401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HYPERLINK("http://141.218.60.56/~jnz1568/getInfo.php?workbook=16_08.xlsx&amp;sheet=U0&amp;row=131&amp;col=6&amp;number=3.7&amp;sourceID=14","3.7")</f>
        <v>3.7</v>
      </c>
      <c r="G131" s="4" t="str">
        <f>HYPERLINK("http://141.218.60.56/~jnz1568/getInfo.php?workbook=16_08.xlsx&amp;sheet=U0&amp;row=131&amp;col=7&amp;number=0.00401&amp;sourceID=14","0.00401")</f>
        <v>0.00401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HYPERLINK("http://141.218.60.56/~jnz1568/getInfo.php?workbook=16_08.xlsx&amp;sheet=U0&amp;row=132&amp;col=6&amp;number=3.8&amp;sourceID=14","3.8")</f>
        <v>3.8</v>
      </c>
      <c r="G132" s="4" t="str">
        <f>HYPERLINK("http://141.218.60.56/~jnz1568/getInfo.php?workbook=16_08.xlsx&amp;sheet=U0&amp;row=132&amp;col=7&amp;number=0.00401&amp;sourceID=14","0.00401")</f>
        <v>0.00401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HYPERLINK("http://141.218.60.56/~jnz1568/getInfo.php?workbook=16_08.xlsx&amp;sheet=U0&amp;row=133&amp;col=6&amp;number=3.9&amp;sourceID=14","3.9")</f>
        <v>3.9</v>
      </c>
      <c r="G133" s="4" t="str">
        <f>HYPERLINK("http://141.218.60.56/~jnz1568/getInfo.php?workbook=16_08.xlsx&amp;sheet=U0&amp;row=133&amp;col=7&amp;number=0.00401&amp;sourceID=14","0.00401")</f>
        <v>0.00401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HYPERLINK("http://141.218.60.56/~jnz1568/getInfo.php?workbook=16_08.xlsx&amp;sheet=U0&amp;row=134&amp;col=6&amp;number=4&amp;sourceID=14","4")</f>
        <v>4</v>
      </c>
      <c r="G134" s="4" t="str">
        <f>HYPERLINK("http://141.218.60.56/~jnz1568/getInfo.php?workbook=16_08.xlsx&amp;sheet=U0&amp;row=134&amp;col=7&amp;number=0.00401&amp;sourceID=14","0.00401")</f>
        <v>0.00401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HYPERLINK("http://141.218.60.56/~jnz1568/getInfo.php?workbook=16_08.xlsx&amp;sheet=U0&amp;row=135&amp;col=6&amp;number=4.1&amp;sourceID=14","4.1")</f>
        <v>4.1</v>
      </c>
      <c r="G135" s="4" t="str">
        <f>HYPERLINK("http://141.218.60.56/~jnz1568/getInfo.php?workbook=16_08.xlsx&amp;sheet=U0&amp;row=135&amp;col=7&amp;number=0.004&amp;sourceID=14","0.004")</f>
        <v>0.004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HYPERLINK("http://141.218.60.56/~jnz1568/getInfo.php?workbook=16_08.xlsx&amp;sheet=U0&amp;row=136&amp;col=6&amp;number=4.2&amp;sourceID=14","4.2")</f>
        <v>4.2</v>
      </c>
      <c r="G136" s="4" t="str">
        <f>HYPERLINK("http://141.218.60.56/~jnz1568/getInfo.php?workbook=16_08.xlsx&amp;sheet=U0&amp;row=136&amp;col=7&amp;number=0.004&amp;sourceID=14","0.004")</f>
        <v>0.004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HYPERLINK("http://141.218.60.56/~jnz1568/getInfo.php?workbook=16_08.xlsx&amp;sheet=U0&amp;row=137&amp;col=6&amp;number=4.3&amp;sourceID=14","4.3")</f>
        <v>4.3</v>
      </c>
      <c r="G137" s="4" t="str">
        <f>HYPERLINK("http://141.218.60.56/~jnz1568/getInfo.php?workbook=16_08.xlsx&amp;sheet=U0&amp;row=137&amp;col=7&amp;number=0.004&amp;sourceID=14","0.004")</f>
        <v>0.004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HYPERLINK("http://141.218.60.56/~jnz1568/getInfo.php?workbook=16_08.xlsx&amp;sheet=U0&amp;row=138&amp;col=6&amp;number=4.4&amp;sourceID=14","4.4")</f>
        <v>4.4</v>
      </c>
      <c r="G138" s="4" t="str">
        <f>HYPERLINK("http://141.218.60.56/~jnz1568/getInfo.php?workbook=16_08.xlsx&amp;sheet=U0&amp;row=138&amp;col=7&amp;number=0.004&amp;sourceID=14","0.004")</f>
        <v>0.004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HYPERLINK("http://141.218.60.56/~jnz1568/getInfo.php?workbook=16_08.xlsx&amp;sheet=U0&amp;row=139&amp;col=6&amp;number=4.5&amp;sourceID=14","4.5")</f>
        <v>4.5</v>
      </c>
      <c r="G139" s="4" t="str">
        <f>HYPERLINK("http://141.218.60.56/~jnz1568/getInfo.php?workbook=16_08.xlsx&amp;sheet=U0&amp;row=139&amp;col=7&amp;number=0.00399&amp;sourceID=14","0.00399")</f>
        <v>0.00399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HYPERLINK("http://141.218.60.56/~jnz1568/getInfo.php?workbook=16_08.xlsx&amp;sheet=U0&amp;row=140&amp;col=6&amp;number=4.6&amp;sourceID=14","4.6")</f>
        <v>4.6</v>
      </c>
      <c r="G140" s="4" t="str">
        <f>HYPERLINK("http://141.218.60.56/~jnz1568/getInfo.php?workbook=16_08.xlsx&amp;sheet=U0&amp;row=140&amp;col=7&amp;number=0.00399&amp;sourceID=14","0.00399")</f>
        <v>0.00399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HYPERLINK("http://141.218.60.56/~jnz1568/getInfo.php?workbook=16_08.xlsx&amp;sheet=U0&amp;row=141&amp;col=6&amp;number=4.7&amp;sourceID=14","4.7")</f>
        <v>4.7</v>
      </c>
      <c r="G141" s="4" t="str">
        <f>HYPERLINK("http://141.218.60.56/~jnz1568/getInfo.php?workbook=16_08.xlsx&amp;sheet=U0&amp;row=141&amp;col=7&amp;number=0.00398&amp;sourceID=14","0.00398")</f>
        <v>0.00398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HYPERLINK("http://141.218.60.56/~jnz1568/getInfo.php?workbook=16_08.xlsx&amp;sheet=U0&amp;row=142&amp;col=6&amp;number=4.8&amp;sourceID=14","4.8")</f>
        <v>4.8</v>
      </c>
      <c r="G142" s="4" t="str">
        <f>HYPERLINK("http://141.218.60.56/~jnz1568/getInfo.php?workbook=16_08.xlsx&amp;sheet=U0&amp;row=142&amp;col=7&amp;number=0.00397&amp;sourceID=14","0.00397")</f>
        <v>0.00397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HYPERLINK("http://141.218.60.56/~jnz1568/getInfo.php?workbook=16_08.xlsx&amp;sheet=U0&amp;row=143&amp;col=6&amp;number=4.9&amp;sourceID=14","4.9")</f>
        <v>4.9</v>
      </c>
      <c r="G143" s="4" t="str">
        <f>HYPERLINK("http://141.218.60.56/~jnz1568/getInfo.php?workbook=16_08.xlsx&amp;sheet=U0&amp;row=143&amp;col=7&amp;number=0.00397&amp;sourceID=14","0.00397")</f>
        <v>0.00397</v>
      </c>
    </row>
    <row r="144" spans="1:7">
      <c r="A144" s="3">
        <v>16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HYPERLINK("http://141.218.60.56/~jnz1568/getInfo.php?workbook=16_08.xlsx&amp;sheet=U0&amp;row=144&amp;col=6&amp;number=3&amp;sourceID=14","3")</f>
        <v>3</v>
      </c>
      <c r="G144" s="4" t="str">
        <f>HYPERLINK("http://141.218.60.56/~jnz1568/getInfo.php?workbook=16_08.xlsx&amp;sheet=U0&amp;row=144&amp;col=7&amp;number=0.0363&amp;sourceID=14","0.0363")</f>
        <v>0.0363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HYPERLINK("http://141.218.60.56/~jnz1568/getInfo.php?workbook=16_08.xlsx&amp;sheet=U0&amp;row=145&amp;col=6&amp;number=3.1&amp;sourceID=14","3.1")</f>
        <v>3.1</v>
      </c>
      <c r="G145" s="4" t="str">
        <f>HYPERLINK("http://141.218.60.56/~jnz1568/getInfo.php?workbook=16_08.xlsx&amp;sheet=U0&amp;row=145&amp;col=7&amp;number=0.0363&amp;sourceID=14","0.0363")</f>
        <v>0.0363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HYPERLINK("http://141.218.60.56/~jnz1568/getInfo.php?workbook=16_08.xlsx&amp;sheet=U0&amp;row=146&amp;col=6&amp;number=3.2&amp;sourceID=14","3.2")</f>
        <v>3.2</v>
      </c>
      <c r="G146" s="4" t="str">
        <f>HYPERLINK("http://141.218.60.56/~jnz1568/getInfo.php?workbook=16_08.xlsx&amp;sheet=U0&amp;row=146&amp;col=7&amp;number=0.0363&amp;sourceID=14","0.0363")</f>
        <v>0.0363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HYPERLINK("http://141.218.60.56/~jnz1568/getInfo.php?workbook=16_08.xlsx&amp;sheet=U0&amp;row=147&amp;col=6&amp;number=3.3&amp;sourceID=14","3.3")</f>
        <v>3.3</v>
      </c>
      <c r="G147" s="4" t="str">
        <f>HYPERLINK("http://141.218.60.56/~jnz1568/getInfo.php?workbook=16_08.xlsx&amp;sheet=U0&amp;row=147&amp;col=7&amp;number=0.0363&amp;sourceID=14","0.0363")</f>
        <v>0.0363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HYPERLINK("http://141.218.60.56/~jnz1568/getInfo.php?workbook=16_08.xlsx&amp;sheet=U0&amp;row=148&amp;col=6&amp;number=3.4&amp;sourceID=14","3.4")</f>
        <v>3.4</v>
      </c>
      <c r="G148" s="4" t="str">
        <f>HYPERLINK("http://141.218.60.56/~jnz1568/getInfo.php?workbook=16_08.xlsx&amp;sheet=U0&amp;row=148&amp;col=7&amp;number=0.0363&amp;sourceID=14","0.0363")</f>
        <v>0.0363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HYPERLINK("http://141.218.60.56/~jnz1568/getInfo.php?workbook=16_08.xlsx&amp;sheet=U0&amp;row=149&amp;col=6&amp;number=3.5&amp;sourceID=14","3.5")</f>
        <v>3.5</v>
      </c>
      <c r="G149" s="4" t="str">
        <f>HYPERLINK("http://141.218.60.56/~jnz1568/getInfo.php?workbook=16_08.xlsx&amp;sheet=U0&amp;row=149&amp;col=7&amp;number=0.0363&amp;sourceID=14","0.0363")</f>
        <v>0.0363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HYPERLINK("http://141.218.60.56/~jnz1568/getInfo.php?workbook=16_08.xlsx&amp;sheet=U0&amp;row=150&amp;col=6&amp;number=3.6&amp;sourceID=14","3.6")</f>
        <v>3.6</v>
      </c>
      <c r="G150" s="4" t="str">
        <f>HYPERLINK("http://141.218.60.56/~jnz1568/getInfo.php?workbook=16_08.xlsx&amp;sheet=U0&amp;row=150&amp;col=7&amp;number=0.0363&amp;sourceID=14","0.0363")</f>
        <v>0.0363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HYPERLINK("http://141.218.60.56/~jnz1568/getInfo.php?workbook=16_08.xlsx&amp;sheet=U0&amp;row=151&amp;col=6&amp;number=3.7&amp;sourceID=14","3.7")</f>
        <v>3.7</v>
      </c>
      <c r="G151" s="4" t="str">
        <f>HYPERLINK("http://141.218.60.56/~jnz1568/getInfo.php?workbook=16_08.xlsx&amp;sheet=U0&amp;row=151&amp;col=7&amp;number=0.0363&amp;sourceID=14","0.0363")</f>
        <v>0.0363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HYPERLINK("http://141.218.60.56/~jnz1568/getInfo.php?workbook=16_08.xlsx&amp;sheet=U0&amp;row=152&amp;col=6&amp;number=3.8&amp;sourceID=14","3.8")</f>
        <v>3.8</v>
      </c>
      <c r="G152" s="4" t="str">
        <f>HYPERLINK("http://141.218.60.56/~jnz1568/getInfo.php?workbook=16_08.xlsx&amp;sheet=U0&amp;row=152&amp;col=7&amp;number=0.0363&amp;sourceID=14","0.0363")</f>
        <v>0.0363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HYPERLINK("http://141.218.60.56/~jnz1568/getInfo.php?workbook=16_08.xlsx&amp;sheet=U0&amp;row=153&amp;col=6&amp;number=3.9&amp;sourceID=14","3.9")</f>
        <v>3.9</v>
      </c>
      <c r="G153" s="4" t="str">
        <f>HYPERLINK("http://141.218.60.56/~jnz1568/getInfo.php?workbook=16_08.xlsx&amp;sheet=U0&amp;row=153&amp;col=7&amp;number=0.0363&amp;sourceID=14","0.0363")</f>
        <v>0.0363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HYPERLINK("http://141.218.60.56/~jnz1568/getInfo.php?workbook=16_08.xlsx&amp;sheet=U0&amp;row=154&amp;col=6&amp;number=4&amp;sourceID=14","4")</f>
        <v>4</v>
      </c>
      <c r="G154" s="4" t="str">
        <f>HYPERLINK("http://141.218.60.56/~jnz1568/getInfo.php?workbook=16_08.xlsx&amp;sheet=U0&amp;row=154&amp;col=7&amp;number=0.0363&amp;sourceID=14","0.0363")</f>
        <v>0.0363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HYPERLINK("http://141.218.60.56/~jnz1568/getInfo.php?workbook=16_08.xlsx&amp;sheet=U0&amp;row=155&amp;col=6&amp;number=4.1&amp;sourceID=14","4.1")</f>
        <v>4.1</v>
      </c>
      <c r="G155" s="4" t="str">
        <f>HYPERLINK("http://141.218.60.56/~jnz1568/getInfo.php?workbook=16_08.xlsx&amp;sheet=U0&amp;row=155&amp;col=7&amp;number=0.0363&amp;sourceID=14","0.0363")</f>
        <v>0.0363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HYPERLINK("http://141.218.60.56/~jnz1568/getInfo.php?workbook=16_08.xlsx&amp;sheet=U0&amp;row=156&amp;col=6&amp;number=4.2&amp;sourceID=14","4.2")</f>
        <v>4.2</v>
      </c>
      <c r="G156" s="4" t="str">
        <f>HYPERLINK("http://141.218.60.56/~jnz1568/getInfo.php?workbook=16_08.xlsx&amp;sheet=U0&amp;row=156&amp;col=7&amp;number=0.0363&amp;sourceID=14","0.0363")</f>
        <v>0.0363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HYPERLINK("http://141.218.60.56/~jnz1568/getInfo.php?workbook=16_08.xlsx&amp;sheet=U0&amp;row=157&amp;col=6&amp;number=4.3&amp;sourceID=14","4.3")</f>
        <v>4.3</v>
      </c>
      <c r="G157" s="4" t="str">
        <f>HYPERLINK("http://141.218.60.56/~jnz1568/getInfo.php?workbook=16_08.xlsx&amp;sheet=U0&amp;row=157&amp;col=7&amp;number=0.0362&amp;sourceID=14","0.0362")</f>
        <v>0.0362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HYPERLINK("http://141.218.60.56/~jnz1568/getInfo.php?workbook=16_08.xlsx&amp;sheet=U0&amp;row=158&amp;col=6&amp;number=4.4&amp;sourceID=14","4.4")</f>
        <v>4.4</v>
      </c>
      <c r="G158" s="4" t="str">
        <f>HYPERLINK("http://141.218.60.56/~jnz1568/getInfo.php?workbook=16_08.xlsx&amp;sheet=U0&amp;row=158&amp;col=7&amp;number=0.0362&amp;sourceID=14","0.0362")</f>
        <v>0.0362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HYPERLINK("http://141.218.60.56/~jnz1568/getInfo.php?workbook=16_08.xlsx&amp;sheet=U0&amp;row=159&amp;col=6&amp;number=4.5&amp;sourceID=14","4.5")</f>
        <v>4.5</v>
      </c>
      <c r="G159" s="4" t="str">
        <f>HYPERLINK("http://141.218.60.56/~jnz1568/getInfo.php?workbook=16_08.xlsx&amp;sheet=U0&amp;row=159&amp;col=7&amp;number=0.0362&amp;sourceID=14","0.0362")</f>
        <v>0.0362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HYPERLINK("http://141.218.60.56/~jnz1568/getInfo.php?workbook=16_08.xlsx&amp;sheet=U0&amp;row=160&amp;col=6&amp;number=4.6&amp;sourceID=14","4.6")</f>
        <v>4.6</v>
      </c>
      <c r="G160" s="4" t="str">
        <f>HYPERLINK("http://141.218.60.56/~jnz1568/getInfo.php?workbook=16_08.xlsx&amp;sheet=U0&amp;row=160&amp;col=7&amp;number=0.0362&amp;sourceID=14","0.0362")</f>
        <v>0.0362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HYPERLINK("http://141.218.60.56/~jnz1568/getInfo.php?workbook=16_08.xlsx&amp;sheet=U0&amp;row=161&amp;col=6&amp;number=4.7&amp;sourceID=14","4.7")</f>
        <v>4.7</v>
      </c>
      <c r="G161" s="4" t="str">
        <f>HYPERLINK("http://141.218.60.56/~jnz1568/getInfo.php?workbook=16_08.xlsx&amp;sheet=U0&amp;row=161&amp;col=7&amp;number=0.0362&amp;sourceID=14","0.0362")</f>
        <v>0.0362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HYPERLINK("http://141.218.60.56/~jnz1568/getInfo.php?workbook=16_08.xlsx&amp;sheet=U0&amp;row=162&amp;col=6&amp;number=4.8&amp;sourceID=14","4.8")</f>
        <v>4.8</v>
      </c>
      <c r="G162" s="4" t="str">
        <f>HYPERLINK("http://141.218.60.56/~jnz1568/getInfo.php?workbook=16_08.xlsx&amp;sheet=U0&amp;row=162&amp;col=7&amp;number=0.0361&amp;sourceID=14","0.0361")</f>
        <v>0.0361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HYPERLINK("http://141.218.60.56/~jnz1568/getInfo.php?workbook=16_08.xlsx&amp;sheet=U0&amp;row=163&amp;col=6&amp;number=4.9&amp;sourceID=14","4.9")</f>
        <v>4.9</v>
      </c>
      <c r="G163" s="4" t="str">
        <f>HYPERLINK("http://141.218.60.56/~jnz1568/getInfo.php?workbook=16_08.xlsx&amp;sheet=U0&amp;row=163&amp;col=7&amp;number=0.0361&amp;sourceID=14","0.0361")</f>
        <v>0.0361</v>
      </c>
    </row>
    <row r="164" spans="1:7">
      <c r="A164" s="3">
        <v>16</v>
      </c>
      <c r="B164" s="3">
        <v>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HYPERLINK("http://141.218.60.56/~jnz1568/getInfo.php?workbook=16_08.xlsx&amp;sheet=U0&amp;row=164&amp;col=6&amp;number=3&amp;sourceID=14","3")</f>
        <v>3</v>
      </c>
      <c r="G164" s="4" t="str">
        <f>HYPERLINK("http://141.218.60.56/~jnz1568/getInfo.php?workbook=16_08.xlsx&amp;sheet=U0&amp;row=164&amp;col=7&amp;number=0.000797&amp;sourceID=14","0.000797")</f>
        <v>0.000797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HYPERLINK("http://141.218.60.56/~jnz1568/getInfo.php?workbook=16_08.xlsx&amp;sheet=U0&amp;row=165&amp;col=6&amp;number=3.1&amp;sourceID=14","3.1")</f>
        <v>3.1</v>
      </c>
      <c r="G165" s="4" t="str">
        <f>HYPERLINK("http://141.218.60.56/~jnz1568/getInfo.php?workbook=16_08.xlsx&amp;sheet=U0&amp;row=165&amp;col=7&amp;number=0.000797&amp;sourceID=14","0.000797")</f>
        <v>0.000797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HYPERLINK("http://141.218.60.56/~jnz1568/getInfo.php?workbook=16_08.xlsx&amp;sheet=U0&amp;row=166&amp;col=6&amp;number=3.2&amp;sourceID=14","3.2")</f>
        <v>3.2</v>
      </c>
      <c r="G166" s="4" t="str">
        <f>HYPERLINK("http://141.218.60.56/~jnz1568/getInfo.php?workbook=16_08.xlsx&amp;sheet=U0&amp;row=166&amp;col=7&amp;number=0.000797&amp;sourceID=14","0.000797")</f>
        <v>0.000797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HYPERLINK("http://141.218.60.56/~jnz1568/getInfo.php?workbook=16_08.xlsx&amp;sheet=U0&amp;row=167&amp;col=6&amp;number=3.3&amp;sourceID=14","3.3")</f>
        <v>3.3</v>
      </c>
      <c r="G167" s="4" t="str">
        <f>HYPERLINK("http://141.218.60.56/~jnz1568/getInfo.php?workbook=16_08.xlsx&amp;sheet=U0&amp;row=167&amp;col=7&amp;number=0.000797&amp;sourceID=14","0.000797")</f>
        <v>0.000797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HYPERLINK("http://141.218.60.56/~jnz1568/getInfo.php?workbook=16_08.xlsx&amp;sheet=U0&amp;row=168&amp;col=6&amp;number=3.4&amp;sourceID=14","3.4")</f>
        <v>3.4</v>
      </c>
      <c r="G168" s="4" t="str">
        <f>HYPERLINK("http://141.218.60.56/~jnz1568/getInfo.php?workbook=16_08.xlsx&amp;sheet=U0&amp;row=168&amp;col=7&amp;number=0.000797&amp;sourceID=14","0.000797")</f>
        <v>0.000797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HYPERLINK("http://141.218.60.56/~jnz1568/getInfo.php?workbook=16_08.xlsx&amp;sheet=U0&amp;row=169&amp;col=6&amp;number=3.5&amp;sourceID=14","3.5")</f>
        <v>3.5</v>
      </c>
      <c r="G169" s="4" t="str">
        <f>HYPERLINK("http://141.218.60.56/~jnz1568/getInfo.php?workbook=16_08.xlsx&amp;sheet=U0&amp;row=169&amp;col=7&amp;number=0.000797&amp;sourceID=14","0.000797")</f>
        <v>0.000797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HYPERLINK("http://141.218.60.56/~jnz1568/getInfo.php?workbook=16_08.xlsx&amp;sheet=U0&amp;row=170&amp;col=6&amp;number=3.6&amp;sourceID=14","3.6")</f>
        <v>3.6</v>
      </c>
      <c r="G170" s="4" t="str">
        <f>HYPERLINK("http://141.218.60.56/~jnz1568/getInfo.php?workbook=16_08.xlsx&amp;sheet=U0&amp;row=170&amp;col=7&amp;number=0.000797&amp;sourceID=14","0.000797")</f>
        <v>0.000797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HYPERLINK("http://141.218.60.56/~jnz1568/getInfo.php?workbook=16_08.xlsx&amp;sheet=U0&amp;row=171&amp;col=6&amp;number=3.7&amp;sourceID=14","3.7")</f>
        <v>3.7</v>
      </c>
      <c r="G171" s="4" t="str">
        <f>HYPERLINK("http://141.218.60.56/~jnz1568/getInfo.php?workbook=16_08.xlsx&amp;sheet=U0&amp;row=171&amp;col=7&amp;number=0.000797&amp;sourceID=14","0.000797")</f>
        <v>0.000797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HYPERLINK("http://141.218.60.56/~jnz1568/getInfo.php?workbook=16_08.xlsx&amp;sheet=U0&amp;row=172&amp;col=6&amp;number=3.8&amp;sourceID=14","3.8")</f>
        <v>3.8</v>
      </c>
      <c r="G172" s="4" t="str">
        <f>HYPERLINK("http://141.218.60.56/~jnz1568/getInfo.php?workbook=16_08.xlsx&amp;sheet=U0&amp;row=172&amp;col=7&amp;number=0.000796&amp;sourceID=14","0.000796")</f>
        <v>0.000796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HYPERLINK("http://141.218.60.56/~jnz1568/getInfo.php?workbook=16_08.xlsx&amp;sheet=U0&amp;row=173&amp;col=6&amp;number=3.9&amp;sourceID=14","3.9")</f>
        <v>3.9</v>
      </c>
      <c r="G173" s="4" t="str">
        <f>HYPERLINK("http://141.218.60.56/~jnz1568/getInfo.php?workbook=16_08.xlsx&amp;sheet=U0&amp;row=173&amp;col=7&amp;number=0.000796&amp;sourceID=14","0.000796")</f>
        <v>0.000796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HYPERLINK("http://141.218.60.56/~jnz1568/getInfo.php?workbook=16_08.xlsx&amp;sheet=U0&amp;row=174&amp;col=6&amp;number=4&amp;sourceID=14","4")</f>
        <v>4</v>
      </c>
      <c r="G174" s="4" t="str">
        <f>HYPERLINK("http://141.218.60.56/~jnz1568/getInfo.php?workbook=16_08.xlsx&amp;sheet=U0&amp;row=174&amp;col=7&amp;number=0.000796&amp;sourceID=14","0.000796")</f>
        <v>0.000796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HYPERLINK("http://141.218.60.56/~jnz1568/getInfo.php?workbook=16_08.xlsx&amp;sheet=U0&amp;row=175&amp;col=6&amp;number=4.1&amp;sourceID=14","4.1")</f>
        <v>4.1</v>
      </c>
      <c r="G175" s="4" t="str">
        <f>HYPERLINK("http://141.218.60.56/~jnz1568/getInfo.php?workbook=16_08.xlsx&amp;sheet=U0&amp;row=175&amp;col=7&amp;number=0.000796&amp;sourceID=14","0.000796")</f>
        <v>0.000796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HYPERLINK("http://141.218.60.56/~jnz1568/getInfo.php?workbook=16_08.xlsx&amp;sheet=U0&amp;row=176&amp;col=6&amp;number=4.2&amp;sourceID=14","4.2")</f>
        <v>4.2</v>
      </c>
      <c r="G176" s="4" t="str">
        <f>HYPERLINK("http://141.218.60.56/~jnz1568/getInfo.php?workbook=16_08.xlsx&amp;sheet=U0&amp;row=176&amp;col=7&amp;number=0.000795&amp;sourceID=14","0.000795")</f>
        <v>0.000795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HYPERLINK("http://141.218.60.56/~jnz1568/getInfo.php?workbook=16_08.xlsx&amp;sheet=U0&amp;row=177&amp;col=6&amp;number=4.3&amp;sourceID=14","4.3")</f>
        <v>4.3</v>
      </c>
      <c r="G177" s="4" t="str">
        <f>HYPERLINK("http://141.218.60.56/~jnz1568/getInfo.php?workbook=16_08.xlsx&amp;sheet=U0&amp;row=177&amp;col=7&amp;number=0.000795&amp;sourceID=14","0.000795")</f>
        <v>0.000795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HYPERLINK("http://141.218.60.56/~jnz1568/getInfo.php?workbook=16_08.xlsx&amp;sheet=U0&amp;row=178&amp;col=6&amp;number=4.4&amp;sourceID=14","4.4")</f>
        <v>4.4</v>
      </c>
      <c r="G178" s="4" t="str">
        <f>HYPERLINK("http://141.218.60.56/~jnz1568/getInfo.php?workbook=16_08.xlsx&amp;sheet=U0&amp;row=178&amp;col=7&amp;number=0.000794&amp;sourceID=14","0.000794")</f>
        <v>0.000794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HYPERLINK("http://141.218.60.56/~jnz1568/getInfo.php?workbook=16_08.xlsx&amp;sheet=U0&amp;row=179&amp;col=6&amp;number=4.5&amp;sourceID=14","4.5")</f>
        <v>4.5</v>
      </c>
      <c r="G179" s="4" t="str">
        <f>HYPERLINK("http://141.218.60.56/~jnz1568/getInfo.php?workbook=16_08.xlsx&amp;sheet=U0&amp;row=179&amp;col=7&amp;number=0.000793&amp;sourceID=14","0.000793")</f>
        <v>0.000793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HYPERLINK("http://141.218.60.56/~jnz1568/getInfo.php?workbook=16_08.xlsx&amp;sheet=U0&amp;row=180&amp;col=6&amp;number=4.6&amp;sourceID=14","4.6")</f>
        <v>4.6</v>
      </c>
      <c r="G180" s="4" t="str">
        <f>HYPERLINK("http://141.218.60.56/~jnz1568/getInfo.php?workbook=16_08.xlsx&amp;sheet=U0&amp;row=180&amp;col=7&amp;number=0.000792&amp;sourceID=14","0.000792")</f>
        <v>0.000792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HYPERLINK("http://141.218.60.56/~jnz1568/getInfo.php?workbook=16_08.xlsx&amp;sheet=U0&amp;row=181&amp;col=6&amp;number=4.7&amp;sourceID=14","4.7")</f>
        <v>4.7</v>
      </c>
      <c r="G181" s="4" t="str">
        <f>HYPERLINK("http://141.218.60.56/~jnz1568/getInfo.php?workbook=16_08.xlsx&amp;sheet=U0&amp;row=181&amp;col=7&amp;number=0.00079&amp;sourceID=14","0.00079")</f>
        <v>0.00079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HYPERLINK("http://141.218.60.56/~jnz1568/getInfo.php?workbook=16_08.xlsx&amp;sheet=U0&amp;row=182&amp;col=6&amp;number=4.8&amp;sourceID=14","4.8")</f>
        <v>4.8</v>
      </c>
      <c r="G182" s="4" t="str">
        <f>HYPERLINK("http://141.218.60.56/~jnz1568/getInfo.php?workbook=16_08.xlsx&amp;sheet=U0&amp;row=182&amp;col=7&amp;number=0.000789&amp;sourceID=14","0.000789")</f>
        <v>0.000789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HYPERLINK("http://141.218.60.56/~jnz1568/getInfo.php?workbook=16_08.xlsx&amp;sheet=U0&amp;row=183&amp;col=6&amp;number=4.9&amp;sourceID=14","4.9")</f>
        <v>4.9</v>
      </c>
      <c r="G183" s="4" t="str">
        <f>HYPERLINK("http://141.218.60.56/~jnz1568/getInfo.php?workbook=16_08.xlsx&amp;sheet=U0&amp;row=183&amp;col=7&amp;number=0.000786&amp;sourceID=14","0.000786")</f>
        <v>0.000786</v>
      </c>
    </row>
    <row r="184" spans="1:7">
      <c r="A184" s="3">
        <v>16</v>
      </c>
      <c r="B184" s="3">
        <v>8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HYPERLINK("http://141.218.60.56/~jnz1568/getInfo.php?workbook=16_08.xlsx&amp;sheet=U0&amp;row=184&amp;col=6&amp;number=3&amp;sourceID=14","3")</f>
        <v>3</v>
      </c>
      <c r="G184" s="4" t="str">
        <f>HYPERLINK("http://141.218.60.56/~jnz1568/getInfo.php?workbook=16_08.xlsx&amp;sheet=U0&amp;row=184&amp;col=7&amp;number=0.0119&amp;sourceID=14","0.0119")</f>
        <v>0.0119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HYPERLINK("http://141.218.60.56/~jnz1568/getInfo.php?workbook=16_08.xlsx&amp;sheet=U0&amp;row=185&amp;col=6&amp;number=3.1&amp;sourceID=14","3.1")</f>
        <v>3.1</v>
      </c>
      <c r="G185" s="4" t="str">
        <f>HYPERLINK("http://141.218.60.56/~jnz1568/getInfo.php?workbook=16_08.xlsx&amp;sheet=U0&amp;row=185&amp;col=7&amp;number=0.0119&amp;sourceID=14","0.0119")</f>
        <v>0.0119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HYPERLINK("http://141.218.60.56/~jnz1568/getInfo.php?workbook=16_08.xlsx&amp;sheet=U0&amp;row=186&amp;col=6&amp;number=3.2&amp;sourceID=14","3.2")</f>
        <v>3.2</v>
      </c>
      <c r="G186" s="4" t="str">
        <f>HYPERLINK("http://141.218.60.56/~jnz1568/getInfo.php?workbook=16_08.xlsx&amp;sheet=U0&amp;row=186&amp;col=7&amp;number=0.0119&amp;sourceID=14","0.0119")</f>
        <v>0.0119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HYPERLINK("http://141.218.60.56/~jnz1568/getInfo.php?workbook=16_08.xlsx&amp;sheet=U0&amp;row=187&amp;col=6&amp;number=3.3&amp;sourceID=14","3.3")</f>
        <v>3.3</v>
      </c>
      <c r="G187" s="4" t="str">
        <f>HYPERLINK("http://141.218.60.56/~jnz1568/getInfo.php?workbook=16_08.xlsx&amp;sheet=U0&amp;row=187&amp;col=7&amp;number=0.0119&amp;sourceID=14","0.0119")</f>
        <v>0.0119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HYPERLINK("http://141.218.60.56/~jnz1568/getInfo.php?workbook=16_08.xlsx&amp;sheet=U0&amp;row=188&amp;col=6&amp;number=3.4&amp;sourceID=14","3.4")</f>
        <v>3.4</v>
      </c>
      <c r="G188" s="4" t="str">
        <f>HYPERLINK("http://141.218.60.56/~jnz1568/getInfo.php?workbook=16_08.xlsx&amp;sheet=U0&amp;row=188&amp;col=7&amp;number=0.0119&amp;sourceID=14","0.0119")</f>
        <v>0.0119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HYPERLINK("http://141.218.60.56/~jnz1568/getInfo.php?workbook=16_08.xlsx&amp;sheet=U0&amp;row=189&amp;col=6&amp;number=3.5&amp;sourceID=14","3.5")</f>
        <v>3.5</v>
      </c>
      <c r="G189" s="4" t="str">
        <f>HYPERLINK("http://141.218.60.56/~jnz1568/getInfo.php?workbook=16_08.xlsx&amp;sheet=U0&amp;row=189&amp;col=7&amp;number=0.0119&amp;sourceID=14","0.0119")</f>
        <v>0.0119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HYPERLINK("http://141.218.60.56/~jnz1568/getInfo.php?workbook=16_08.xlsx&amp;sheet=U0&amp;row=190&amp;col=6&amp;number=3.6&amp;sourceID=14","3.6")</f>
        <v>3.6</v>
      </c>
      <c r="G190" s="4" t="str">
        <f>HYPERLINK("http://141.218.60.56/~jnz1568/getInfo.php?workbook=16_08.xlsx&amp;sheet=U0&amp;row=190&amp;col=7&amp;number=0.0119&amp;sourceID=14","0.0119")</f>
        <v>0.0119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HYPERLINK("http://141.218.60.56/~jnz1568/getInfo.php?workbook=16_08.xlsx&amp;sheet=U0&amp;row=191&amp;col=6&amp;number=3.7&amp;sourceID=14","3.7")</f>
        <v>3.7</v>
      </c>
      <c r="G191" s="4" t="str">
        <f>HYPERLINK("http://141.218.60.56/~jnz1568/getInfo.php?workbook=16_08.xlsx&amp;sheet=U0&amp;row=191&amp;col=7&amp;number=0.0119&amp;sourceID=14","0.0119")</f>
        <v>0.0119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HYPERLINK("http://141.218.60.56/~jnz1568/getInfo.php?workbook=16_08.xlsx&amp;sheet=U0&amp;row=192&amp;col=6&amp;number=3.8&amp;sourceID=14","3.8")</f>
        <v>3.8</v>
      </c>
      <c r="G192" s="4" t="str">
        <f>HYPERLINK("http://141.218.60.56/~jnz1568/getInfo.php?workbook=16_08.xlsx&amp;sheet=U0&amp;row=192&amp;col=7&amp;number=0.0119&amp;sourceID=14","0.0119")</f>
        <v>0.0119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HYPERLINK("http://141.218.60.56/~jnz1568/getInfo.php?workbook=16_08.xlsx&amp;sheet=U0&amp;row=193&amp;col=6&amp;number=3.9&amp;sourceID=14","3.9")</f>
        <v>3.9</v>
      </c>
      <c r="G193" s="4" t="str">
        <f>HYPERLINK("http://141.218.60.56/~jnz1568/getInfo.php?workbook=16_08.xlsx&amp;sheet=U0&amp;row=193&amp;col=7&amp;number=0.0119&amp;sourceID=14","0.0119")</f>
        <v>0.0119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HYPERLINK("http://141.218.60.56/~jnz1568/getInfo.php?workbook=16_08.xlsx&amp;sheet=U0&amp;row=194&amp;col=6&amp;number=4&amp;sourceID=14","4")</f>
        <v>4</v>
      </c>
      <c r="G194" s="4" t="str">
        <f>HYPERLINK("http://141.218.60.56/~jnz1568/getInfo.php?workbook=16_08.xlsx&amp;sheet=U0&amp;row=194&amp;col=7&amp;number=0.0119&amp;sourceID=14","0.0119")</f>
        <v>0.0119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HYPERLINK("http://141.218.60.56/~jnz1568/getInfo.php?workbook=16_08.xlsx&amp;sheet=U0&amp;row=195&amp;col=6&amp;number=4.1&amp;sourceID=14","4.1")</f>
        <v>4.1</v>
      </c>
      <c r="G195" s="4" t="str">
        <f>HYPERLINK("http://141.218.60.56/~jnz1568/getInfo.php?workbook=16_08.xlsx&amp;sheet=U0&amp;row=195&amp;col=7&amp;number=0.0119&amp;sourceID=14","0.0119")</f>
        <v>0.0119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HYPERLINK("http://141.218.60.56/~jnz1568/getInfo.php?workbook=16_08.xlsx&amp;sheet=U0&amp;row=196&amp;col=6&amp;number=4.2&amp;sourceID=14","4.2")</f>
        <v>4.2</v>
      </c>
      <c r="G196" s="4" t="str">
        <f>HYPERLINK("http://141.218.60.56/~jnz1568/getInfo.php?workbook=16_08.xlsx&amp;sheet=U0&amp;row=196&amp;col=7&amp;number=0.0119&amp;sourceID=14","0.0119")</f>
        <v>0.0119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HYPERLINK("http://141.218.60.56/~jnz1568/getInfo.php?workbook=16_08.xlsx&amp;sheet=U0&amp;row=197&amp;col=6&amp;number=4.3&amp;sourceID=14","4.3")</f>
        <v>4.3</v>
      </c>
      <c r="G197" s="4" t="str">
        <f>HYPERLINK("http://141.218.60.56/~jnz1568/getInfo.php?workbook=16_08.xlsx&amp;sheet=U0&amp;row=197&amp;col=7&amp;number=0.0118&amp;sourceID=14","0.0118")</f>
        <v>0.0118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HYPERLINK("http://141.218.60.56/~jnz1568/getInfo.php?workbook=16_08.xlsx&amp;sheet=U0&amp;row=198&amp;col=6&amp;number=4.4&amp;sourceID=14","4.4")</f>
        <v>4.4</v>
      </c>
      <c r="G198" s="4" t="str">
        <f>HYPERLINK("http://141.218.60.56/~jnz1568/getInfo.php?workbook=16_08.xlsx&amp;sheet=U0&amp;row=198&amp;col=7&amp;number=0.0118&amp;sourceID=14","0.0118")</f>
        <v>0.0118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HYPERLINK("http://141.218.60.56/~jnz1568/getInfo.php?workbook=16_08.xlsx&amp;sheet=U0&amp;row=199&amp;col=6&amp;number=4.5&amp;sourceID=14","4.5")</f>
        <v>4.5</v>
      </c>
      <c r="G199" s="4" t="str">
        <f>HYPERLINK("http://141.218.60.56/~jnz1568/getInfo.php?workbook=16_08.xlsx&amp;sheet=U0&amp;row=199&amp;col=7&amp;number=0.0118&amp;sourceID=14","0.0118")</f>
        <v>0.0118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HYPERLINK("http://141.218.60.56/~jnz1568/getInfo.php?workbook=16_08.xlsx&amp;sheet=U0&amp;row=200&amp;col=6&amp;number=4.6&amp;sourceID=14","4.6")</f>
        <v>4.6</v>
      </c>
      <c r="G200" s="4" t="str">
        <f>HYPERLINK("http://141.218.60.56/~jnz1568/getInfo.php?workbook=16_08.xlsx&amp;sheet=U0&amp;row=200&amp;col=7&amp;number=0.0118&amp;sourceID=14","0.0118")</f>
        <v>0.0118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HYPERLINK("http://141.218.60.56/~jnz1568/getInfo.php?workbook=16_08.xlsx&amp;sheet=U0&amp;row=201&amp;col=6&amp;number=4.7&amp;sourceID=14","4.7")</f>
        <v>4.7</v>
      </c>
      <c r="G201" s="4" t="str">
        <f>HYPERLINK("http://141.218.60.56/~jnz1568/getInfo.php?workbook=16_08.xlsx&amp;sheet=U0&amp;row=201&amp;col=7&amp;number=0.0117&amp;sourceID=14","0.0117")</f>
        <v>0.0117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HYPERLINK("http://141.218.60.56/~jnz1568/getInfo.php?workbook=16_08.xlsx&amp;sheet=U0&amp;row=202&amp;col=6&amp;number=4.8&amp;sourceID=14","4.8")</f>
        <v>4.8</v>
      </c>
      <c r="G202" s="4" t="str">
        <f>HYPERLINK("http://141.218.60.56/~jnz1568/getInfo.php?workbook=16_08.xlsx&amp;sheet=U0&amp;row=202&amp;col=7&amp;number=0.0117&amp;sourceID=14","0.0117")</f>
        <v>0.0117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HYPERLINK("http://141.218.60.56/~jnz1568/getInfo.php?workbook=16_08.xlsx&amp;sheet=U0&amp;row=203&amp;col=6&amp;number=4.9&amp;sourceID=14","4.9")</f>
        <v>4.9</v>
      </c>
      <c r="G203" s="4" t="str">
        <f>HYPERLINK("http://141.218.60.56/~jnz1568/getInfo.php?workbook=16_08.xlsx&amp;sheet=U0&amp;row=203&amp;col=7&amp;number=0.0116&amp;sourceID=14","0.0116")</f>
        <v>0.0116</v>
      </c>
    </row>
    <row r="204" spans="1:7">
      <c r="A204" s="3">
        <v>16</v>
      </c>
      <c r="B204" s="3">
        <v>8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HYPERLINK("http://141.218.60.56/~jnz1568/getInfo.php?workbook=16_08.xlsx&amp;sheet=U0&amp;row=204&amp;col=6&amp;number=3&amp;sourceID=14","3")</f>
        <v>3</v>
      </c>
      <c r="G204" s="4" t="str">
        <f>HYPERLINK("http://141.218.60.56/~jnz1568/getInfo.php?workbook=16_08.xlsx&amp;sheet=U0&amp;row=204&amp;col=7&amp;number=0.00808&amp;sourceID=14","0.00808")</f>
        <v>0.00808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HYPERLINK("http://141.218.60.56/~jnz1568/getInfo.php?workbook=16_08.xlsx&amp;sheet=U0&amp;row=205&amp;col=6&amp;number=3.1&amp;sourceID=14","3.1")</f>
        <v>3.1</v>
      </c>
      <c r="G205" s="4" t="str">
        <f>HYPERLINK("http://141.218.60.56/~jnz1568/getInfo.php?workbook=16_08.xlsx&amp;sheet=U0&amp;row=205&amp;col=7&amp;number=0.00808&amp;sourceID=14","0.00808")</f>
        <v>0.00808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HYPERLINK("http://141.218.60.56/~jnz1568/getInfo.php?workbook=16_08.xlsx&amp;sheet=U0&amp;row=206&amp;col=6&amp;number=3.2&amp;sourceID=14","3.2")</f>
        <v>3.2</v>
      </c>
      <c r="G206" s="4" t="str">
        <f>HYPERLINK("http://141.218.60.56/~jnz1568/getInfo.php?workbook=16_08.xlsx&amp;sheet=U0&amp;row=206&amp;col=7&amp;number=0.00808&amp;sourceID=14","0.00808")</f>
        <v>0.00808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HYPERLINK("http://141.218.60.56/~jnz1568/getInfo.php?workbook=16_08.xlsx&amp;sheet=U0&amp;row=207&amp;col=6&amp;number=3.3&amp;sourceID=14","3.3")</f>
        <v>3.3</v>
      </c>
      <c r="G207" s="4" t="str">
        <f>HYPERLINK("http://141.218.60.56/~jnz1568/getInfo.php?workbook=16_08.xlsx&amp;sheet=U0&amp;row=207&amp;col=7&amp;number=0.00809&amp;sourceID=14","0.00809")</f>
        <v>0.00809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HYPERLINK("http://141.218.60.56/~jnz1568/getInfo.php?workbook=16_08.xlsx&amp;sheet=U0&amp;row=208&amp;col=6&amp;number=3.4&amp;sourceID=14","3.4")</f>
        <v>3.4</v>
      </c>
      <c r="G208" s="4" t="str">
        <f>HYPERLINK("http://141.218.60.56/~jnz1568/getInfo.php?workbook=16_08.xlsx&amp;sheet=U0&amp;row=208&amp;col=7&amp;number=0.00809&amp;sourceID=14","0.00809")</f>
        <v>0.00809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HYPERLINK("http://141.218.60.56/~jnz1568/getInfo.php?workbook=16_08.xlsx&amp;sheet=U0&amp;row=209&amp;col=6&amp;number=3.5&amp;sourceID=14","3.5")</f>
        <v>3.5</v>
      </c>
      <c r="G209" s="4" t="str">
        <f>HYPERLINK("http://141.218.60.56/~jnz1568/getInfo.php?workbook=16_08.xlsx&amp;sheet=U0&amp;row=209&amp;col=7&amp;number=0.0081&amp;sourceID=14","0.0081")</f>
        <v>0.0081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HYPERLINK("http://141.218.60.56/~jnz1568/getInfo.php?workbook=16_08.xlsx&amp;sheet=U0&amp;row=210&amp;col=6&amp;number=3.6&amp;sourceID=14","3.6")</f>
        <v>3.6</v>
      </c>
      <c r="G210" s="4" t="str">
        <f>HYPERLINK("http://141.218.60.56/~jnz1568/getInfo.php?workbook=16_08.xlsx&amp;sheet=U0&amp;row=210&amp;col=7&amp;number=0.00811&amp;sourceID=14","0.00811")</f>
        <v>0.00811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HYPERLINK("http://141.218.60.56/~jnz1568/getInfo.php?workbook=16_08.xlsx&amp;sheet=U0&amp;row=211&amp;col=6&amp;number=3.7&amp;sourceID=14","3.7")</f>
        <v>3.7</v>
      </c>
      <c r="G211" s="4" t="str">
        <f>HYPERLINK("http://141.218.60.56/~jnz1568/getInfo.php?workbook=16_08.xlsx&amp;sheet=U0&amp;row=211&amp;col=7&amp;number=0.00812&amp;sourceID=14","0.00812")</f>
        <v>0.00812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HYPERLINK("http://141.218.60.56/~jnz1568/getInfo.php?workbook=16_08.xlsx&amp;sheet=U0&amp;row=212&amp;col=6&amp;number=3.8&amp;sourceID=14","3.8")</f>
        <v>3.8</v>
      </c>
      <c r="G212" s="4" t="str">
        <f>HYPERLINK("http://141.218.60.56/~jnz1568/getInfo.php?workbook=16_08.xlsx&amp;sheet=U0&amp;row=212&amp;col=7&amp;number=0.00813&amp;sourceID=14","0.00813")</f>
        <v>0.00813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HYPERLINK("http://141.218.60.56/~jnz1568/getInfo.php?workbook=16_08.xlsx&amp;sheet=U0&amp;row=213&amp;col=6&amp;number=3.9&amp;sourceID=14","3.9")</f>
        <v>3.9</v>
      </c>
      <c r="G213" s="4" t="str">
        <f>HYPERLINK("http://141.218.60.56/~jnz1568/getInfo.php?workbook=16_08.xlsx&amp;sheet=U0&amp;row=213&amp;col=7&amp;number=0.00814&amp;sourceID=14","0.00814")</f>
        <v>0.00814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HYPERLINK("http://141.218.60.56/~jnz1568/getInfo.php?workbook=16_08.xlsx&amp;sheet=U0&amp;row=214&amp;col=6&amp;number=4&amp;sourceID=14","4")</f>
        <v>4</v>
      </c>
      <c r="G214" s="4" t="str">
        <f>HYPERLINK("http://141.218.60.56/~jnz1568/getInfo.php?workbook=16_08.xlsx&amp;sheet=U0&amp;row=214&amp;col=7&amp;number=0.00817&amp;sourceID=14","0.00817")</f>
        <v>0.00817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HYPERLINK("http://141.218.60.56/~jnz1568/getInfo.php?workbook=16_08.xlsx&amp;sheet=U0&amp;row=215&amp;col=6&amp;number=4.1&amp;sourceID=14","4.1")</f>
        <v>4.1</v>
      </c>
      <c r="G215" s="4" t="str">
        <f>HYPERLINK("http://141.218.60.56/~jnz1568/getInfo.php?workbook=16_08.xlsx&amp;sheet=U0&amp;row=215&amp;col=7&amp;number=0.00819&amp;sourceID=14","0.00819")</f>
        <v>0.00819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HYPERLINK("http://141.218.60.56/~jnz1568/getInfo.php?workbook=16_08.xlsx&amp;sheet=U0&amp;row=216&amp;col=6&amp;number=4.2&amp;sourceID=14","4.2")</f>
        <v>4.2</v>
      </c>
      <c r="G216" s="4" t="str">
        <f>HYPERLINK("http://141.218.60.56/~jnz1568/getInfo.php?workbook=16_08.xlsx&amp;sheet=U0&amp;row=216&amp;col=7&amp;number=0.00822&amp;sourceID=14","0.00822")</f>
        <v>0.00822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HYPERLINK("http://141.218.60.56/~jnz1568/getInfo.php?workbook=16_08.xlsx&amp;sheet=U0&amp;row=217&amp;col=6&amp;number=4.3&amp;sourceID=14","4.3")</f>
        <v>4.3</v>
      </c>
      <c r="G217" s="4" t="str">
        <f>HYPERLINK("http://141.218.60.56/~jnz1568/getInfo.php?workbook=16_08.xlsx&amp;sheet=U0&amp;row=217&amp;col=7&amp;number=0.00826&amp;sourceID=14","0.00826")</f>
        <v>0.00826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HYPERLINK("http://141.218.60.56/~jnz1568/getInfo.php?workbook=16_08.xlsx&amp;sheet=U0&amp;row=218&amp;col=6&amp;number=4.4&amp;sourceID=14","4.4")</f>
        <v>4.4</v>
      </c>
      <c r="G218" s="4" t="str">
        <f>HYPERLINK("http://141.218.60.56/~jnz1568/getInfo.php?workbook=16_08.xlsx&amp;sheet=U0&amp;row=218&amp;col=7&amp;number=0.00831&amp;sourceID=14","0.00831")</f>
        <v>0.00831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HYPERLINK("http://141.218.60.56/~jnz1568/getInfo.php?workbook=16_08.xlsx&amp;sheet=U0&amp;row=219&amp;col=6&amp;number=4.5&amp;sourceID=14","4.5")</f>
        <v>4.5</v>
      </c>
      <c r="G219" s="4" t="str">
        <f>HYPERLINK("http://141.218.60.56/~jnz1568/getInfo.php?workbook=16_08.xlsx&amp;sheet=U0&amp;row=219&amp;col=7&amp;number=0.00838&amp;sourceID=14","0.00838")</f>
        <v>0.00838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HYPERLINK("http://141.218.60.56/~jnz1568/getInfo.php?workbook=16_08.xlsx&amp;sheet=U0&amp;row=220&amp;col=6&amp;number=4.6&amp;sourceID=14","4.6")</f>
        <v>4.6</v>
      </c>
      <c r="G220" s="4" t="str">
        <f>HYPERLINK("http://141.218.60.56/~jnz1568/getInfo.php?workbook=16_08.xlsx&amp;sheet=U0&amp;row=220&amp;col=7&amp;number=0.00846&amp;sourceID=14","0.00846")</f>
        <v>0.00846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HYPERLINK("http://141.218.60.56/~jnz1568/getInfo.php?workbook=16_08.xlsx&amp;sheet=U0&amp;row=221&amp;col=6&amp;number=4.7&amp;sourceID=14","4.7")</f>
        <v>4.7</v>
      </c>
      <c r="G221" s="4" t="str">
        <f>HYPERLINK("http://141.218.60.56/~jnz1568/getInfo.php?workbook=16_08.xlsx&amp;sheet=U0&amp;row=221&amp;col=7&amp;number=0.00856&amp;sourceID=14","0.00856")</f>
        <v>0.00856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HYPERLINK("http://141.218.60.56/~jnz1568/getInfo.php?workbook=16_08.xlsx&amp;sheet=U0&amp;row=222&amp;col=6&amp;number=4.8&amp;sourceID=14","4.8")</f>
        <v>4.8</v>
      </c>
      <c r="G222" s="4" t="str">
        <f>HYPERLINK("http://141.218.60.56/~jnz1568/getInfo.php?workbook=16_08.xlsx&amp;sheet=U0&amp;row=222&amp;col=7&amp;number=0.00869&amp;sourceID=14","0.00869")</f>
        <v>0.00869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HYPERLINK("http://141.218.60.56/~jnz1568/getInfo.php?workbook=16_08.xlsx&amp;sheet=U0&amp;row=223&amp;col=6&amp;number=4.9&amp;sourceID=14","4.9")</f>
        <v>4.9</v>
      </c>
      <c r="G223" s="4" t="str">
        <f>HYPERLINK("http://141.218.60.56/~jnz1568/getInfo.php?workbook=16_08.xlsx&amp;sheet=U0&amp;row=223&amp;col=7&amp;number=0.00884&amp;sourceID=14","0.00884")</f>
        <v>0.00884</v>
      </c>
    </row>
    <row r="224" spans="1:7">
      <c r="A224" s="3">
        <v>16</v>
      </c>
      <c r="B224" s="3">
        <v>8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HYPERLINK("http://141.218.60.56/~jnz1568/getInfo.php?workbook=16_08.xlsx&amp;sheet=U0&amp;row=224&amp;col=6&amp;number=3&amp;sourceID=14","3")</f>
        <v>3</v>
      </c>
      <c r="G224" s="4" t="str">
        <f>HYPERLINK("http://141.218.60.56/~jnz1568/getInfo.php?workbook=16_08.xlsx&amp;sheet=U0&amp;row=224&amp;col=7&amp;number=0.00157&amp;sourceID=14","0.00157")</f>
        <v>0.00157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HYPERLINK("http://141.218.60.56/~jnz1568/getInfo.php?workbook=16_08.xlsx&amp;sheet=U0&amp;row=225&amp;col=6&amp;number=3.1&amp;sourceID=14","3.1")</f>
        <v>3.1</v>
      </c>
      <c r="G225" s="4" t="str">
        <f>HYPERLINK("http://141.218.60.56/~jnz1568/getInfo.php?workbook=16_08.xlsx&amp;sheet=U0&amp;row=225&amp;col=7&amp;number=0.00157&amp;sourceID=14","0.00157")</f>
        <v>0.00157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HYPERLINK("http://141.218.60.56/~jnz1568/getInfo.php?workbook=16_08.xlsx&amp;sheet=U0&amp;row=226&amp;col=6&amp;number=3.2&amp;sourceID=14","3.2")</f>
        <v>3.2</v>
      </c>
      <c r="G226" s="4" t="str">
        <f>HYPERLINK("http://141.218.60.56/~jnz1568/getInfo.php?workbook=16_08.xlsx&amp;sheet=U0&amp;row=226&amp;col=7&amp;number=0.00157&amp;sourceID=14","0.00157")</f>
        <v>0.00157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HYPERLINK("http://141.218.60.56/~jnz1568/getInfo.php?workbook=16_08.xlsx&amp;sheet=U0&amp;row=227&amp;col=6&amp;number=3.3&amp;sourceID=14","3.3")</f>
        <v>3.3</v>
      </c>
      <c r="G227" s="4" t="str">
        <f>HYPERLINK("http://141.218.60.56/~jnz1568/getInfo.php?workbook=16_08.xlsx&amp;sheet=U0&amp;row=227&amp;col=7&amp;number=0.00157&amp;sourceID=14","0.00157")</f>
        <v>0.00157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HYPERLINK("http://141.218.60.56/~jnz1568/getInfo.php?workbook=16_08.xlsx&amp;sheet=U0&amp;row=228&amp;col=6&amp;number=3.4&amp;sourceID=14","3.4")</f>
        <v>3.4</v>
      </c>
      <c r="G228" s="4" t="str">
        <f>HYPERLINK("http://141.218.60.56/~jnz1568/getInfo.php?workbook=16_08.xlsx&amp;sheet=U0&amp;row=228&amp;col=7&amp;number=0.00157&amp;sourceID=14","0.00157")</f>
        <v>0.00157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HYPERLINK("http://141.218.60.56/~jnz1568/getInfo.php?workbook=16_08.xlsx&amp;sheet=U0&amp;row=229&amp;col=6&amp;number=3.5&amp;sourceID=14","3.5")</f>
        <v>3.5</v>
      </c>
      <c r="G229" s="4" t="str">
        <f>HYPERLINK("http://141.218.60.56/~jnz1568/getInfo.php?workbook=16_08.xlsx&amp;sheet=U0&amp;row=229&amp;col=7&amp;number=0.00157&amp;sourceID=14","0.00157")</f>
        <v>0.00157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HYPERLINK("http://141.218.60.56/~jnz1568/getInfo.php?workbook=16_08.xlsx&amp;sheet=U0&amp;row=230&amp;col=6&amp;number=3.6&amp;sourceID=14","3.6")</f>
        <v>3.6</v>
      </c>
      <c r="G230" s="4" t="str">
        <f>HYPERLINK("http://141.218.60.56/~jnz1568/getInfo.php?workbook=16_08.xlsx&amp;sheet=U0&amp;row=230&amp;col=7&amp;number=0.00157&amp;sourceID=14","0.00157")</f>
        <v>0.00157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HYPERLINK("http://141.218.60.56/~jnz1568/getInfo.php?workbook=16_08.xlsx&amp;sheet=U0&amp;row=231&amp;col=6&amp;number=3.7&amp;sourceID=14","3.7")</f>
        <v>3.7</v>
      </c>
      <c r="G231" s="4" t="str">
        <f>HYPERLINK("http://141.218.60.56/~jnz1568/getInfo.php?workbook=16_08.xlsx&amp;sheet=U0&amp;row=231&amp;col=7&amp;number=0.00157&amp;sourceID=14","0.00157")</f>
        <v>0.00157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HYPERLINK("http://141.218.60.56/~jnz1568/getInfo.php?workbook=16_08.xlsx&amp;sheet=U0&amp;row=232&amp;col=6&amp;number=3.8&amp;sourceID=14","3.8")</f>
        <v>3.8</v>
      </c>
      <c r="G232" s="4" t="str">
        <f>HYPERLINK("http://141.218.60.56/~jnz1568/getInfo.php?workbook=16_08.xlsx&amp;sheet=U0&amp;row=232&amp;col=7&amp;number=0.00157&amp;sourceID=14","0.00157")</f>
        <v>0.00157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HYPERLINK("http://141.218.60.56/~jnz1568/getInfo.php?workbook=16_08.xlsx&amp;sheet=U0&amp;row=233&amp;col=6&amp;number=3.9&amp;sourceID=14","3.9")</f>
        <v>3.9</v>
      </c>
      <c r="G233" s="4" t="str">
        <f>HYPERLINK("http://141.218.60.56/~jnz1568/getInfo.php?workbook=16_08.xlsx&amp;sheet=U0&amp;row=233&amp;col=7&amp;number=0.00157&amp;sourceID=14","0.00157")</f>
        <v>0.00157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HYPERLINK("http://141.218.60.56/~jnz1568/getInfo.php?workbook=16_08.xlsx&amp;sheet=U0&amp;row=234&amp;col=6&amp;number=4&amp;sourceID=14","4")</f>
        <v>4</v>
      </c>
      <c r="G234" s="4" t="str">
        <f>HYPERLINK("http://141.218.60.56/~jnz1568/getInfo.php?workbook=16_08.xlsx&amp;sheet=U0&amp;row=234&amp;col=7&amp;number=0.00156&amp;sourceID=14","0.00156")</f>
        <v>0.00156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HYPERLINK("http://141.218.60.56/~jnz1568/getInfo.php?workbook=16_08.xlsx&amp;sheet=U0&amp;row=235&amp;col=6&amp;number=4.1&amp;sourceID=14","4.1")</f>
        <v>4.1</v>
      </c>
      <c r="G235" s="4" t="str">
        <f>HYPERLINK("http://141.218.60.56/~jnz1568/getInfo.php?workbook=16_08.xlsx&amp;sheet=U0&amp;row=235&amp;col=7&amp;number=0.00156&amp;sourceID=14","0.00156")</f>
        <v>0.00156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HYPERLINK("http://141.218.60.56/~jnz1568/getInfo.php?workbook=16_08.xlsx&amp;sheet=U0&amp;row=236&amp;col=6&amp;number=4.2&amp;sourceID=14","4.2")</f>
        <v>4.2</v>
      </c>
      <c r="G236" s="4" t="str">
        <f>HYPERLINK("http://141.218.60.56/~jnz1568/getInfo.php?workbook=16_08.xlsx&amp;sheet=U0&amp;row=236&amp;col=7&amp;number=0.00156&amp;sourceID=14","0.00156")</f>
        <v>0.00156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HYPERLINK("http://141.218.60.56/~jnz1568/getInfo.php?workbook=16_08.xlsx&amp;sheet=U0&amp;row=237&amp;col=6&amp;number=4.3&amp;sourceID=14","4.3")</f>
        <v>4.3</v>
      </c>
      <c r="G237" s="4" t="str">
        <f>HYPERLINK("http://141.218.60.56/~jnz1568/getInfo.php?workbook=16_08.xlsx&amp;sheet=U0&amp;row=237&amp;col=7&amp;number=0.00156&amp;sourceID=14","0.00156")</f>
        <v>0.00156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HYPERLINK("http://141.218.60.56/~jnz1568/getInfo.php?workbook=16_08.xlsx&amp;sheet=U0&amp;row=238&amp;col=6&amp;number=4.4&amp;sourceID=14","4.4")</f>
        <v>4.4</v>
      </c>
      <c r="G238" s="4" t="str">
        <f>HYPERLINK("http://141.218.60.56/~jnz1568/getInfo.php?workbook=16_08.xlsx&amp;sheet=U0&amp;row=238&amp;col=7&amp;number=0.00156&amp;sourceID=14","0.00156")</f>
        <v>0.00156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HYPERLINK("http://141.218.60.56/~jnz1568/getInfo.php?workbook=16_08.xlsx&amp;sheet=U0&amp;row=239&amp;col=6&amp;number=4.5&amp;sourceID=14","4.5")</f>
        <v>4.5</v>
      </c>
      <c r="G239" s="4" t="str">
        <f>HYPERLINK("http://141.218.60.56/~jnz1568/getInfo.php?workbook=16_08.xlsx&amp;sheet=U0&amp;row=239&amp;col=7&amp;number=0.00156&amp;sourceID=14","0.00156")</f>
        <v>0.00156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HYPERLINK("http://141.218.60.56/~jnz1568/getInfo.php?workbook=16_08.xlsx&amp;sheet=U0&amp;row=240&amp;col=6&amp;number=4.6&amp;sourceID=14","4.6")</f>
        <v>4.6</v>
      </c>
      <c r="G240" s="4" t="str">
        <f>HYPERLINK("http://141.218.60.56/~jnz1568/getInfo.php?workbook=16_08.xlsx&amp;sheet=U0&amp;row=240&amp;col=7&amp;number=0.00156&amp;sourceID=14","0.00156")</f>
        <v>0.00156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HYPERLINK("http://141.218.60.56/~jnz1568/getInfo.php?workbook=16_08.xlsx&amp;sheet=U0&amp;row=241&amp;col=6&amp;number=4.7&amp;sourceID=14","4.7")</f>
        <v>4.7</v>
      </c>
      <c r="G241" s="4" t="str">
        <f>HYPERLINK("http://141.218.60.56/~jnz1568/getInfo.php?workbook=16_08.xlsx&amp;sheet=U0&amp;row=241&amp;col=7&amp;number=0.00156&amp;sourceID=14","0.00156")</f>
        <v>0.00156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HYPERLINK("http://141.218.60.56/~jnz1568/getInfo.php?workbook=16_08.xlsx&amp;sheet=U0&amp;row=242&amp;col=6&amp;number=4.8&amp;sourceID=14","4.8")</f>
        <v>4.8</v>
      </c>
      <c r="G242" s="4" t="str">
        <f>HYPERLINK("http://141.218.60.56/~jnz1568/getInfo.php?workbook=16_08.xlsx&amp;sheet=U0&amp;row=242&amp;col=7&amp;number=0.00156&amp;sourceID=14","0.00156")</f>
        <v>0.00156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HYPERLINK("http://141.218.60.56/~jnz1568/getInfo.php?workbook=16_08.xlsx&amp;sheet=U0&amp;row=243&amp;col=6&amp;number=4.9&amp;sourceID=14","4.9")</f>
        <v>4.9</v>
      </c>
      <c r="G243" s="4" t="str">
        <f>HYPERLINK("http://141.218.60.56/~jnz1568/getInfo.php?workbook=16_08.xlsx&amp;sheet=U0&amp;row=243&amp;col=7&amp;number=0.00156&amp;sourceID=14","0.00156")</f>
        <v>0.00156</v>
      </c>
    </row>
    <row r="244" spans="1:7">
      <c r="A244" s="3">
        <v>16</v>
      </c>
      <c r="B244" s="3">
        <v>8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HYPERLINK("http://141.218.60.56/~jnz1568/getInfo.php?workbook=16_08.xlsx&amp;sheet=U0&amp;row=244&amp;col=6&amp;number=3&amp;sourceID=14","3")</f>
        <v>3</v>
      </c>
      <c r="G244" s="4" t="str">
        <f>HYPERLINK("http://141.218.60.56/~jnz1568/getInfo.php?workbook=16_08.xlsx&amp;sheet=U0&amp;row=244&amp;col=7&amp;number=0.00472&amp;sourceID=14","0.00472")</f>
        <v>0.00472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HYPERLINK("http://141.218.60.56/~jnz1568/getInfo.php?workbook=16_08.xlsx&amp;sheet=U0&amp;row=245&amp;col=6&amp;number=3.1&amp;sourceID=14","3.1")</f>
        <v>3.1</v>
      </c>
      <c r="G245" s="4" t="str">
        <f>HYPERLINK("http://141.218.60.56/~jnz1568/getInfo.php?workbook=16_08.xlsx&amp;sheet=U0&amp;row=245&amp;col=7&amp;number=0.00472&amp;sourceID=14","0.00472")</f>
        <v>0.00472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HYPERLINK("http://141.218.60.56/~jnz1568/getInfo.php?workbook=16_08.xlsx&amp;sheet=U0&amp;row=246&amp;col=6&amp;number=3.2&amp;sourceID=14","3.2")</f>
        <v>3.2</v>
      </c>
      <c r="G246" s="4" t="str">
        <f>HYPERLINK("http://141.218.60.56/~jnz1568/getInfo.php?workbook=16_08.xlsx&amp;sheet=U0&amp;row=246&amp;col=7&amp;number=0.00472&amp;sourceID=14","0.00472")</f>
        <v>0.00472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HYPERLINK("http://141.218.60.56/~jnz1568/getInfo.php?workbook=16_08.xlsx&amp;sheet=U0&amp;row=247&amp;col=6&amp;number=3.3&amp;sourceID=14","3.3")</f>
        <v>3.3</v>
      </c>
      <c r="G247" s="4" t="str">
        <f>HYPERLINK("http://141.218.60.56/~jnz1568/getInfo.php?workbook=16_08.xlsx&amp;sheet=U0&amp;row=247&amp;col=7&amp;number=0.00472&amp;sourceID=14","0.00472")</f>
        <v>0.00472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HYPERLINK("http://141.218.60.56/~jnz1568/getInfo.php?workbook=16_08.xlsx&amp;sheet=U0&amp;row=248&amp;col=6&amp;number=3.4&amp;sourceID=14","3.4")</f>
        <v>3.4</v>
      </c>
      <c r="G248" s="4" t="str">
        <f>HYPERLINK("http://141.218.60.56/~jnz1568/getInfo.php?workbook=16_08.xlsx&amp;sheet=U0&amp;row=248&amp;col=7&amp;number=0.00472&amp;sourceID=14","0.00472")</f>
        <v>0.00472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HYPERLINK("http://141.218.60.56/~jnz1568/getInfo.php?workbook=16_08.xlsx&amp;sheet=U0&amp;row=249&amp;col=6&amp;number=3.5&amp;sourceID=14","3.5")</f>
        <v>3.5</v>
      </c>
      <c r="G249" s="4" t="str">
        <f>HYPERLINK("http://141.218.60.56/~jnz1568/getInfo.php?workbook=16_08.xlsx&amp;sheet=U0&amp;row=249&amp;col=7&amp;number=0.00473&amp;sourceID=14","0.00473")</f>
        <v>0.00473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HYPERLINK("http://141.218.60.56/~jnz1568/getInfo.php?workbook=16_08.xlsx&amp;sheet=U0&amp;row=250&amp;col=6&amp;number=3.6&amp;sourceID=14","3.6")</f>
        <v>3.6</v>
      </c>
      <c r="G250" s="4" t="str">
        <f>HYPERLINK("http://141.218.60.56/~jnz1568/getInfo.php?workbook=16_08.xlsx&amp;sheet=U0&amp;row=250&amp;col=7&amp;number=0.00473&amp;sourceID=14","0.00473")</f>
        <v>0.00473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HYPERLINK("http://141.218.60.56/~jnz1568/getInfo.php?workbook=16_08.xlsx&amp;sheet=U0&amp;row=251&amp;col=6&amp;number=3.7&amp;sourceID=14","3.7")</f>
        <v>3.7</v>
      </c>
      <c r="G251" s="4" t="str">
        <f>HYPERLINK("http://141.218.60.56/~jnz1568/getInfo.php?workbook=16_08.xlsx&amp;sheet=U0&amp;row=251&amp;col=7&amp;number=0.00473&amp;sourceID=14","0.00473")</f>
        <v>0.00473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HYPERLINK("http://141.218.60.56/~jnz1568/getInfo.php?workbook=16_08.xlsx&amp;sheet=U0&amp;row=252&amp;col=6&amp;number=3.8&amp;sourceID=14","3.8")</f>
        <v>3.8</v>
      </c>
      <c r="G252" s="4" t="str">
        <f>HYPERLINK("http://141.218.60.56/~jnz1568/getInfo.php?workbook=16_08.xlsx&amp;sheet=U0&amp;row=252&amp;col=7&amp;number=0.00473&amp;sourceID=14","0.00473")</f>
        <v>0.00473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HYPERLINK("http://141.218.60.56/~jnz1568/getInfo.php?workbook=16_08.xlsx&amp;sheet=U0&amp;row=253&amp;col=6&amp;number=3.9&amp;sourceID=14","3.9")</f>
        <v>3.9</v>
      </c>
      <c r="G253" s="4" t="str">
        <f>HYPERLINK("http://141.218.60.56/~jnz1568/getInfo.php?workbook=16_08.xlsx&amp;sheet=U0&amp;row=253&amp;col=7&amp;number=0.00473&amp;sourceID=14","0.00473")</f>
        <v>0.00473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HYPERLINK("http://141.218.60.56/~jnz1568/getInfo.php?workbook=16_08.xlsx&amp;sheet=U0&amp;row=254&amp;col=6&amp;number=4&amp;sourceID=14","4")</f>
        <v>4</v>
      </c>
      <c r="G254" s="4" t="str">
        <f>HYPERLINK("http://141.218.60.56/~jnz1568/getInfo.php?workbook=16_08.xlsx&amp;sheet=U0&amp;row=254&amp;col=7&amp;number=0.00474&amp;sourceID=14","0.00474")</f>
        <v>0.00474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HYPERLINK("http://141.218.60.56/~jnz1568/getInfo.php?workbook=16_08.xlsx&amp;sheet=U0&amp;row=255&amp;col=6&amp;number=4.1&amp;sourceID=14","4.1")</f>
        <v>4.1</v>
      </c>
      <c r="G255" s="4" t="str">
        <f>HYPERLINK("http://141.218.60.56/~jnz1568/getInfo.php?workbook=16_08.xlsx&amp;sheet=U0&amp;row=255&amp;col=7&amp;number=0.00474&amp;sourceID=14","0.00474")</f>
        <v>0.00474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HYPERLINK("http://141.218.60.56/~jnz1568/getInfo.php?workbook=16_08.xlsx&amp;sheet=U0&amp;row=256&amp;col=6&amp;number=4.2&amp;sourceID=14","4.2")</f>
        <v>4.2</v>
      </c>
      <c r="G256" s="4" t="str">
        <f>HYPERLINK("http://141.218.60.56/~jnz1568/getInfo.php?workbook=16_08.xlsx&amp;sheet=U0&amp;row=256&amp;col=7&amp;number=0.00475&amp;sourceID=14","0.00475")</f>
        <v>0.00475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HYPERLINK("http://141.218.60.56/~jnz1568/getInfo.php?workbook=16_08.xlsx&amp;sheet=U0&amp;row=257&amp;col=6&amp;number=4.3&amp;sourceID=14","4.3")</f>
        <v>4.3</v>
      </c>
      <c r="G257" s="4" t="str">
        <f>HYPERLINK("http://141.218.60.56/~jnz1568/getInfo.php?workbook=16_08.xlsx&amp;sheet=U0&amp;row=257&amp;col=7&amp;number=0.00476&amp;sourceID=14","0.00476")</f>
        <v>0.00476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HYPERLINK("http://141.218.60.56/~jnz1568/getInfo.php?workbook=16_08.xlsx&amp;sheet=U0&amp;row=258&amp;col=6&amp;number=4.4&amp;sourceID=14","4.4")</f>
        <v>4.4</v>
      </c>
      <c r="G258" s="4" t="str">
        <f>HYPERLINK("http://141.218.60.56/~jnz1568/getInfo.php?workbook=16_08.xlsx&amp;sheet=U0&amp;row=258&amp;col=7&amp;number=0.00477&amp;sourceID=14","0.00477")</f>
        <v>0.00477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HYPERLINK("http://141.218.60.56/~jnz1568/getInfo.php?workbook=16_08.xlsx&amp;sheet=U0&amp;row=259&amp;col=6&amp;number=4.5&amp;sourceID=14","4.5")</f>
        <v>4.5</v>
      </c>
      <c r="G259" s="4" t="str">
        <f>HYPERLINK("http://141.218.60.56/~jnz1568/getInfo.php?workbook=16_08.xlsx&amp;sheet=U0&amp;row=259&amp;col=7&amp;number=0.00478&amp;sourceID=14","0.00478")</f>
        <v>0.00478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HYPERLINK("http://141.218.60.56/~jnz1568/getInfo.php?workbook=16_08.xlsx&amp;sheet=U0&amp;row=260&amp;col=6&amp;number=4.6&amp;sourceID=14","4.6")</f>
        <v>4.6</v>
      </c>
      <c r="G260" s="4" t="str">
        <f>HYPERLINK("http://141.218.60.56/~jnz1568/getInfo.php?workbook=16_08.xlsx&amp;sheet=U0&amp;row=260&amp;col=7&amp;number=0.0048&amp;sourceID=14","0.0048")</f>
        <v>0.0048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HYPERLINK("http://141.218.60.56/~jnz1568/getInfo.php?workbook=16_08.xlsx&amp;sheet=U0&amp;row=261&amp;col=6&amp;number=4.7&amp;sourceID=14","4.7")</f>
        <v>4.7</v>
      </c>
      <c r="G261" s="4" t="str">
        <f>HYPERLINK("http://141.218.60.56/~jnz1568/getInfo.php?workbook=16_08.xlsx&amp;sheet=U0&amp;row=261&amp;col=7&amp;number=0.00482&amp;sourceID=14","0.00482")</f>
        <v>0.00482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HYPERLINK("http://141.218.60.56/~jnz1568/getInfo.php?workbook=16_08.xlsx&amp;sheet=U0&amp;row=262&amp;col=6&amp;number=4.8&amp;sourceID=14","4.8")</f>
        <v>4.8</v>
      </c>
      <c r="G262" s="4" t="str">
        <f>HYPERLINK("http://141.218.60.56/~jnz1568/getInfo.php?workbook=16_08.xlsx&amp;sheet=U0&amp;row=262&amp;col=7&amp;number=0.00485&amp;sourceID=14","0.00485")</f>
        <v>0.00485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HYPERLINK("http://141.218.60.56/~jnz1568/getInfo.php?workbook=16_08.xlsx&amp;sheet=U0&amp;row=263&amp;col=6&amp;number=4.9&amp;sourceID=14","4.9")</f>
        <v>4.9</v>
      </c>
      <c r="G263" s="4" t="str">
        <f>HYPERLINK("http://141.218.60.56/~jnz1568/getInfo.php?workbook=16_08.xlsx&amp;sheet=U0&amp;row=263&amp;col=7&amp;number=0.00488&amp;sourceID=14","0.00488")</f>
        <v>0.00488</v>
      </c>
    </row>
    <row r="264" spans="1:7">
      <c r="A264" s="3">
        <v>16</v>
      </c>
      <c r="B264" s="3">
        <v>8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HYPERLINK("http://141.218.60.56/~jnz1568/getInfo.php?workbook=16_08.xlsx&amp;sheet=U0&amp;row=264&amp;col=6&amp;number=3&amp;sourceID=14","3")</f>
        <v>3</v>
      </c>
      <c r="G264" s="4" t="str">
        <f>HYPERLINK("http://141.218.60.56/~jnz1568/getInfo.php?workbook=16_08.xlsx&amp;sheet=U0&amp;row=264&amp;col=7&amp;number=0.0121&amp;sourceID=14","0.0121")</f>
        <v>0.0121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HYPERLINK("http://141.218.60.56/~jnz1568/getInfo.php?workbook=16_08.xlsx&amp;sheet=U0&amp;row=265&amp;col=6&amp;number=3.1&amp;sourceID=14","3.1")</f>
        <v>3.1</v>
      </c>
      <c r="G265" s="4" t="str">
        <f>HYPERLINK("http://141.218.60.56/~jnz1568/getInfo.php?workbook=16_08.xlsx&amp;sheet=U0&amp;row=265&amp;col=7&amp;number=0.0122&amp;sourceID=14","0.0122")</f>
        <v>0.0122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HYPERLINK("http://141.218.60.56/~jnz1568/getInfo.php?workbook=16_08.xlsx&amp;sheet=U0&amp;row=266&amp;col=6&amp;number=3.2&amp;sourceID=14","3.2")</f>
        <v>3.2</v>
      </c>
      <c r="G266" s="4" t="str">
        <f>HYPERLINK("http://141.218.60.56/~jnz1568/getInfo.php?workbook=16_08.xlsx&amp;sheet=U0&amp;row=266&amp;col=7&amp;number=0.0122&amp;sourceID=14","0.0122")</f>
        <v>0.0122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HYPERLINK("http://141.218.60.56/~jnz1568/getInfo.php?workbook=16_08.xlsx&amp;sheet=U0&amp;row=267&amp;col=6&amp;number=3.3&amp;sourceID=14","3.3")</f>
        <v>3.3</v>
      </c>
      <c r="G267" s="4" t="str">
        <f>HYPERLINK("http://141.218.60.56/~jnz1568/getInfo.php?workbook=16_08.xlsx&amp;sheet=U0&amp;row=267&amp;col=7&amp;number=0.0122&amp;sourceID=14","0.0122")</f>
        <v>0.0122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HYPERLINK("http://141.218.60.56/~jnz1568/getInfo.php?workbook=16_08.xlsx&amp;sheet=U0&amp;row=268&amp;col=6&amp;number=3.4&amp;sourceID=14","3.4")</f>
        <v>3.4</v>
      </c>
      <c r="G268" s="4" t="str">
        <f>HYPERLINK("http://141.218.60.56/~jnz1568/getInfo.php?workbook=16_08.xlsx&amp;sheet=U0&amp;row=268&amp;col=7&amp;number=0.0122&amp;sourceID=14","0.0122")</f>
        <v>0.0122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HYPERLINK("http://141.218.60.56/~jnz1568/getInfo.php?workbook=16_08.xlsx&amp;sheet=U0&amp;row=269&amp;col=6&amp;number=3.5&amp;sourceID=14","3.5")</f>
        <v>3.5</v>
      </c>
      <c r="G269" s="4" t="str">
        <f>HYPERLINK("http://141.218.60.56/~jnz1568/getInfo.php?workbook=16_08.xlsx&amp;sheet=U0&amp;row=269&amp;col=7&amp;number=0.0122&amp;sourceID=14","0.0122")</f>
        <v>0.0122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HYPERLINK("http://141.218.60.56/~jnz1568/getInfo.php?workbook=16_08.xlsx&amp;sheet=U0&amp;row=270&amp;col=6&amp;number=3.6&amp;sourceID=14","3.6")</f>
        <v>3.6</v>
      </c>
      <c r="G270" s="4" t="str">
        <f>HYPERLINK("http://141.218.60.56/~jnz1568/getInfo.php?workbook=16_08.xlsx&amp;sheet=U0&amp;row=270&amp;col=7&amp;number=0.0122&amp;sourceID=14","0.0122")</f>
        <v>0.0122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HYPERLINK("http://141.218.60.56/~jnz1568/getInfo.php?workbook=16_08.xlsx&amp;sheet=U0&amp;row=271&amp;col=6&amp;number=3.7&amp;sourceID=14","3.7")</f>
        <v>3.7</v>
      </c>
      <c r="G271" s="4" t="str">
        <f>HYPERLINK("http://141.218.60.56/~jnz1568/getInfo.php?workbook=16_08.xlsx&amp;sheet=U0&amp;row=271&amp;col=7&amp;number=0.0122&amp;sourceID=14","0.0122")</f>
        <v>0.0122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HYPERLINK("http://141.218.60.56/~jnz1568/getInfo.php?workbook=16_08.xlsx&amp;sheet=U0&amp;row=272&amp;col=6&amp;number=3.8&amp;sourceID=14","3.8")</f>
        <v>3.8</v>
      </c>
      <c r="G272" s="4" t="str">
        <f>HYPERLINK("http://141.218.60.56/~jnz1568/getInfo.php?workbook=16_08.xlsx&amp;sheet=U0&amp;row=272&amp;col=7&amp;number=0.0122&amp;sourceID=14","0.0122")</f>
        <v>0.0122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HYPERLINK("http://141.218.60.56/~jnz1568/getInfo.php?workbook=16_08.xlsx&amp;sheet=U0&amp;row=273&amp;col=6&amp;number=3.9&amp;sourceID=14","3.9")</f>
        <v>3.9</v>
      </c>
      <c r="G273" s="4" t="str">
        <f>HYPERLINK("http://141.218.60.56/~jnz1568/getInfo.php?workbook=16_08.xlsx&amp;sheet=U0&amp;row=273&amp;col=7&amp;number=0.0122&amp;sourceID=14","0.0122")</f>
        <v>0.0122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HYPERLINK("http://141.218.60.56/~jnz1568/getInfo.php?workbook=16_08.xlsx&amp;sheet=U0&amp;row=274&amp;col=6&amp;number=4&amp;sourceID=14","4")</f>
        <v>4</v>
      </c>
      <c r="G274" s="4" t="str">
        <f>HYPERLINK("http://141.218.60.56/~jnz1568/getInfo.php?workbook=16_08.xlsx&amp;sheet=U0&amp;row=274&amp;col=7&amp;number=0.0122&amp;sourceID=14","0.0122")</f>
        <v>0.0122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HYPERLINK("http://141.218.60.56/~jnz1568/getInfo.php?workbook=16_08.xlsx&amp;sheet=U0&amp;row=275&amp;col=6&amp;number=4.1&amp;sourceID=14","4.1")</f>
        <v>4.1</v>
      </c>
      <c r="G275" s="4" t="str">
        <f>HYPERLINK("http://141.218.60.56/~jnz1568/getInfo.php?workbook=16_08.xlsx&amp;sheet=U0&amp;row=275&amp;col=7&amp;number=0.0123&amp;sourceID=14","0.0123")</f>
        <v>0.0123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HYPERLINK("http://141.218.60.56/~jnz1568/getInfo.php?workbook=16_08.xlsx&amp;sheet=U0&amp;row=276&amp;col=6&amp;number=4.2&amp;sourceID=14","4.2")</f>
        <v>4.2</v>
      </c>
      <c r="G276" s="4" t="str">
        <f>HYPERLINK("http://141.218.60.56/~jnz1568/getInfo.php?workbook=16_08.xlsx&amp;sheet=U0&amp;row=276&amp;col=7&amp;number=0.0123&amp;sourceID=14","0.0123")</f>
        <v>0.0123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HYPERLINK("http://141.218.60.56/~jnz1568/getInfo.php?workbook=16_08.xlsx&amp;sheet=U0&amp;row=277&amp;col=6&amp;number=4.3&amp;sourceID=14","4.3")</f>
        <v>4.3</v>
      </c>
      <c r="G277" s="4" t="str">
        <f>HYPERLINK("http://141.218.60.56/~jnz1568/getInfo.php?workbook=16_08.xlsx&amp;sheet=U0&amp;row=277&amp;col=7&amp;number=0.0123&amp;sourceID=14","0.0123")</f>
        <v>0.0123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HYPERLINK("http://141.218.60.56/~jnz1568/getInfo.php?workbook=16_08.xlsx&amp;sheet=U0&amp;row=278&amp;col=6&amp;number=4.4&amp;sourceID=14","4.4")</f>
        <v>4.4</v>
      </c>
      <c r="G278" s="4" t="str">
        <f>HYPERLINK("http://141.218.60.56/~jnz1568/getInfo.php?workbook=16_08.xlsx&amp;sheet=U0&amp;row=278&amp;col=7&amp;number=0.0124&amp;sourceID=14","0.0124")</f>
        <v>0.0124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HYPERLINK("http://141.218.60.56/~jnz1568/getInfo.php?workbook=16_08.xlsx&amp;sheet=U0&amp;row=279&amp;col=6&amp;number=4.5&amp;sourceID=14","4.5")</f>
        <v>4.5</v>
      </c>
      <c r="G279" s="4" t="str">
        <f>HYPERLINK("http://141.218.60.56/~jnz1568/getInfo.php?workbook=16_08.xlsx&amp;sheet=U0&amp;row=279&amp;col=7&amp;number=0.0124&amp;sourceID=14","0.0124")</f>
        <v>0.0124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HYPERLINK("http://141.218.60.56/~jnz1568/getInfo.php?workbook=16_08.xlsx&amp;sheet=U0&amp;row=280&amp;col=6&amp;number=4.6&amp;sourceID=14","4.6")</f>
        <v>4.6</v>
      </c>
      <c r="G280" s="4" t="str">
        <f>HYPERLINK("http://141.218.60.56/~jnz1568/getInfo.php?workbook=16_08.xlsx&amp;sheet=U0&amp;row=280&amp;col=7&amp;number=0.0125&amp;sourceID=14","0.0125")</f>
        <v>0.0125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HYPERLINK("http://141.218.60.56/~jnz1568/getInfo.php?workbook=16_08.xlsx&amp;sheet=U0&amp;row=281&amp;col=6&amp;number=4.7&amp;sourceID=14","4.7")</f>
        <v>4.7</v>
      </c>
      <c r="G281" s="4" t="str">
        <f>HYPERLINK("http://141.218.60.56/~jnz1568/getInfo.php?workbook=16_08.xlsx&amp;sheet=U0&amp;row=281&amp;col=7&amp;number=0.0126&amp;sourceID=14","0.0126")</f>
        <v>0.0126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HYPERLINK("http://141.218.60.56/~jnz1568/getInfo.php?workbook=16_08.xlsx&amp;sheet=U0&amp;row=282&amp;col=6&amp;number=4.8&amp;sourceID=14","4.8")</f>
        <v>4.8</v>
      </c>
      <c r="G282" s="4" t="str">
        <f>HYPERLINK("http://141.218.60.56/~jnz1568/getInfo.php?workbook=16_08.xlsx&amp;sheet=U0&amp;row=282&amp;col=7&amp;number=0.0127&amp;sourceID=14","0.0127")</f>
        <v>0.0127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HYPERLINK("http://141.218.60.56/~jnz1568/getInfo.php?workbook=16_08.xlsx&amp;sheet=U0&amp;row=283&amp;col=6&amp;number=4.9&amp;sourceID=14","4.9")</f>
        <v>4.9</v>
      </c>
      <c r="G283" s="4" t="str">
        <f>HYPERLINK("http://141.218.60.56/~jnz1568/getInfo.php?workbook=16_08.xlsx&amp;sheet=U0&amp;row=283&amp;col=7&amp;number=0.0129&amp;sourceID=14","0.0129")</f>
        <v>0.0129</v>
      </c>
    </row>
    <row r="284" spans="1:7">
      <c r="A284" s="3">
        <v>16</v>
      </c>
      <c r="B284" s="3">
        <v>8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HYPERLINK("http://141.218.60.56/~jnz1568/getInfo.php?workbook=16_08.xlsx&amp;sheet=U0&amp;row=284&amp;col=6&amp;number=3&amp;sourceID=14","3")</f>
        <v>3</v>
      </c>
      <c r="G284" s="4" t="str">
        <f>HYPERLINK("http://141.218.60.56/~jnz1568/getInfo.php?workbook=16_08.xlsx&amp;sheet=U0&amp;row=284&amp;col=7&amp;number=0.00541&amp;sourceID=14","0.00541")</f>
        <v>0.00541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HYPERLINK("http://141.218.60.56/~jnz1568/getInfo.php?workbook=16_08.xlsx&amp;sheet=U0&amp;row=285&amp;col=6&amp;number=3.1&amp;sourceID=14","3.1")</f>
        <v>3.1</v>
      </c>
      <c r="G285" s="4" t="str">
        <f>HYPERLINK("http://141.218.60.56/~jnz1568/getInfo.php?workbook=16_08.xlsx&amp;sheet=U0&amp;row=285&amp;col=7&amp;number=0.00541&amp;sourceID=14","0.00541")</f>
        <v>0.00541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HYPERLINK("http://141.218.60.56/~jnz1568/getInfo.php?workbook=16_08.xlsx&amp;sheet=U0&amp;row=286&amp;col=6&amp;number=3.2&amp;sourceID=14","3.2")</f>
        <v>3.2</v>
      </c>
      <c r="G286" s="4" t="str">
        <f>HYPERLINK("http://141.218.60.56/~jnz1568/getInfo.php?workbook=16_08.xlsx&amp;sheet=U0&amp;row=286&amp;col=7&amp;number=0.00541&amp;sourceID=14","0.00541")</f>
        <v>0.00541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HYPERLINK("http://141.218.60.56/~jnz1568/getInfo.php?workbook=16_08.xlsx&amp;sheet=U0&amp;row=287&amp;col=6&amp;number=3.3&amp;sourceID=14","3.3")</f>
        <v>3.3</v>
      </c>
      <c r="G287" s="4" t="str">
        <f>HYPERLINK("http://141.218.60.56/~jnz1568/getInfo.php?workbook=16_08.xlsx&amp;sheet=U0&amp;row=287&amp;col=7&amp;number=0.00541&amp;sourceID=14","0.00541")</f>
        <v>0.00541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HYPERLINK("http://141.218.60.56/~jnz1568/getInfo.php?workbook=16_08.xlsx&amp;sheet=U0&amp;row=288&amp;col=6&amp;number=3.4&amp;sourceID=14","3.4")</f>
        <v>3.4</v>
      </c>
      <c r="G288" s="4" t="str">
        <f>HYPERLINK("http://141.218.60.56/~jnz1568/getInfo.php?workbook=16_08.xlsx&amp;sheet=U0&amp;row=288&amp;col=7&amp;number=0.00541&amp;sourceID=14","0.00541")</f>
        <v>0.00541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HYPERLINK("http://141.218.60.56/~jnz1568/getInfo.php?workbook=16_08.xlsx&amp;sheet=U0&amp;row=289&amp;col=6&amp;number=3.5&amp;sourceID=14","3.5")</f>
        <v>3.5</v>
      </c>
      <c r="G289" s="4" t="str">
        <f>HYPERLINK("http://141.218.60.56/~jnz1568/getInfo.php?workbook=16_08.xlsx&amp;sheet=U0&amp;row=289&amp;col=7&amp;number=0.00541&amp;sourceID=14","0.00541")</f>
        <v>0.00541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HYPERLINK("http://141.218.60.56/~jnz1568/getInfo.php?workbook=16_08.xlsx&amp;sheet=U0&amp;row=290&amp;col=6&amp;number=3.6&amp;sourceID=14","3.6")</f>
        <v>3.6</v>
      </c>
      <c r="G290" s="4" t="str">
        <f>HYPERLINK("http://141.218.60.56/~jnz1568/getInfo.php?workbook=16_08.xlsx&amp;sheet=U0&amp;row=290&amp;col=7&amp;number=0.00541&amp;sourceID=14","0.00541")</f>
        <v>0.00541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HYPERLINK("http://141.218.60.56/~jnz1568/getInfo.php?workbook=16_08.xlsx&amp;sheet=U0&amp;row=291&amp;col=6&amp;number=3.7&amp;sourceID=14","3.7")</f>
        <v>3.7</v>
      </c>
      <c r="G291" s="4" t="str">
        <f>HYPERLINK("http://141.218.60.56/~jnz1568/getInfo.php?workbook=16_08.xlsx&amp;sheet=U0&amp;row=291&amp;col=7&amp;number=0.00541&amp;sourceID=14","0.00541")</f>
        <v>0.00541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HYPERLINK("http://141.218.60.56/~jnz1568/getInfo.php?workbook=16_08.xlsx&amp;sheet=U0&amp;row=292&amp;col=6&amp;number=3.8&amp;sourceID=14","3.8")</f>
        <v>3.8</v>
      </c>
      <c r="G292" s="4" t="str">
        <f>HYPERLINK("http://141.218.60.56/~jnz1568/getInfo.php?workbook=16_08.xlsx&amp;sheet=U0&amp;row=292&amp;col=7&amp;number=0.00541&amp;sourceID=14","0.00541")</f>
        <v>0.00541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HYPERLINK("http://141.218.60.56/~jnz1568/getInfo.php?workbook=16_08.xlsx&amp;sheet=U0&amp;row=293&amp;col=6&amp;number=3.9&amp;sourceID=14","3.9")</f>
        <v>3.9</v>
      </c>
      <c r="G293" s="4" t="str">
        <f>HYPERLINK("http://141.218.60.56/~jnz1568/getInfo.php?workbook=16_08.xlsx&amp;sheet=U0&amp;row=293&amp;col=7&amp;number=0.00541&amp;sourceID=14","0.00541")</f>
        <v>0.00541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HYPERLINK("http://141.218.60.56/~jnz1568/getInfo.php?workbook=16_08.xlsx&amp;sheet=U0&amp;row=294&amp;col=6&amp;number=4&amp;sourceID=14","4")</f>
        <v>4</v>
      </c>
      <c r="G294" s="4" t="str">
        <f>HYPERLINK("http://141.218.60.56/~jnz1568/getInfo.php?workbook=16_08.xlsx&amp;sheet=U0&amp;row=294&amp;col=7&amp;number=0.00541&amp;sourceID=14","0.00541")</f>
        <v>0.00541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HYPERLINK("http://141.218.60.56/~jnz1568/getInfo.php?workbook=16_08.xlsx&amp;sheet=U0&amp;row=295&amp;col=6&amp;number=4.1&amp;sourceID=14","4.1")</f>
        <v>4.1</v>
      </c>
      <c r="G295" s="4" t="str">
        <f>HYPERLINK("http://141.218.60.56/~jnz1568/getInfo.php?workbook=16_08.xlsx&amp;sheet=U0&amp;row=295&amp;col=7&amp;number=0.00541&amp;sourceID=14","0.00541")</f>
        <v>0.00541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HYPERLINK("http://141.218.60.56/~jnz1568/getInfo.php?workbook=16_08.xlsx&amp;sheet=U0&amp;row=296&amp;col=6&amp;number=4.2&amp;sourceID=14","4.2")</f>
        <v>4.2</v>
      </c>
      <c r="G296" s="4" t="str">
        <f>HYPERLINK("http://141.218.60.56/~jnz1568/getInfo.php?workbook=16_08.xlsx&amp;sheet=U0&amp;row=296&amp;col=7&amp;number=0.0054&amp;sourceID=14","0.0054")</f>
        <v>0.0054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HYPERLINK("http://141.218.60.56/~jnz1568/getInfo.php?workbook=16_08.xlsx&amp;sheet=U0&amp;row=297&amp;col=6&amp;number=4.3&amp;sourceID=14","4.3")</f>
        <v>4.3</v>
      </c>
      <c r="G297" s="4" t="str">
        <f>HYPERLINK("http://141.218.60.56/~jnz1568/getInfo.php?workbook=16_08.xlsx&amp;sheet=U0&amp;row=297&amp;col=7&amp;number=0.0054&amp;sourceID=14","0.0054")</f>
        <v>0.0054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HYPERLINK("http://141.218.60.56/~jnz1568/getInfo.php?workbook=16_08.xlsx&amp;sheet=U0&amp;row=298&amp;col=6&amp;number=4.4&amp;sourceID=14","4.4")</f>
        <v>4.4</v>
      </c>
      <c r="G298" s="4" t="str">
        <f>HYPERLINK("http://141.218.60.56/~jnz1568/getInfo.php?workbook=16_08.xlsx&amp;sheet=U0&amp;row=298&amp;col=7&amp;number=0.0054&amp;sourceID=14","0.0054")</f>
        <v>0.0054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HYPERLINK("http://141.218.60.56/~jnz1568/getInfo.php?workbook=16_08.xlsx&amp;sheet=U0&amp;row=299&amp;col=6&amp;number=4.5&amp;sourceID=14","4.5")</f>
        <v>4.5</v>
      </c>
      <c r="G299" s="4" t="str">
        <f>HYPERLINK("http://141.218.60.56/~jnz1568/getInfo.php?workbook=16_08.xlsx&amp;sheet=U0&amp;row=299&amp;col=7&amp;number=0.00539&amp;sourceID=14","0.00539")</f>
        <v>0.00539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HYPERLINK("http://141.218.60.56/~jnz1568/getInfo.php?workbook=16_08.xlsx&amp;sheet=U0&amp;row=300&amp;col=6&amp;number=4.6&amp;sourceID=14","4.6")</f>
        <v>4.6</v>
      </c>
      <c r="G300" s="4" t="str">
        <f>HYPERLINK("http://141.218.60.56/~jnz1568/getInfo.php?workbook=16_08.xlsx&amp;sheet=U0&amp;row=300&amp;col=7&amp;number=0.00539&amp;sourceID=14","0.00539")</f>
        <v>0.00539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HYPERLINK("http://141.218.60.56/~jnz1568/getInfo.php?workbook=16_08.xlsx&amp;sheet=U0&amp;row=301&amp;col=6&amp;number=4.7&amp;sourceID=14","4.7")</f>
        <v>4.7</v>
      </c>
      <c r="G301" s="4" t="str">
        <f>HYPERLINK("http://141.218.60.56/~jnz1568/getInfo.php?workbook=16_08.xlsx&amp;sheet=U0&amp;row=301&amp;col=7&amp;number=0.00538&amp;sourceID=14","0.00538")</f>
        <v>0.00538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HYPERLINK("http://141.218.60.56/~jnz1568/getInfo.php?workbook=16_08.xlsx&amp;sheet=U0&amp;row=302&amp;col=6&amp;number=4.8&amp;sourceID=14","4.8")</f>
        <v>4.8</v>
      </c>
      <c r="G302" s="4" t="str">
        <f>HYPERLINK("http://141.218.60.56/~jnz1568/getInfo.php?workbook=16_08.xlsx&amp;sheet=U0&amp;row=302&amp;col=7&amp;number=0.00537&amp;sourceID=14","0.00537")</f>
        <v>0.00537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HYPERLINK("http://141.218.60.56/~jnz1568/getInfo.php?workbook=16_08.xlsx&amp;sheet=U0&amp;row=303&amp;col=6&amp;number=4.9&amp;sourceID=14","4.9")</f>
        <v>4.9</v>
      </c>
      <c r="G303" s="4" t="str">
        <f>HYPERLINK("http://141.218.60.56/~jnz1568/getInfo.php?workbook=16_08.xlsx&amp;sheet=U0&amp;row=303&amp;col=7&amp;number=0.00536&amp;sourceID=14","0.00536")</f>
        <v>0.00536</v>
      </c>
    </row>
    <row r="304" spans="1:7">
      <c r="A304" s="3">
        <v>16</v>
      </c>
      <c r="B304" s="3">
        <v>8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HYPERLINK("http://141.218.60.56/~jnz1568/getInfo.php?workbook=16_08.xlsx&amp;sheet=U0&amp;row=304&amp;col=6&amp;number=3&amp;sourceID=14","3")</f>
        <v>3</v>
      </c>
      <c r="G304" s="4" t="str">
        <f>HYPERLINK("http://141.218.60.56/~jnz1568/getInfo.php?workbook=16_08.xlsx&amp;sheet=U0&amp;row=304&amp;col=7&amp;number=0.0141&amp;sourceID=14","0.0141")</f>
        <v>0.0141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HYPERLINK("http://141.218.60.56/~jnz1568/getInfo.php?workbook=16_08.xlsx&amp;sheet=U0&amp;row=305&amp;col=6&amp;number=3.1&amp;sourceID=14","3.1")</f>
        <v>3.1</v>
      </c>
      <c r="G305" s="4" t="str">
        <f>HYPERLINK("http://141.218.60.56/~jnz1568/getInfo.php?workbook=16_08.xlsx&amp;sheet=U0&amp;row=305&amp;col=7&amp;number=0.0141&amp;sourceID=14","0.0141")</f>
        <v>0.0141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HYPERLINK("http://141.218.60.56/~jnz1568/getInfo.php?workbook=16_08.xlsx&amp;sheet=U0&amp;row=306&amp;col=6&amp;number=3.2&amp;sourceID=14","3.2")</f>
        <v>3.2</v>
      </c>
      <c r="G306" s="4" t="str">
        <f>HYPERLINK("http://141.218.60.56/~jnz1568/getInfo.php?workbook=16_08.xlsx&amp;sheet=U0&amp;row=306&amp;col=7&amp;number=0.0141&amp;sourceID=14","0.0141")</f>
        <v>0.0141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HYPERLINK("http://141.218.60.56/~jnz1568/getInfo.php?workbook=16_08.xlsx&amp;sheet=U0&amp;row=307&amp;col=6&amp;number=3.3&amp;sourceID=14","3.3")</f>
        <v>3.3</v>
      </c>
      <c r="G307" s="4" t="str">
        <f>HYPERLINK("http://141.218.60.56/~jnz1568/getInfo.php?workbook=16_08.xlsx&amp;sheet=U0&amp;row=307&amp;col=7&amp;number=0.0141&amp;sourceID=14","0.0141")</f>
        <v>0.0141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HYPERLINK("http://141.218.60.56/~jnz1568/getInfo.php?workbook=16_08.xlsx&amp;sheet=U0&amp;row=308&amp;col=6&amp;number=3.4&amp;sourceID=14","3.4")</f>
        <v>3.4</v>
      </c>
      <c r="G308" s="4" t="str">
        <f>HYPERLINK("http://141.218.60.56/~jnz1568/getInfo.php?workbook=16_08.xlsx&amp;sheet=U0&amp;row=308&amp;col=7&amp;number=0.0141&amp;sourceID=14","0.0141")</f>
        <v>0.0141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HYPERLINK("http://141.218.60.56/~jnz1568/getInfo.php?workbook=16_08.xlsx&amp;sheet=U0&amp;row=309&amp;col=6&amp;number=3.5&amp;sourceID=14","3.5")</f>
        <v>3.5</v>
      </c>
      <c r="G309" s="4" t="str">
        <f>HYPERLINK("http://141.218.60.56/~jnz1568/getInfo.php?workbook=16_08.xlsx&amp;sheet=U0&amp;row=309&amp;col=7&amp;number=0.0141&amp;sourceID=14","0.0141")</f>
        <v>0.0141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HYPERLINK("http://141.218.60.56/~jnz1568/getInfo.php?workbook=16_08.xlsx&amp;sheet=U0&amp;row=310&amp;col=6&amp;number=3.6&amp;sourceID=14","3.6")</f>
        <v>3.6</v>
      </c>
      <c r="G310" s="4" t="str">
        <f>HYPERLINK("http://141.218.60.56/~jnz1568/getInfo.php?workbook=16_08.xlsx&amp;sheet=U0&amp;row=310&amp;col=7&amp;number=0.0141&amp;sourceID=14","0.0141")</f>
        <v>0.0141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HYPERLINK("http://141.218.60.56/~jnz1568/getInfo.php?workbook=16_08.xlsx&amp;sheet=U0&amp;row=311&amp;col=6&amp;number=3.7&amp;sourceID=14","3.7")</f>
        <v>3.7</v>
      </c>
      <c r="G311" s="4" t="str">
        <f>HYPERLINK("http://141.218.60.56/~jnz1568/getInfo.php?workbook=16_08.xlsx&amp;sheet=U0&amp;row=311&amp;col=7&amp;number=0.0141&amp;sourceID=14","0.0141")</f>
        <v>0.0141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HYPERLINK("http://141.218.60.56/~jnz1568/getInfo.php?workbook=16_08.xlsx&amp;sheet=U0&amp;row=312&amp;col=6&amp;number=3.8&amp;sourceID=14","3.8")</f>
        <v>3.8</v>
      </c>
      <c r="G312" s="4" t="str">
        <f>HYPERLINK("http://141.218.60.56/~jnz1568/getInfo.php?workbook=16_08.xlsx&amp;sheet=U0&amp;row=312&amp;col=7&amp;number=0.0141&amp;sourceID=14","0.0141")</f>
        <v>0.0141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HYPERLINK("http://141.218.60.56/~jnz1568/getInfo.php?workbook=16_08.xlsx&amp;sheet=U0&amp;row=313&amp;col=6&amp;number=3.9&amp;sourceID=14","3.9")</f>
        <v>3.9</v>
      </c>
      <c r="G313" s="4" t="str">
        <f>HYPERLINK("http://141.218.60.56/~jnz1568/getInfo.php?workbook=16_08.xlsx&amp;sheet=U0&amp;row=313&amp;col=7&amp;number=0.014&amp;sourceID=14","0.014")</f>
        <v>0.014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HYPERLINK("http://141.218.60.56/~jnz1568/getInfo.php?workbook=16_08.xlsx&amp;sheet=U0&amp;row=314&amp;col=6&amp;number=4&amp;sourceID=14","4")</f>
        <v>4</v>
      </c>
      <c r="G314" s="4" t="str">
        <f>HYPERLINK("http://141.218.60.56/~jnz1568/getInfo.php?workbook=16_08.xlsx&amp;sheet=U0&amp;row=314&amp;col=7&amp;number=0.014&amp;sourceID=14","0.014")</f>
        <v>0.014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HYPERLINK("http://141.218.60.56/~jnz1568/getInfo.php?workbook=16_08.xlsx&amp;sheet=U0&amp;row=315&amp;col=6&amp;number=4.1&amp;sourceID=14","4.1")</f>
        <v>4.1</v>
      </c>
      <c r="G315" s="4" t="str">
        <f>HYPERLINK("http://141.218.60.56/~jnz1568/getInfo.php?workbook=16_08.xlsx&amp;sheet=U0&amp;row=315&amp;col=7&amp;number=0.014&amp;sourceID=14","0.014")</f>
        <v>0.014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HYPERLINK("http://141.218.60.56/~jnz1568/getInfo.php?workbook=16_08.xlsx&amp;sheet=U0&amp;row=316&amp;col=6&amp;number=4.2&amp;sourceID=14","4.2")</f>
        <v>4.2</v>
      </c>
      <c r="G316" s="4" t="str">
        <f>HYPERLINK("http://141.218.60.56/~jnz1568/getInfo.php?workbook=16_08.xlsx&amp;sheet=U0&amp;row=316&amp;col=7&amp;number=0.014&amp;sourceID=14","0.014")</f>
        <v>0.014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HYPERLINK("http://141.218.60.56/~jnz1568/getInfo.php?workbook=16_08.xlsx&amp;sheet=U0&amp;row=317&amp;col=6&amp;number=4.3&amp;sourceID=14","4.3")</f>
        <v>4.3</v>
      </c>
      <c r="G317" s="4" t="str">
        <f>HYPERLINK("http://141.218.60.56/~jnz1568/getInfo.php?workbook=16_08.xlsx&amp;sheet=U0&amp;row=317&amp;col=7&amp;number=0.014&amp;sourceID=14","0.014")</f>
        <v>0.014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HYPERLINK("http://141.218.60.56/~jnz1568/getInfo.php?workbook=16_08.xlsx&amp;sheet=U0&amp;row=318&amp;col=6&amp;number=4.4&amp;sourceID=14","4.4")</f>
        <v>4.4</v>
      </c>
      <c r="G318" s="4" t="str">
        <f>HYPERLINK("http://141.218.60.56/~jnz1568/getInfo.php?workbook=16_08.xlsx&amp;sheet=U0&amp;row=318&amp;col=7&amp;number=0.014&amp;sourceID=14","0.014")</f>
        <v>0.014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HYPERLINK("http://141.218.60.56/~jnz1568/getInfo.php?workbook=16_08.xlsx&amp;sheet=U0&amp;row=319&amp;col=6&amp;number=4.5&amp;sourceID=14","4.5")</f>
        <v>4.5</v>
      </c>
      <c r="G319" s="4" t="str">
        <f>HYPERLINK("http://141.218.60.56/~jnz1568/getInfo.php?workbook=16_08.xlsx&amp;sheet=U0&amp;row=319&amp;col=7&amp;number=0.0139&amp;sourceID=14","0.0139")</f>
        <v>0.0139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HYPERLINK("http://141.218.60.56/~jnz1568/getInfo.php?workbook=16_08.xlsx&amp;sheet=U0&amp;row=320&amp;col=6&amp;number=4.6&amp;sourceID=14","4.6")</f>
        <v>4.6</v>
      </c>
      <c r="G320" s="4" t="str">
        <f>HYPERLINK("http://141.218.60.56/~jnz1568/getInfo.php?workbook=16_08.xlsx&amp;sheet=U0&amp;row=320&amp;col=7&amp;number=0.0139&amp;sourceID=14","0.0139")</f>
        <v>0.0139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HYPERLINK("http://141.218.60.56/~jnz1568/getInfo.php?workbook=16_08.xlsx&amp;sheet=U0&amp;row=321&amp;col=6&amp;number=4.7&amp;sourceID=14","4.7")</f>
        <v>4.7</v>
      </c>
      <c r="G321" s="4" t="str">
        <f>HYPERLINK("http://141.218.60.56/~jnz1568/getInfo.php?workbook=16_08.xlsx&amp;sheet=U0&amp;row=321&amp;col=7&amp;number=0.0138&amp;sourceID=14","0.0138")</f>
        <v>0.0138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HYPERLINK("http://141.218.60.56/~jnz1568/getInfo.php?workbook=16_08.xlsx&amp;sheet=U0&amp;row=322&amp;col=6&amp;number=4.8&amp;sourceID=14","4.8")</f>
        <v>4.8</v>
      </c>
      <c r="G322" s="4" t="str">
        <f>HYPERLINK("http://141.218.60.56/~jnz1568/getInfo.php?workbook=16_08.xlsx&amp;sheet=U0&amp;row=322&amp;col=7&amp;number=0.0137&amp;sourceID=14","0.0137")</f>
        <v>0.0137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HYPERLINK("http://141.218.60.56/~jnz1568/getInfo.php?workbook=16_08.xlsx&amp;sheet=U0&amp;row=323&amp;col=6&amp;number=4.9&amp;sourceID=14","4.9")</f>
        <v>4.9</v>
      </c>
      <c r="G323" s="4" t="str">
        <f>HYPERLINK("http://141.218.60.56/~jnz1568/getInfo.php?workbook=16_08.xlsx&amp;sheet=U0&amp;row=323&amp;col=7&amp;number=0.0137&amp;sourceID=14","0.0137")</f>
        <v>0.0137</v>
      </c>
    </row>
    <row r="324" spans="1:7">
      <c r="A324" s="3">
        <v>16</v>
      </c>
      <c r="B324" s="3">
        <v>8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HYPERLINK("http://141.218.60.56/~jnz1568/getInfo.php?workbook=16_08.xlsx&amp;sheet=U0&amp;row=324&amp;col=6&amp;number=3&amp;sourceID=14","3")</f>
        <v>3</v>
      </c>
      <c r="G324" s="4" t="str">
        <f>HYPERLINK("http://141.218.60.56/~jnz1568/getInfo.php?workbook=16_08.xlsx&amp;sheet=U0&amp;row=324&amp;col=7&amp;number=0.0234&amp;sourceID=14","0.0234")</f>
        <v>0.0234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HYPERLINK("http://141.218.60.56/~jnz1568/getInfo.php?workbook=16_08.xlsx&amp;sheet=U0&amp;row=325&amp;col=6&amp;number=3.1&amp;sourceID=14","3.1")</f>
        <v>3.1</v>
      </c>
      <c r="G325" s="4" t="str">
        <f>HYPERLINK("http://141.218.60.56/~jnz1568/getInfo.php?workbook=16_08.xlsx&amp;sheet=U0&amp;row=325&amp;col=7&amp;number=0.0233&amp;sourceID=14","0.0233")</f>
        <v>0.0233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HYPERLINK("http://141.218.60.56/~jnz1568/getInfo.php?workbook=16_08.xlsx&amp;sheet=U0&amp;row=326&amp;col=6&amp;number=3.2&amp;sourceID=14","3.2")</f>
        <v>3.2</v>
      </c>
      <c r="G326" s="4" t="str">
        <f>HYPERLINK("http://141.218.60.56/~jnz1568/getInfo.php?workbook=16_08.xlsx&amp;sheet=U0&amp;row=326&amp;col=7&amp;number=0.0233&amp;sourceID=14","0.0233")</f>
        <v>0.0233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HYPERLINK("http://141.218.60.56/~jnz1568/getInfo.php?workbook=16_08.xlsx&amp;sheet=U0&amp;row=327&amp;col=6&amp;number=3.3&amp;sourceID=14","3.3")</f>
        <v>3.3</v>
      </c>
      <c r="G327" s="4" t="str">
        <f>HYPERLINK("http://141.218.60.56/~jnz1568/getInfo.php?workbook=16_08.xlsx&amp;sheet=U0&amp;row=327&amp;col=7&amp;number=0.0233&amp;sourceID=14","0.0233")</f>
        <v>0.0233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HYPERLINK("http://141.218.60.56/~jnz1568/getInfo.php?workbook=16_08.xlsx&amp;sheet=U0&amp;row=328&amp;col=6&amp;number=3.4&amp;sourceID=14","3.4")</f>
        <v>3.4</v>
      </c>
      <c r="G328" s="4" t="str">
        <f>HYPERLINK("http://141.218.60.56/~jnz1568/getInfo.php?workbook=16_08.xlsx&amp;sheet=U0&amp;row=328&amp;col=7&amp;number=0.0233&amp;sourceID=14","0.0233")</f>
        <v>0.0233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HYPERLINK("http://141.218.60.56/~jnz1568/getInfo.php?workbook=16_08.xlsx&amp;sheet=U0&amp;row=329&amp;col=6&amp;number=3.5&amp;sourceID=14","3.5")</f>
        <v>3.5</v>
      </c>
      <c r="G329" s="4" t="str">
        <f>HYPERLINK("http://141.218.60.56/~jnz1568/getInfo.php?workbook=16_08.xlsx&amp;sheet=U0&amp;row=329&amp;col=7&amp;number=0.0233&amp;sourceID=14","0.0233")</f>
        <v>0.0233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HYPERLINK("http://141.218.60.56/~jnz1568/getInfo.php?workbook=16_08.xlsx&amp;sheet=U0&amp;row=330&amp;col=6&amp;number=3.6&amp;sourceID=14","3.6")</f>
        <v>3.6</v>
      </c>
      <c r="G330" s="4" t="str">
        <f>HYPERLINK("http://141.218.60.56/~jnz1568/getInfo.php?workbook=16_08.xlsx&amp;sheet=U0&amp;row=330&amp;col=7&amp;number=0.0233&amp;sourceID=14","0.0233")</f>
        <v>0.0233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HYPERLINK("http://141.218.60.56/~jnz1568/getInfo.php?workbook=16_08.xlsx&amp;sheet=U0&amp;row=331&amp;col=6&amp;number=3.7&amp;sourceID=14","3.7")</f>
        <v>3.7</v>
      </c>
      <c r="G331" s="4" t="str">
        <f>HYPERLINK("http://141.218.60.56/~jnz1568/getInfo.php?workbook=16_08.xlsx&amp;sheet=U0&amp;row=331&amp;col=7&amp;number=0.0233&amp;sourceID=14","0.0233")</f>
        <v>0.0233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HYPERLINK("http://141.218.60.56/~jnz1568/getInfo.php?workbook=16_08.xlsx&amp;sheet=U0&amp;row=332&amp;col=6&amp;number=3.8&amp;sourceID=14","3.8")</f>
        <v>3.8</v>
      </c>
      <c r="G332" s="4" t="str">
        <f>HYPERLINK("http://141.218.60.56/~jnz1568/getInfo.php?workbook=16_08.xlsx&amp;sheet=U0&amp;row=332&amp;col=7&amp;number=0.0233&amp;sourceID=14","0.0233")</f>
        <v>0.0233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HYPERLINK("http://141.218.60.56/~jnz1568/getInfo.php?workbook=16_08.xlsx&amp;sheet=U0&amp;row=333&amp;col=6&amp;number=3.9&amp;sourceID=14","3.9")</f>
        <v>3.9</v>
      </c>
      <c r="G333" s="4" t="str">
        <f>HYPERLINK("http://141.218.60.56/~jnz1568/getInfo.php?workbook=16_08.xlsx&amp;sheet=U0&amp;row=333&amp;col=7&amp;number=0.0233&amp;sourceID=14","0.0233")</f>
        <v>0.0233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HYPERLINK("http://141.218.60.56/~jnz1568/getInfo.php?workbook=16_08.xlsx&amp;sheet=U0&amp;row=334&amp;col=6&amp;number=4&amp;sourceID=14","4")</f>
        <v>4</v>
      </c>
      <c r="G334" s="4" t="str">
        <f>HYPERLINK("http://141.218.60.56/~jnz1568/getInfo.php?workbook=16_08.xlsx&amp;sheet=U0&amp;row=334&amp;col=7&amp;number=0.0233&amp;sourceID=14","0.0233")</f>
        <v>0.0233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HYPERLINK("http://141.218.60.56/~jnz1568/getInfo.php?workbook=16_08.xlsx&amp;sheet=U0&amp;row=335&amp;col=6&amp;number=4.1&amp;sourceID=14","4.1")</f>
        <v>4.1</v>
      </c>
      <c r="G335" s="4" t="str">
        <f>HYPERLINK("http://141.218.60.56/~jnz1568/getInfo.php?workbook=16_08.xlsx&amp;sheet=U0&amp;row=335&amp;col=7&amp;number=0.0232&amp;sourceID=14","0.0232")</f>
        <v>0.0232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HYPERLINK("http://141.218.60.56/~jnz1568/getInfo.php?workbook=16_08.xlsx&amp;sheet=U0&amp;row=336&amp;col=6&amp;number=4.2&amp;sourceID=14","4.2")</f>
        <v>4.2</v>
      </c>
      <c r="G336" s="4" t="str">
        <f>HYPERLINK("http://141.218.60.56/~jnz1568/getInfo.php?workbook=16_08.xlsx&amp;sheet=U0&amp;row=336&amp;col=7&amp;number=0.0232&amp;sourceID=14","0.0232")</f>
        <v>0.0232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HYPERLINK("http://141.218.60.56/~jnz1568/getInfo.php?workbook=16_08.xlsx&amp;sheet=U0&amp;row=337&amp;col=6&amp;number=4.3&amp;sourceID=14","4.3")</f>
        <v>4.3</v>
      </c>
      <c r="G337" s="4" t="str">
        <f>HYPERLINK("http://141.218.60.56/~jnz1568/getInfo.php?workbook=16_08.xlsx&amp;sheet=U0&amp;row=337&amp;col=7&amp;number=0.0232&amp;sourceID=14","0.0232")</f>
        <v>0.0232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HYPERLINK("http://141.218.60.56/~jnz1568/getInfo.php?workbook=16_08.xlsx&amp;sheet=U0&amp;row=338&amp;col=6&amp;number=4.4&amp;sourceID=14","4.4")</f>
        <v>4.4</v>
      </c>
      <c r="G338" s="4" t="str">
        <f>HYPERLINK("http://141.218.60.56/~jnz1568/getInfo.php?workbook=16_08.xlsx&amp;sheet=U0&amp;row=338&amp;col=7&amp;number=0.0231&amp;sourceID=14","0.0231")</f>
        <v>0.0231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HYPERLINK("http://141.218.60.56/~jnz1568/getInfo.php?workbook=16_08.xlsx&amp;sheet=U0&amp;row=339&amp;col=6&amp;number=4.5&amp;sourceID=14","4.5")</f>
        <v>4.5</v>
      </c>
      <c r="G339" s="4" t="str">
        <f>HYPERLINK("http://141.218.60.56/~jnz1568/getInfo.php?workbook=16_08.xlsx&amp;sheet=U0&amp;row=339&amp;col=7&amp;number=0.0231&amp;sourceID=14","0.0231")</f>
        <v>0.0231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HYPERLINK("http://141.218.60.56/~jnz1568/getInfo.php?workbook=16_08.xlsx&amp;sheet=U0&amp;row=340&amp;col=6&amp;number=4.6&amp;sourceID=14","4.6")</f>
        <v>4.6</v>
      </c>
      <c r="G340" s="4" t="str">
        <f>HYPERLINK("http://141.218.60.56/~jnz1568/getInfo.php?workbook=16_08.xlsx&amp;sheet=U0&amp;row=340&amp;col=7&amp;number=0.023&amp;sourceID=14","0.023")</f>
        <v>0.023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HYPERLINK("http://141.218.60.56/~jnz1568/getInfo.php?workbook=16_08.xlsx&amp;sheet=U0&amp;row=341&amp;col=6&amp;number=4.7&amp;sourceID=14","4.7")</f>
        <v>4.7</v>
      </c>
      <c r="G341" s="4" t="str">
        <f>HYPERLINK("http://141.218.60.56/~jnz1568/getInfo.php?workbook=16_08.xlsx&amp;sheet=U0&amp;row=341&amp;col=7&amp;number=0.0229&amp;sourceID=14","0.0229")</f>
        <v>0.0229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HYPERLINK("http://141.218.60.56/~jnz1568/getInfo.php?workbook=16_08.xlsx&amp;sheet=U0&amp;row=342&amp;col=6&amp;number=4.8&amp;sourceID=14","4.8")</f>
        <v>4.8</v>
      </c>
      <c r="G342" s="4" t="str">
        <f>HYPERLINK("http://141.218.60.56/~jnz1568/getInfo.php?workbook=16_08.xlsx&amp;sheet=U0&amp;row=342&amp;col=7&amp;number=0.0228&amp;sourceID=14","0.0228")</f>
        <v>0.0228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HYPERLINK("http://141.218.60.56/~jnz1568/getInfo.php?workbook=16_08.xlsx&amp;sheet=U0&amp;row=343&amp;col=6&amp;number=4.9&amp;sourceID=14","4.9")</f>
        <v>4.9</v>
      </c>
      <c r="G343" s="4" t="str">
        <f>HYPERLINK("http://141.218.60.56/~jnz1568/getInfo.php?workbook=16_08.xlsx&amp;sheet=U0&amp;row=343&amp;col=7&amp;number=0.0227&amp;sourceID=14","0.0227")</f>
        <v>0.0227</v>
      </c>
    </row>
    <row r="344" spans="1:7">
      <c r="A344" s="3">
        <v>16</v>
      </c>
      <c r="B344" s="3">
        <v>8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HYPERLINK("http://141.218.60.56/~jnz1568/getInfo.php?workbook=16_08.xlsx&amp;sheet=U0&amp;row=344&amp;col=6&amp;number=3&amp;sourceID=14","3")</f>
        <v>3</v>
      </c>
      <c r="G344" s="4" t="str">
        <f>HYPERLINK("http://141.218.60.56/~jnz1568/getInfo.php?workbook=16_08.xlsx&amp;sheet=U0&amp;row=344&amp;col=7&amp;number=0.0358&amp;sourceID=14","0.0358")</f>
        <v>0.0358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HYPERLINK("http://141.218.60.56/~jnz1568/getInfo.php?workbook=16_08.xlsx&amp;sheet=U0&amp;row=345&amp;col=6&amp;number=3.1&amp;sourceID=14","3.1")</f>
        <v>3.1</v>
      </c>
      <c r="G345" s="4" t="str">
        <f>HYPERLINK("http://141.218.60.56/~jnz1568/getInfo.php?workbook=16_08.xlsx&amp;sheet=U0&amp;row=345&amp;col=7&amp;number=0.0358&amp;sourceID=14","0.0358")</f>
        <v>0.0358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HYPERLINK("http://141.218.60.56/~jnz1568/getInfo.php?workbook=16_08.xlsx&amp;sheet=U0&amp;row=346&amp;col=6&amp;number=3.2&amp;sourceID=14","3.2")</f>
        <v>3.2</v>
      </c>
      <c r="G346" s="4" t="str">
        <f>HYPERLINK("http://141.218.60.56/~jnz1568/getInfo.php?workbook=16_08.xlsx&amp;sheet=U0&amp;row=346&amp;col=7&amp;number=0.0357&amp;sourceID=14","0.0357")</f>
        <v>0.0357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HYPERLINK("http://141.218.60.56/~jnz1568/getInfo.php?workbook=16_08.xlsx&amp;sheet=U0&amp;row=347&amp;col=6&amp;number=3.3&amp;sourceID=14","3.3")</f>
        <v>3.3</v>
      </c>
      <c r="G347" s="4" t="str">
        <f>HYPERLINK("http://141.218.60.56/~jnz1568/getInfo.php?workbook=16_08.xlsx&amp;sheet=U0&amp;row=347&amp;col=7&amp;number=0.0357&amp;sourceID=14","0.0357")</f>
        <v>0.0357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HYPERLINK("http://141.218.60.56/~jnz1568/getInfo.php?workbook=16_08.xlsx&amp;sheet=U0&amp;row=348&amp;col=6&amp;number=3.4&amp;sourceID=14","3.4")</f>
        <v>3.4</v>
      </c>
      <c r="G348" s="4" t="str">
        <f>HYPERLINK("http://141.218.60.56/~jnz1568/getInfo.php?workbook=16_08.xlsx&amp;sheet=U0&amp;row=348&amp;col=7&amp;number=0.0357&amp;sourceID=14","0.0357")</f>
        <v>0.0357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HYPERLINK("http://141.218.60.56/~jnz1568/getInfo.php?workbook=16_08.xlsx&amp;sheet=U0&amp;row=349&amp;col=6&amp;number=3.5&amp;sourceID=14","3.5")</f>
        <v>3.5</v>
      </c>
      <c r="G349" s="4" t="str">
        <f>HYPERLINK("http://141.218.60.56/~jnz1568/getInfo.php?workbook=16_08.xlsx&amp;sheet=U0&amp;row=349&amp;col=7&amp;number=0.0357&amp;sourceID=14","0.0357")</f>
        <v>0.0357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HYPERLINK("http://141.218.60.56/~jnz1568/getInfo.php?workbook=16_08.xlsx&amp;sheet=U0&amp;row=350&amp;col=6&amp;number=3.6&amp;sourceID=14","3.6")</f>
        <v>3.6</v>
      </c>
      <c r="G350" s="4" t="str">
        <f>HYPERLINK("http://141.218.60.56/~jnz1568/getInfo.php?workbook=16_08.xlsx&amp;sheet=U0&amp;row=350&amp;col=7&amp;number=0.0357&amp;sourceID=14","0.0357")</f>
        <v>0.0357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HYPERLINK("http://141.218.60.56/~jnz1568/getInfo.php?workbook=16_08.xlsx&amp;sheet=U0&amp;row=351&amp;col=6&amp;number=3.7&amp;sourceID=14","3.7")</f>
        <v>3.7</v>
      </c>
      <c r="G351" s="4" t="str">
        <f>HYPERLINK("http://141.218.60.56/~jnz1568/getInfo.php?workbook=16_08.xlsx&amp;sheet=U0&amp;row=351&amp;col=7&amp;number=0.0357&amp;sourceID=14","0.0357")</f>
        <v>0.0357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HYPERLINK("http://141.218.60.56/~jnz1568/getInfo.php?workbook=16_08.xlsx&amp;sheet=U0&amp;row=352&amp;col=6&amp;number=3.8&amp;sourceID=14","3.8")</f>
        <v>3.8</v>
      </c>
      <c r="G352" s="4" t="str">
        <f>HYPERLINK("http://141.218.60.56/~jnz1568/getInfo.php?workbook=16_08.xlsx&amp;sheet=U0&amp;row=352&amp;col=7&amp;number=0.0357&amp;sourceID=14","0.0357")</f>
        <v>0.0357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HYPERLINK("http://141.218.60.56/~jnz1568/getInfo.php?workbook=16_08.xlsx&amp;sheet=U0&amp;row=353&amp;col=6&amp;number=3.9&amp;sourceID=14","3.9")</f>
        <v>3.9</v>
      </c>
      <c r="G353" s="4" t="str">
        <f>HYPERLINK("http://141.218.60.56/~jnz1568/getInfo.php?workbook=16_08.xlsx&amp;sheet=U0&amp;row=353&amp;col=7&amp;number=0.0357&amp;sourceID=14","0.0357")</f>
        <v>0.0357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HYPERLINK("http://141.218.60.56/~jnz1568/getInfo.php?workbook=16_08.xlsx&amp;sheet=U0&amp;row=354&amp;col=6&amp;number=4&amp;sourceID=14","4")</f>
        <v>4</v>
      </c>
      <c r="G354" s="4" t="str">
        <f>HYPERLINK("http://141.218.60.56/~jnz1568/getInfo.php?workbook=16_08.xlsx&amp;sheet=U0&amp;row=354&amp;col=7&amp;number=0.0356&amp;sourceID=14","0.0356")</f>
        <v>0.0356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HYPERLINK("http://141.218.60.56/~jnz1568/getInfo.php?workbook=16_08.xlsx&amp;sheet=U0&amp;row=355&amp;col=6&amp;number=4.1&amp;sourceID=14","4.1")</f>
        <v>4.1</v>
      </c>
      <c r="G355" s="4" t="str">
        <f>HYPERLINK("http://141.218.60.56/~jnz1568/getInfo.php?workbook=16_08.xlsx&amp;sheet=U0&amp;row=355&amp;col=7&amp;number=0.0356&amp;sourceID=14","0.0356")</f>
        <v>0.0356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HYPERLINK("http://141.218.60.56/~jnz1568/getInfo.php?workbook=16_08.xlsx&amp;sheet=U0&amp;row=356&amp;col=6&amp;number=4.2&amp;sourceID=14","4.2")</f>
        <v>4.2</v>
      </c>
      <c r="G356" s="4" t="str">
        <f>HYPERLINK("http://141.218.60.56/~jnz1568/getInfo.php?workbook=16_08.xlsx&amp;sheet=U0&amp;row=356&amp;col=7&amp;number=0.0356&amp;sourceID=14","0.0356")</f>
        <v>0.0356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HYPERLINK("http://141.218.60.56/~jnz1568/getInfo.php?workbook=16_08.xlsx&amp;sheet=U0&amp;row=357&amp;col=6&amp;number=4.3&amp;sourceID=14","4.3")</f>
        <v>4.3</v>
      </c>
      <c r="G357" s="4" t="str">
        <f>HYPERLINK("http://141.218.60.56/~jnz1568/getInfo.php?workbook=16_08.xlsx&amp;sheet=U0&amp;row=357&amp;col=7&amp;number=0.0355&amp;sourceID=14","0.0355")</f>
        <v>0.0355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HYPERLINK("http://141.218.60.56/~jnz1568/getInfo.php?workbook=16_08.xlsx&amp;sheet=U0&amp;row=358&amp;col=6&amp;number=4.4&amp;sourceID=14","4.4")</f>
        <v>4.4</v>
      </c>
      <c r="G358" s="4" t="str">
        <f>HYPERLINK("http://141.218.60.56/~jnz1568/getInfo.php?workbook=16_08.xlsx&amp;sheet=U0&amp;row=358&amp;col=7&amp;number=0.0354&amp;sourceID=14","0.0354")</f>
        <v>0.0354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HYPERLINK("http://141.218.60.56/~jnz1568/getInfo.php?workbook=16_08.xlsx&amp;sheet=U0&amp;row=359&amp;col=6&amp;number=4.5&amp;sourceID=14","4.5")</f>
        <v>4.5</v>
      </c>
      <c r="G359" s="4" t="str">
        <f>HYPERLINK("http://141.218.60.56/~jnz1568/getInfo.php?workbook=16_08.xlsx&amp;sheet=U0&amp;row=359&amp;col=7&amp;number=0.0354&amp;sourceID=14","0.0354")</f>
        <v>0.0354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HYPERLINK("http://141.218.60.56/~jnz1568/getInfo.php?workbook=16_08.xlsx&amp;sheet=U0&amp;row=360&amp;col=6&amp;number=4.6&amp;sourceID=14","4.6")</f>
        <v>4.6</v>
      </c>
      <c r="G360" s="4" t="str">
        <f>HYPERLINK("http://141.218.60.56/~jnz1568/getInfo.php?workbook=16_08.xlsx&amp;sheet=U0&amp;row=360&amp;col=7&amp;number=0.0353&amp;sourceID=14","0.0353")</f>
        <v>0.0353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HYPERLINK("http://141.218.60.56/~jnz1568/getInfo.php?workbook=16_08.xlsx&amp;sheet=U0&amp;row=361&amp;col=6&amp;number=4.7&amp;sourceID=14","4.7")</f>
        <v>4.7</v>
      </c>
      <c r="G361" s="4" t="str">
        <f>HYPERLINK("http://141.218.60.56/~jnz1568/getInfo.php?workbook=16_08.xlsx&amp;sheet=U0&amp;row=361&amp;col=7&amp;number=0.0351&amp;sourceID=14","0.0351")</f>
        <v>0.0351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HYPERLINK("http://141.218.60.56/~jnz1568/getInfo.php?workbook=16_08.xlsx&amp;sheet=U0&amp;row=362&amp;col=6&amp;number=4.8&amp;sourceID=14","4.8")</f>
        <v>4.8</v>
      </c>
      <c r="G362" s="4" t="str">
        <f>HYPERLINK("http://141.218.60.56/~jnz1568/getInfo.php?workbook=16_08.xlsx&amp;sheet=U0&amp;row=362&amp;col=7&amp;number=0.035&amp;sourceID=14","0.035")</f>
        <v>0.035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HYPERLINK("http://141.218.60.56/~jnz1568/getInfo.php?workbook=16_08.xlsx&amp;sheet=U0&amp;row=363&amp;col=6&amp;number=4.9&amp;sourceID=14","4.9")</f>
        <v>4.9</v>
      </c>
      <c r="G363" s="4" t="str">
        <f>HYPERLINK("http://141.218.60.56/~jnz1568/getInfo.php?workbook=16_08.xlsx&amp;sheet=U0&amp;row=363&amp;col=7&amp;number=0.0348&amp;sourceID=14","0.0348")</f>
        <v>0.0348</v>
      </c>
    </row>
    <row r="364" spans="1:7">
      <c r="A364" s="3">
        <v>16</v>
      </c>
      <c r="B364" s="3">
        <v>8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HYPERLINK("http://141.218.60.56/~jnz1568/getInfo.php?workbook=16_08.xlsx&amp;sheet=U0&amp;row=364&amp;col=6&amp;number=3&amp;sourceID=14","3")</f>
        <v>3</v>
      </c>
      <c r="G364" s="4" t="str">
        <f>HYPERLINK("http://141.218.60.56/~jnz1568/getInfo.php?workbook=16_08.xlsx&amp;sheet=U0&amp;row=364&amp;col=7&amp;number=0.0105&amp;sourceID=14","0.0105")</f>
        <v>0.0105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HYPERLINK("http://141.218.60.56/~jnz1568/getInfo.php?workbook=16_08.xlsx&amp;sheet=U0&amp;row=365&amp;col=6&amp;number=3.1&amp;sourceID=14","3.1")</f>
        <v>3.1</v>
      </c>
      <c r="G365" s="4" t="str">
        <f>HYPERLINK("http://141.218.60.56/~jnz1568/getInfo.php?workbook=16_08.xlsx&amp;sheet=U0&amp;row=365&amp;col=7&amp;number=0.0105&amp;sourceID=14","0.0105")</f>
        <v>0.0105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HYPERLINK("http://141.218.60.56/~jnz1568/getInfo.php?workbook=16_08.xlsx&amp;sheet=U0&amp;row=366&amp;col=6&amp;number=3.2&amp;sourceID=14","3.2")</f>
        <v>3.2</v>
      </c>
      <c r="G366" s="4" t="str">
        <f>HYPERLINK("http://141.218.60.56/~jnz1568/getInfo.php?workbook=16_08.xlsx&amp;sheet=U0&amp;row=366&amp;col=7&amp;number=0.0105&amp;sourceID=14","0.0105")</f>
        <v>0.0105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HYPERLINK("http://141.218.60.56/~jnz1568/getInfo.php?workbook=16_08.xlsx&amp;sheet=U0&amp;row=367&amp;col=6&amp;number=3.3&amp;sourceID=14","3.3")</f>
        <v>3.3</v>
      </c>
      <c r="G367" s="4" t="str">
        <f>HYPERLINK("http://141.218.60.56/~jnz1568/getInfo.php?workbook=16_08.xlsx&amp;sheet=U0&amp;row=367&amp;col=7&amp;number=0.0105&amp;sourceID=14","0.0105")</f>
        <v>0.0105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HYPERLINK("http://141.218.60.56/~jnz1568/getInfo.php?workbook=16_08.xlsx&amp;sheet=U0&amp;row=368&amp;col=6&amp;number=3.4&amp;sourceID=14","3.4")</f>
        <v>3.4</v>
      </c>
      <c r="G368" s="4" t="str">
        <f>HYPERLINK("http://141.218.60.56/~jnz1568/getInfo.php?workbook=16_08.xlsx&amp;sheet=U0&amp;row=368&amp;col=7&amp;number=0.0105&amp;sourceID=14","0.0105")</f>
        <v>0.0105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HYPERLINK("http://141.218.60.56/~jnz1568/getInfo.php?workbook=16_08.xlsx&amp;sheet=U0&amp;row=369&amp;col=6&amp;number=3.5&amp;sourceID=14","3.5")</f>
        <v>3.5</v>
      </c>
      <c r="G369" s="4" t="str">
        <f>HYPERLINK("http://141.218.60.56/~jnz1568/getInfo.php?workbook=16_08.xlsx&amp;sheet=U0&amp;row=369&amp;col=7&amp;number=0.0105&amp;sourceID=14","0.0105")</f>
        <v>0.0105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HYPERLINK("http://141.218.60.56/~jnz1568/getInfo.php?workbook=16_08.xlsx&amp;sheet=U0&amp;row=370&amp;col=6&amp;number=3.6&amp;sourceID=14","3.6")</f>
        <v>3.6</v>
      </c>
      <c r="G370" s="4" t="str">
        <f>HYPERLINK("http://141.218.60.56/~jnz1568/getInfo.php?workbook=16_08.xlsx&amp;sheet=U0&amp;row=370&amp;col=7&amp;number=0.0105&amp;sourceID=14","0.0105")</f>
        <v>0.0105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HYPERLINK("http://141.218.60.56/~jnz1568/getInfo.php?workbook=16_08.xlsx&amp;sheet=U0&amp;row=371&amp;col=6&amp;number=3.7&amp;sourceID=14","3.7")</f>
        <v>3.7</v>
      </c>
      <c r="G371" s="4" t="str">
        <f>HYPERLINK("http://141.218.60.56/~jnz1568/getInfo.php?workbook=16_08.xlsx&amp;sheet=U0&amp;row=371&amp;col=7&amp;number=0.0105&amp;sourceID=14","0.0105")</f>
        <v>0.0105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HYPERLINK("http://141.218.60.56/~jnz1568/getInfo.php?workbook=16_08.xlsx&amp;sheet=U0&amp;row=372&amp;col=6&amp;number=3.8&amp;sourceID=14","3.8")</f>
        <v>3.8</v>
      </c>
      <c r="G372" s="4" t="str">
        <f>HYPERLINK("http://141.218.60.56/~jnz1568/getInfo.php?workbook=16_08.xlsx&amp;sheet=U0&amp;row=372&amp;col=7&amp;number=0.0105&amp;sourceID=14","0.0105")</f>
        <v>0.0105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HYPERLINK("http://141.218.60.56/~jnz1568/getInfo.php?workbook=16_08.xlsx&amp;sheet=U0&amp;row=373&amp;col=6&amp;number=3.9&amp;sourceID=14","3.9")</f>
        <v>3.9</v>
      </c>
      <c r="G373" s="4" t="str">
        <f>HYPERLINK("http://141.218.60.56/~jnz1568/getInfo.php?workbook=16_08.xlsx&amp;sheet=U0&amp;row=373&amp;col=7&amp;number=0.0105&amp;sourceID=14","0.0105")</f>
        <v>0.0105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HYPERLINK("http://141.218.60.56/~jnz1568/getInfo.php?workbook=16_08.xlsx&amp;sheet=U0&amp;row=374&amp;col=6&amp;number=4&amp;sourceID=14","4")</f>
        <v>4</v>
      </c>
      <c r="G374" s="4" t="str">
        <f>HYPERLINK("http://141.218.60.56/~jnz1568/getInfo.php?workbook=16_08.xlsx&amp;sheet=U0&amp;row=374&amp;col=7&amp;number=0.0105&amp;sourceID=14","0.0105")</f>
        <v>0.0105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HYPERLINK("http://141.218.60.56/~jnz1568/getInfo.php?workbook=16_08.xlsx&amp;sheet=U0&amp;row=375&amp;col=6&amp;number=4.1&amp;sourceID=14","4.1")</f>
        <v>4.1</v>
      </c>
      <c r="G375" s="4" t="str">
        <f>HYPERLINK("http://141.218.60.56/~jnz1568/getInfo.php?workbook=16_08.xlsx&amp;sheet=U0&amp;row=375&amp;col=7&amp;number=0.0106&amp;sourceID=14","0.0106")</f>
        <v>0.0106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HYPERLINK("http://141.218.60.56/~jnz1568/getInfo.php?workbook=16_08.xlsx&amp;sheet=U0&amp;row=376&amp;col=6&amp;number=4.2&amp;sourceID=14","4.2")</f>
        <v>4.2</v>
      </c>
      <c r="G376" s="4" t="str">
        <f>HYPERLINK("http://141.218.60.56/~jnz1568/getInfo.php?workbook=16_08.xlsx&amp;sheet=U0&amp;row=376&amp;col=7&amp;number=0.0106&amp;sourceID=14","0.0106")</f>
        <v>0.0106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HYPERLINK("http://141.218.60.56/~jnz1568/getInfo.php?workbook=16_08.xlsx&amp;sheet=U0&amp;row=377&amp;col=6&amp;number=4.3&amp;sourceID=14","4.3")</f>
        <v>4.3</v>
      </c>
      <c r="G377" s="4" t="str">
        <f>HYPERLINK("http://141.218.60.56/~jnz1568/getInfo.php?workbook=16_08.xlsx&amp;sheet=U0&amp;row=377&amp;col=7&amp;number=0.0106&amp;sourceID=14","0.0106")</f>
        <v>0.0106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HYPERLINK("http://141.218.60.56/~jnz1568/getInfo.php?workbook=16_08.xlsx&amp;sheet=U0&amp;row=378&amp;col=6&amp;number=4.4&amp;sourceID=14","4.4")</f>
        <v>4.4</v>
      </c>
      <c r="G378" s="4" t="str">
        <f>HYPERLINK("http://141.218.60.56/~jnz1568/getInfo.php?workbook=16_08.xlsx&amp;sheet=U0&amp;row=378&amp;col=7&amp;number=0.0106&amp;sourceID=14","0.0106")</f>
        <v>0.0106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HYPERLINK("http://141.218.60.56/~jnz1568/getInfo.php?workbook=16_08.xlsx&amp;sheet=U0&amp;row=379&amp;col=6&amp;number=4.5&amp;sourceID=14","4.5")</f>
        <v>4.5</v>
      </c>
      <c r="G379" s="4" t="str">
        <f>HYPERLINK("http://141.218.60.56/~jnz1568/getInfo.php?workbook=16_08.xlsx&amp;sheet=U0&amp;row=379&amp;col=7&amp;number=0.0106&amp;sourceID=14","0.0106")</f>
        <v>0.0106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HYPERLINK("http://141.218.60.56/~jnz1568/getInfo.php?workbook=16_08.xlsx&amp;sheet=U0&amp;row=380&amp;col=6&amp;number=4.6&amp;sourceID=14","4.6")</f>
        <v>4.6</v>
      </c>
      <c r="G380" s="4" t="str">
        <f>HYPERLINK("http://141.218.60.56/~jnz1568/getInfo.php?workbook=16_08.xlsx&amp;sheet=U0&amp;row=380&amp;col=7&amp;number=0.0106&amp;sourceID=14","0.0106")</f>
        <v>0.0106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HYPERLINK("http://141.218.60.56/~jnz1568/getInfo.php?workbook=16_08.xlsx&amp;sheet=U0&amp;row=381&amp;col=6&amp;number=4.7&amp;sourceID=14","4.7")</f>
        <v>4.7</v>
      </c>
      <c r="G381" s="4" t="str">
        <f>HYPERLINK("http://141.218.60.56/~jnz1568/getInfo.php?workbook=16_08.xlsx&amp;sheet=U0&amp;row=381&amp;col=7&amp;number=0.0106&amp;sourceID=14","0.0106")</f>
        <v>0.0106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HYPERLINK("http://141.218.60.56/~jnz1568/getInfo.php?workbook=16_08.xlsx&amp;sheet=U0&amp;row=382&amp;col=6&amp;number=4.8&amp;sourceID=14","4.8")</f>
        <v>4.8</v>
      </c>
      <c r="G382" s="4" t="str">
        <f>HYPERLINK("http://141.218.60.56/~jnz1568/getInfo.php?workbook=16_08.xlsx&amp;sheet=U0&amp;row=382&amp;col=7&amp;number=0.0106&amp;sourceID=14","0.0106")</f>
        <v>0.0106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HYPERLINK("http://141.218.60.56/~jnz1568/getInfo.php?workbook=16_08.xlsx&amp;sheet=U0&amp;row=383&amp;col=6&amp;number=4.9&amp;sourceID=14","4.9")</f>
        <v>4.9</v>
      </c>
      <c r="G383" s="4" t="str">
        <f>HYPERLINK("http://141.218.60.56/~jnz1568/getInfo.php?workbook=16_08.xlsx&amp;sheet=U0&amp;row=383&amp;col=7&amp;number=0.0106&amp;sourceID=14","0.0106")</f>
        <v>0.0106</v>
      </c>
    </row>
    <row r="384" spans="1:7">
      <c r="A384" s="3">
        <v>16</v>
      </c>
      <c r="B384" s="3">
        <v>8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HYPERLINK("http://141.218.60.56/~jnz1568/getInfo.php?workbook=16_08.xlsx&amp;sheet=U0&amp;row=384&amp;col=6&amp;number=3&amp;sourceID=14","3")</f>
        <v>3</v>
      </c>
      <c r="G384" s="4" t="str">
        <f>HYPERLINK("http://141.218.60.56/~jnz1568/getInfo.php?workbook=16_08.xlsx&amp;sheet=U0&amp;row=384&amp;col=7&amp;number=0.0549&amp;sourceID=14","0.0549")</f>
        <v>0.0549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HYPERLINK("http://141.218.60.56/~jnz1568/getInfo.php?workbook=16_08.xlsx&amp;sheet=U0&amp;row=385&amp;col=6&amp;number=3.1&amp;sourceID=14","3.1")</f>
        <v>3.1</v>
      </c>
      <c r="G385" s="4" t="str">
        <f>HYPERLINK("http://141.218.60.56/~jnz1568/getInfo.php?workbook=16_08.xlsx&amp;sheet=U0&amp;row=385&amp;col=7&amp;number=0.0549&amp;sourceID=14","0.0549")</f>
        <v>0.0549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HYPERLINK("http://141.218.60.56/~jnz1568/getInfo.php?workbook=16_08.xlsx&amp;sheet=U0&amp;row=386&amp;col=6&amp;number=3.2&amp;sourceID=14","3.2")</f>
        <v>3.2</v>
      </c>
      <c r="G386" s="4" t="str">
        <f>HYPERLINK("http://141.218.60.56/~jnz1568/getInfo.php?workbook=16_08.xlsx&amp;sheet=U0&amp;row=386&amp;col=7&amp;number=0.0549&amp;sourceID=14","0.0549")</f>
        <v>0.0549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HYPERLINK("http://141.218.60.56/~jnz1568/getInfo.php?workbook=16_08.xlsx&amp;sheet=U0&amp;row=387&amp;col=6&amp;number=3.3&amp;sourceID=14","3.3")</f>
        <v>3.3</v>
      </c>
      <c r="G387" s="4" t="str">
        <f>HYPERLINK("http://141.218.60.56/~jnz1568/getInfo.php?workbook=16_08.xlsx&amp;sheet=U0&amp;row=387&amp;col=7&amp;number=0.0549&amp;sourceID=14","0.0549")</f>
        <v>0.0549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HYPERLINK("http://141.218.60.56/~jnz1568/getInfo.php?workbook=16_08.xlsx&amp;sheet=U0&amp;row=388&amp;col=6&amp;number=3.4&amp;sourceID=14","3.4")</f>
        <v>3.4</v>
      </c>
      <c r="G388" s="4" t="str">
        <f>HYPERLINK("http://141.218.60.56/~jnz1568/getInfo.php?workbook=16_08.xlsx&amp;sheet=U0&amp;row=388&amp;col=7&amp;number=0.0549&amp;sourceID=14","0.0549")</f>
        <v>0.0549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HYPERLINK("http://141.218.60.56/~jnz1568/getInfo.php?workbook=16_08.xlsx&amp;sheet=U0&amp;row=389&amp;col=6&amp;number=3.5&amp;sourceID=14","3.5")</f>
        <v>3.5</v>
      </c>
      <c r="G389" s="4" t="str">
        <f>HYPERLINK("http://141.218.60.56/~jnz1568/getInfo.php?workbook=16_08.xlsx&amp;sheet=U0&amp;row=389&amp;col=7&amp;number=0.0549&amp;sourceID=14","0.0549")</f>
        <v>0.0549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HYPERLINK("http://141.218.60.56/~jnz1568/getInfo.php?workbook=16_08.xlsx&amp;sheet=U0&amp;row=390&amp;col=6&amp;number=3.6&amp;sourceID=14","3.6")</f>
        <v>3.6</v>
      </c>
      <c r="G390" s="4" t="str">
        <f>HYPERLINK("http://141.218.60.56/~jnz1568/getInfo.php?workbook=16_08.xlsx&amp;sheet=U0&amp;row=390&amp;col=7&amp;number=0.0549&amp;sourceID=14","0.0549")</f>
        <v>0.0549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HYPERLINK("http://141.218.60.56/~jnz1568/getInfo.php?workbook=16_08.xlsx&amp;sheet=U0&amp;row=391&amp;col=6&amp;number=3.7&amp;sourceID=14","3.7")</f>
        <v>3.7</v>
      </c>
      <c r="G391" s="4" t="str">
        <f>HYPERLINK("http://141.218.60.56/~jnz1568/getInfo.php?workbook=16_08.xlsx&amp;sheet=U0&amp;row=391&amp;col=7&amp;number=0.0549&amp;sourceID=14","0.0549")</f>
        <v>0.0549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HYPERLINK("http://141.218.60.56/~jnz1568/getInfo.php?workbook=16_08.xlsx&amp;sheet=U0&amp;row=392&amp;col=6&amp;number=3.8&amp;sourceID=14","3.8")</f>
        <v>3.8</v>
      </c>
      <c r="G392" s="4" t="str">
        <f>HYPERLINK("http://141.218.60.56/~jnz1568/getInfo.php?workbook=16_08.xlsx&amp;sheet=U0&amp;row=392&amp;col=7&amp;number=0.0549&amp;sourceID=14","0.0549")</f>
        <v>0.0549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HYPERLINK("http://141.218.60.56/~jnz1568/getInfo.php?workbook=16_08.xlsx&amp;sheet=U0&amp;row=393&amp;col=6&amp;number=3.9&amp;sourceID=14","3.9")</f>
        <v>3.9</v>
      </c>
      <c r="G393" s="4" t="str">
        <f>HYPERLINK("http://141.218.60.56/~jnz1568/getInfo.php?workbook=16_08.xlsx&amp;sheet=U0&amp;row=393&amp;col=7&amp;number=0.0549&amp;sourceID=14","0.0549")</f>
        <v>0.0549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HYPERLINK("http://141.218.60.56/~jnz1568/getInfo.php?workbook=16_08.xlsx&amp;sheet=U0&amp;row=394&amp;col=6&amp;number=4&amp;sourceID=14","4")</f>
        <v>4</v>
      </c>
      <c r="G394" s="4" t="str">
        <f>HYPERLINK("http://141.218.60.56/~jnz1568/getInfo.php?workbook=16_08.xlsx&amp;sheet=U0&amp;row=394&amp;col=7&amp;number=0.055&amp;sourceID=14","0.055")</f>
        <v>0.055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HYPERLINK("http://141.218.60.56/~jnz1568/getInfo.php?workbook=16_08.xlsx&amp;sheet=U0&amp;row=395&amp;col=6&amp;number=4.1&amp;sourceID=14","4.1")</f>
        <v>4.1</v>
      </c>
      <c r="G395" s="4" t="str">
        <f>HYPERLINK("http://141.218.60.56/~jnz1568/getInfo.php?workbook=16_08.xlsx&amp;sheet=U0&amp;row=395&amp;col=7&amp;number=0.055&amp;sourceID=14","0.055")</f>
        <v>0.055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HYPERLINK("http://141.218.60.56/~jnz1568/getInfo.php?workbook=16_08.xlsx&amp;sheet=U0&amp;row=396&amp;col=6&amp;number=4.2&amp;sourceID=14","4.2")</f>
        <v>4.2</v>
      </c>
      <c r="G396" s="4" t="str">
        <f>HYPERLINK("http://141.218.60.56/~jnz1568/getInfo.php?workbook=16_08.xlsx&amp;sheet=U0&amp;row=396&amp;col=7&amp;number=0.055&amp;sourceID=14","0.055")</f>
        <v>0.055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HYPERLINK("http://141.218.60.56/~jnz1568/getInfo.php?workbook=16_08.xlsx&amp;sheet=U0&amp;row=397&amp;col=6&amp;number=4.3&amp;sourceID=14","4.3")</f>
        <v>4.3</v>
      </c>
      <c r="G397" s="4" t="str">
        <f>HYPERLINK("http://141.218.60.56/~jnz1568/getInfo.php?workbook=16_08.xlsx&amp;sheet=U0&amp;row=397&amp;col=7&amp;number=0.055&amp;sourceID=14","0.055")</f>
        <v>0.055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HYPERLINK("http://141.218.60.56/~jnz1568/getInfo.php?workbook=16_08.xlsx&amp;sheet=U0&amp;row=398&amp;col=6&amp;number=4.4&amp;sourceID=14","4.4")</f>
        <v>4.4</v>
      </c>
      <c r="G398" s="4" t="str">
        <f>HYPERLINK("http://141.218.60.56/~jnz1568/getInfo.php?workbook=16_08.xlsx&amp;sheet=U0&amp;row=398&amp;col=7&amp;number=0.055&amp;sourceID=14","0.055")</f>
        <v>0.055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HYPERLINK("http://141.218.60.56/~jnz1568/getInfo.php?workbook=16_08.xlsx&amp;sheet=U0&amp;row=399&amp;col=6&amp;number=4.5&amp;sourceID=14","4.5")</f>
        <v>4.5</v>
      </c>
      <c r="G399" s="4" t="str">
        <f>HYPERLINK("http://141.218.60.56/~jnz1568/getInfo.php?workbook=16_08.xlsx&amp;sheet=U0&amp;row=399&amp;col=7&amp;number=0.055&amp;sourceID=14","0.055")</f>
        <v>0.055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HYPERLINK("http://141.218.60.56/~jnz1568/getInfo.php?workbook=16_08.xlsx&amp;sheet=U0&amp;row=400&amp;col=6&amp;number=4.6&amp;sourceID=14","4.6")</f>
        <v>4.6</v>
      </c>
      <c r="G400" s="4" t="str">
        <f>HYPERLINK("http://141.218.60.56/~jnz1568/getInfo.php?workbook=16_08.xlsx&amp;sheet=U0&amp;row=400&amp;col=7&amp;number=0.055&amp;sourceID=14","0.055")</f>
        <v>0.055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HYPERLINK("http://141.218.60.56/~jnz1568/getInfo.php?workbook=16_08.xlsx&amp;sheet=U0&amp;row=401&amp;col=6&amp;number=4.7&amp;sourceID=14","4.7")</f>
        <v>4.7</v>
      </c>
      <c r="G401" s="4" t="str">
        <f>HYPERLINK("http://141.218.60.56/~jnz1568/getInfo.php?workbook=16_08.xlsx&amp;sheet=U0&amp;row=401&amp;col=7&amp;number=0.055&amp;sourceID=14","0.055")</f>
        <v>0.055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HYPERLINK("http://141.218.60.56/~jnz1568/getInfo.php?workbook=16_08.xlsx&amp;sheet=U0&amp;row=402&amp;col=6&amp;number=4.8&amp;sourceID=14","4.8")</f>
        <v>4.8</v>
      </c>
      <c r="G402" s="4" t="str">
        <f>HYPERLINK("http://141.218.60.56/~jnz1568/getInfo.php?workbook=16_08.xlsx&amp;sheet=U0&amp;row=402&amp;col=7&amp;number=0.0551&amp;sourceID=14","0.0551")</f>
        <v>0.0551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HYPERLINK("http://141.218.60.56/~jnz1568/getInfo.php?workbook=16_08.xlsx&amp;sheet=U0&amp;row=403&amp;col=6&amp;number=4.9&amp;sourceID=14","4.9")</f>
        <v>4.9</v>
      </c>
      <c r="G403" s="4" t="str">
        <f>HYPERLINK("http://141.218.60.56/~jnz1568/getInfo.php?workbook=16_08.xlsx&amp;sheet=U0&amp;row=403&amp;col=7&amp;number=0.0551&amp;sourceID=14","0.0551")</f>
        <v>0.0551</v>
      </c>
    </row>
    <row r="404" spans="1:7">
      <c r="A404" s="3">
        <v>16</v>
      </c>
      <c r="B404" s="3">
        <v>8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HYPERLINK("http://141.218.60.56/~jnz1568/getInfo.php?workbook=16_08.xlsx&amp;sheet=U0&amp;row=404&amp;col=6&amp;number=3&amp;sourceID=14","3")</f>
        <v>3</v>
      </c>
      <c r="G404" s="4" t="str">
        <f>HYPERLINK("http://141.218.60.56/~jnz1568/getInfo.php?workbook=16_08.xlsx&amp;sheet=U0&amp;row=404&amp;col=7&amp;number=0.003&amp;sourceID=14","0.003")</f>
        <v>0.003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HYPERLINK("http://141.218.60.56/~jnz1568/getInfo.php?workbook=16_08.xlsx&amp;sheet=U0&amp;row=405&amp;col=6&amp;number=3.1&amp;sourceID=14","3.1")</f>
        <v>3.1</v>
      </c>
      <c r="G405" s="4" t="str">
        <f>HYPERLINK("http://141.218.60.56/~jnz1568/getInfo.php?workbook=16_08.xlsx&amp;sheet=U0&amp;row=405&amp;col=7&amp;number=0.003&amp;sourceID=14","0.003")</f>
        <v>0.003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HYPERLINK("http://141.218.60.56/~jnz1568/getInfo.php?workbook=16_08.xlsx&amp;sheet=U0&amp;row=406&amp;col=6&amp;number=3.2&amp;sourceID=14","3.2")</f>
        <v>3.2</v>
      </c>
      <c r="G406" s="4" t="str">
        <f>HYPERLINK("http://141.218.60.56/~jnz1568/getInfo.php?workbook=16_08.xlsx&amp;sheet=U0&amp;row=406&amp;col=7&amp;number=0.003&amp;sourceID=14","0.003")</f>
        <v>0.003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HYPERLINK("http://141.218.60.56/~jnz1568/getInfo.php?workbook=16_08.xlsx&amp;sheet=U0&amp;row=407&amp;col=6&amp;number=3.3&amp;sourceID=14","3.3")</f>
        <v>3.3</v>
      </c>
      <c r="G407" s="4" t="str">
        <f>HYPERLINK("http://141.218.60.56/~jnz1568/getInfo.php?workbook=16_08.xlsx&amp;sheet=U0&amp;row=407&amp;col=7&amp;number=0.003&amp;sourceID=14","0.003")</f>
        <v>0.003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HYPERLINK("http://141.218.60.56/~jnz1568/getInfo.php?workbook=16_08.xlsx&amp;sheet=U0&amp;row=408&amp;col=6&amp;number=3.4&amp;sourceID=14","3.4")</f>
        <v>3.4</v>
      </c>
      <c r="G408" s="4" t="str">
        <f>HYPERLINK("http://141.218.60.56/~jnz1568/getInfo.php?workbook=16_08.xlsx&amp;sheet=U0&amp;row=408&amp;col=7&amp;number=0.003&amp;sourceID=14","0.003")</f>
        <v>0.003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HYPERLINK("http://141.218.60.56/~jnz1568/getInfo.php?workbook=16_08.xlsx&amp;sheet=U0&amp;row=409&amp;col=6&amp;number=3.5&amp;sourceID=14","3.5")</f>
        <v>3.5</v>
      </c>
      <c r="G409" s="4" t="str">
        <f>HYPERLINK("http://141.218.60.56/~jnz1568/getInfo.php?workbook=16_08.xlsx&amp;sheet=U0&amp;row=409&amp;col=7&amp;number=0.003&amp;sourceID=14","0.003")</f>
        <v>0.003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HYPERLINK("http://141.218.60.56/~jnz1568/getInfo.php?workbook=16_08.xlsx&amp;sheet=U0&amp;row=410&amp;col=6&amp;number=3.6&amp;sourceID=14","3.6")</f>
        <v>3.6</v>
      </c>
      <c r="G410" s="4" t="str">
        <f>HYPERLINK("http://141.218.60.56/~jnz1568/getInfo.php?workbook=16_08.xlsx&amp;sheet=U0&amp;row=410&amp;col=7&amp;number=0.003&amp;sourceID=14","0.003")</f>
        <v>0.003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HYPERLINK("http://141.218.60.56/~jnz1568/getInfo.php?workbook=16_08.xlsx&amp;sheet=U0&amp;row=411&amp;col=6&amp;number=3.7&amp;sourceID=14","3.7")</f>
        <v>3.7</v>
      </c>
      <c r="G411" s="4" t="str">
        <f>HYPERLINK("http://141.218.60.56/~jnz1568/getInfo.php?workbook=16_08.xlsx&amp;sheet=U0&amp;row=411&amp;col=7&amp;number=0.003&amp;sourceID=14","0.003")</f>
        <v>0.003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HYPERLINK("http://141.218.60.56/~jnz1568/getInfo.php?workbook=16_08.xlsx&amp;sheet=U0&amp;row=412&amp;col=6&amp;number=3.8&amp;sourceID=14","3.8")</f>
        <v>3.8</v>
      </c>
      <c r="G412" s="4" t="str">
        <f>HYPERLINK("http://141.218.60.56/~jnz1568/getInfo.php?workbook=16_08.xlsx&amp;sheet=U0&amp;row=412&amp;col=7&amp;number=0.00301&amp;sourceID=14","0.00301")</f>
        <v>0.00301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HYPERLINK("http://141.218.60.56/~jnz1568/getInfo.php?workbook=16_08.xlsx&amp;sheet=U0&amp;row=413&amp;col=6&amp;number=3.9&amp;sourceID=14","3.9")</f>
        <v>3.9</v>
      </c>
      <c r="G413" s="4" t="str">
        <f>HYPERLINK("http://141.218.60.56/~jnz1568/getInfo.php?workbook=16_08.xlsx&amp;sheet=U0&amp;row=413&amp;col=7&amp;number=0.00301&amp;sourceID=14","0.00301")</f>
        <v>0.00301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HYPERLINK("http://141.218.60.56/~jnz1568/getInfo.php?workbook=16_08.xlsx&amp;sheet=U0&amp;row=414&amp;col=6&amp;number=4&amp;sourceID=14","4")</f>
        <v>4</v>
      </c>
      <c r="G414" s="4" t="str">
        <f>HYPERLINK("http://141.218.60.56/~jnz1568/getInfo.php?workbook=16_08.xlsx&amp;sheet=U0&amp;row=414&amp;col=7&amp;number=0.00301&amp;sourceID=14","0.00301")</f>
        <v>0.00301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HYPERLINK("http://141.218.60.56/~jnz1568/getInfo.php?workbook=16_08.xlsx&amp;sheet=U0&amp;row=415&amp;col=6&amp;number=4.1&amp;sourceID=14","4.1")</f>
        <v>4.1</v>
      </c>
      <c r="G415" s="4" t="str">
        <f>HYPERLINK("http://141.218.60.56/~jnz1568/getInfo.php?workbook=16_08.xlsx&amp;sheet=U0&amp;row=415&amp;col=7&amp;number=0.00301&amp;sourceID=14","0.00301")</f>
        <v>0.00301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HYPERLINK("http://141.218.60.56/~jnz1568/getInfo.php?workbook=16_08.xlsx&amp;sheet=U0&amp;row=416&amp;col=6&amp;number=4.2&amp;sourceID=14","4.2")</f>
        <v>4.2</v>
      </c>
      <c r="G416" s="4" t="str">
        <f>HYPERLINK("http://141.218.60.56/~jnz1568/getInfo.php?workbook=16_08.xlsx&amp;sheet=U0&amp;row=416&amp;col=7&amp;number=0.00301&amp;sourceID=14","0.00301")</f>
        <v>0.00301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HYPERLINK("http://141.218.60.56/~jnz1568/getInfo.php?workbook=16_08.xlsx&amp;sheet=U0&amp;row=417&amp;col=6&amp;number=4.3&amp;sourceID=14","4.3")</f>
        <v>4.3</v>
      </c>
      <c r="G417" s="4" t="str">
        <f>HYPERLINK("http://141.218.60.56/~jnz1568/getInfo.php?workbook=16_08.xlsx&amp;sheet=U0&amp;row=417&amp;col=7&amp;number=0.00301&amp;sourceID=14","0.00301")</f>
        <v>0.00301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HYPERLINK("http://141.218.60.56/~jnz1568/getInfo.php?workbook=16_08.xlsx&amp;sheet=U0&amp;row=418&amp;col=6&amp;number=4.4&amp;sourceID=14","4.4")</f>
        <v>4.4</v>
      </c>
      <c r="G418" s="4" t="str">
        <f>HYPERLINK("http://141.218.60.56/~jnz1568/getInfo.php?workbook=16_08.xlsx&amp;sheet=U0&amp;row=418&amp;col=7&amp;number=0.00302&amp;sourceID=14","0.00302")</f>
        <v>0.00302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HYPERLINK("http://141.218.60.56/~jnz1568/getInfo.php?workbook=16_08.xlsx&amp;sheet=U0&amp;row=419&amp;col=6&amp;number=4.5&amp;sourceID=14","4.5")</f>
        <v>4.5</v>
      </c>
      <c r="G419" s="4" t="str">
        <f>HYPERLINK("http://141.218.60.56/~jnz1568/getInfo.php?workbook=16_08.xlsx&amp;sheet=U0&amp;row=419&amp;col=7&amp;number=0.00302&amp;sourceID=14","0.00302")</f>
        <v>0.00302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HYPERLINK("http://141.218.60.56/~jnz1568/getInfo.php?workbook=16_08.xlsx&amp;sheet=U0&amp;row=420&amp;col=6&amp;number=4.6&amp;sourceID=14","4.6")</f>
        <v>4.6</v>
      </c>
      <c r="G420" s="4" t="str">
        <f>HYPERLINK("http://141.218.60.56/~jnz1568/getInfo.php?workbook=16_08.xlsx&amp;sheet=U0&amp;row=420&amp;col=7&amp;number=0.00303&amp;sourceID=14","0.00303")</f>
        <v>0.00303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HYPERLINK("http://141.218.60.56/~jnz1568/getInfo.php?workbook=16_08.xlsx&amp;sheet=U0&amp;row=421&amp;col=6&amp;number=4.7&amp;sourceID=14","4.7")</f>
        <v>4.7</v>
      </c>
      <c r="G421" s="4" t="str">
        <f>HYPERLINK("http://141.218.60.56/~jnz1568/getInfo.php?workbook=16_08.xlsx&amp;sheet=U0&amp;row=421&amp;col=7&amp;number=0.00303&amp;sourceID=14","0.00303")</f>
        <v>0.00303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HYPERLINK("http://141.218.60.56/~jnz1568/getInfo.php?workbook=16_08.xlsx&amp;sheet=U0&amp;row=422&amp;col=6&amp;number=4.8&amp;sourceID=14","4.8")</f>
        <v>4.8</v>
      </c>
      <c r="G422" s="4" t="str">
        <f>HYPERLINK("http://141.218.60.56/~jnz1568/getInfo.php?workbook=16_08.xlsx&amp;sheet=U0&amp;row=422&amp;col=7&amp;number=0.00304&amp;sourceID=14","0.00304")</f>
        <v>0.00304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HYPERLINK("http://141.218.60.56/~jnz1568/getInfo.php?workbook=16_08.xlsx&amp;sheet=U0&amp;row=423&amp;col=6&amp;number=4.9&amp;sourceID=14","4.9")</f>
        <v>4.9</v>
      </c>
      <c r="G423" s="4" t="str">
        <f>HYPERLINK("http://141.218.60.56/~jnz1568/getInfo.php?workbook=16_08.xlsx&amp;sheet=U0&amp;row=423&amp;col=7&amp;number=0.00305&amp;sourceID=14","0.00305")</f>
        <v>0.00305</v>
      </c>
    </row>
    <row r="424" spans="1:7">
      <c r="A424" s="3">
        <v>16</v>
      </c>
      <c r="B424" s="3">
        <v>8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HYPERLINK("http://141.218.60.56/~jnz1568/getInfo.php?workbook=16_08.xlsx&amp;sheet=U0&amp;row=424&amp;col=6&amp;number=3&amp;sourceID=14","3")</f>
        <v>3</v>
      </c>
      <c r="G424" s="4" t="str">
        <f>HYPERLINK("http://141.218.60.56/~jnz1568/getInfo.php?workbook=16_08.xlsx&amp;sheet=U0&amp;row=424&amp;col=7&amp;number=0.000356&amp;sourceID=14","0.000356")</f>
        <v>0.000356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HYPERLINK("http://141.218.60.56/~jnz1568/getInfo.php?workbook=16_08.xlsx&amp;sheet=U0&amp;row=425&amp;col=6&amp;number=3.1&amp;sourceID=14","3.1")</f>
        <v>3.1</v>
      </c>
      <c r="G425" s="4" t="str">
        <f>HYPERLINK("http://141.218.60.56/~jnz1568/getInfo.php?workbook=16_08.xlsx&amp;sheet=U0&amp;row=425&amp;col=7&amp;number=0.000356&amp;sourceID=14","0.000356")</f>
        <v>0.000356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HYPERLINK("http://141.218.60.56/~jnz1568/getInfo.php?workbook=16_08.xlsx&amp;sheet=U0&amp;row=426&amp;col=6&amp;number=3.2&amp;sourceID=14","3.2")</f>
        <v>3.2</v>
      </c>
      <c r="G426" s="4" t="str">
        <f>HYPERLINK("http://141.218.60.56/~jnz1568/getInfo.php?workbook=16_08.xlsx&amp;sheet=U0&amp;row=426&amp;col=7&amp;number=0.000356&amp;sourceID=14","0.000356")</f>
        <v>0.000356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HYPERLINK("http://141.218.60.56/~jnz1568/getInfo.php?workbook=16_08.xlsx&amp;sheet=U0&amp;row=427&amp;col=6&amp;number=3.3&amp;sourceID=14","3.3")</f>
        <v>3.3</v>
      </c>
      <c r="G427" s="4" t="str">
        <f>HYPERLINK("http://141.218.60.56/~jnz1568/getInfo.php?workbook=16_08.xlsx&amp;sheet=U0&amp;row=427&amp;col=7&amp;number=0.000356&amp;sourceID=14","0.000356")</f>
        <v>0.000356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HYPERLINK("http://141.218.60.56/~jnz1568/getInfo.php?workbook=16_08.xlsx&amp;sheet=U0&amp;row=428&amp;col=6&amp;number=3.4&amp;sourceID=14","3.4")</f>
        <v>3.4</v>
      </c>
      <c r="G428" s="4" t="str">
        <f>HYPERLINK("http://141.218.60.56/~jnz1568/getInfo.php?workbook=16_08.xlsx&amp;sheet=U0&amp;row=428&amp;col=7&amp;number=0.000356&amp;sourceID=14","0.000356")</f>
        <v>0.000356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HYPERLINK("http://141.218.60.56/~jnz1568/getInfo.php?workbook=16_08.xlsx&amp;sheet=U0&amp;row=429&amp;col=6&amp;number=3.5&amp;sourceID=14","3.5")</f>
        <v>3.5</v>
      </c>
      <c r="G429" s="4" t="str">
        <f>HYPERLINK("http://141.218.60.56/~jnz1568/getInfo.php?workbook=16_08.xlsx&amp;sheet=U0&amp;row=429&amp;col=7&amp;number=0.000356&amp;sourceID=14","0.000356")</f>
        <v>0.000356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HYPERLINK("http://141.218.60.56/~jnz1568/getInfo.php?workbook=16_08.xlsx&amp;sheet=U0&amp;row=430&amp;col=6&amp;number=3.6&amp;sourceID=14","3.6")</f>
        <v>3.6</v>
      </c>
      <c r="G430" s="4" t="str">
        <f>HYPERLINK("http://141.218.60.56/~jnz1568/getInfo.php?workbook=16_08.xlsx&amp;sheet=U0&amp;row=430&amp;col=7&amp;number=0.000355&amp;sourceID=14","0.000355")</f>
        <v>0.000355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HYPERLINK("http://141.218.60.56/~jnz1568/getInfo.php?workbook=16_08.xlsx&amp;sheet=U0&amp;row=431&amp;col=6&amp;number=3.7&amp;sourceID=14","3.7")</f>
        <v>3.7</v>
      </c>
      <c r="G431" s="4" t="str">
        <f>HYPERLINK("http://141.218.60.56/~jnz1568/getInfo.php?workbook=16_08.xlsx&amp;sheet=U0&amp;row=431&amp;col=7&amp;number=0.000355&amp;sourceID=14","0.000355")</f>
        <v>0.000355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HYPERLINK("http://141.218.60.56/~jnz1568/getInfo.php?workbook=16_08.xlsx&amp;sheet=U0&amp;row=432&amp;col=6&amp;number=3.8&amp;sourceID=14","3.8")</f>
        <v>3.8</v>
      </c>
      <c r="G432" s="4" t="str">
        <f>HYPERLINK("http://141.218.60.56/~jnz1568/getInfo.php?workbook=16_08.xlsx&amp;sheet=U0&amp;row=432&amp;col=7&amp;number=0.000355&amp;sourceID=14","0.000355")</f>
        <v>0.000355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HYPERLINK("http://141.218.60.56/~jnz1568/getInfo.php?workbook=16_08.xlsx&amp;sheet=U0&amp;row=433&amp;col=6&amp;number=3.9&amp;sourceID=14","3.9")</f>
        <v>3.9</v>
      </c>
      <c r="G433" s="4" t="str">
        <f>HYPERLINK("http://141.218.60.56/~jnz1568/getInfo.php?workbook=16_08.xlsx&amp;sheet=U0&amp;row=433&amp;col=7&amp;number=0.000355&amp;sourceID=14","0.000355")</f>
        <v>0.000355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HYPERLINK("http://141.218.60.56/~jnz1568/getInfo.php?workbook=16_08.xlsx&amp;sheet=U0&amp;row=434&amp;col=6&amp;number=4&amp;sourceID=14","4")</f>
        <v>4</v>
      </c>
      <c r="G434" s="4" t="str">
        <f>HYPERLINK("http://141.218.60.56/~jnz1568/getInfo.php?workbook=16_08.xlsx&amp;sheet=U0&amp;row=434&amp;col=7&amp;number=0.000355&amp;sourceID=14","0.000355")</f>
        <v>0.000355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HYPERLINK("http://141.218.60.56/~jnz1568/getInfo.php?workbook=16_08.xlsx&amp;sheet=U0&amp;row=435&amp;col=6&amp;number=4.1&amp;sourceID=14","4.1")</f>
        <v>4.1</v>
      </c>
      <c r="G435" s="4" t="str">
        <f>HYPERLINK("http://141.218.60.56/~jnz1568/getInfo.php?workbook=16_08.xlsx&amp;sheet=U0&amp;row=435&amp;col=7&amp;number=0.000355&amp;sourceID=14","0.000355")</f>
        <v>0.000355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HYPERLINK("http://141.218.60.56/~jnz1568/getInfo.php?workbook=16_08.xlsx&amp;sheet=U0&amp;row=436&amp;col=6&amp;number=4.2&amp;sourceID=14","4.2")</f>
        <v>4.2</v>
      </c>
      <c r="G436" s="4" t="str">
        <f>HYPERLINK("http://141.218.60.56/~jnz1568/getInfo.php?workbook=16_08.xlsx&amp;sheet=U0&amp;row=436&amp;col=7&amp;number=0.000355&amp;sourceID=14","0.000355")</f>
        <v>0.000355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HYPERLINK("http://141.218.60.56/~jnz1568/getInfo.php?workbook=16_08.xlsx&amp;sheet=U0&amp;row=437&amp;col=6&amp;number=4.3&amp;sourceID=14","4.3")</f>
        <v>4.3</v>
      </c>
      <c r="G437" s="4" t="str">
        <f>HYPERLINK("http://141.218.60.56/~jnz1568/getInfo.php?workbook=16_08.xlsx&amp;sheet=U0&amp;row=437&amp;col=7&amp;number=0.000354&amp;sourceID=14","0.000354")</f>
        <v>0.000354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HYPERLINK("http://141.218.60.56/~jnz1568/getInfo.php?workbook=16_08.xlsx&amp;sheet=U0&amp;row=438&amp;col=6&amp;number=4.4&amp;sourceID=14","4.4")</f>
        <v>4.4</v>
      </c>
      <c r="G438" s="4" t="str">
        <f>HYPERLINK("http://141.218.60.56/~jnz1568/getInfo.php?workbook=16_08.xlsx&amp;sheet=U0&amp;row=438&amp;col=7&amp;number=0.000354&amp;sourceID=14","0.000354")</f>
        <v>0.000354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HYPERLINK("http://141.218.60.56/~jnz1568/getInfo.php?workbook=16_08.xlsx&amp;sheet=U0&amp;row=439&amp;col=6&amp;number=4.5&amp;sourceID=14","4.5")</f>
        <v>4.5</v>
      </c>
      <c r="G439" s="4" t="str">
        <f>HYPERLINK("http://141.218.60.56/~jnz1568/getInfo.php?workbook=16_08.xlsx&amp;sheet=U0&amp;row=439&amp;col=7&amp;number=0.000353&amp;sourceID=14","0.000353")</f>
        <v>0.000353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HYPERLINK("http://141.218.60.56/~jnz1568/getInfo.php?workbook=16_08.xlsx&amp;sheet=U0&amp;row=440&amp;col=6&amp;number=4.6&amp;sourceID=14","4.6")</f>
        <v>4.6</v>
      </c>
      <c r="G440" s="4" t="str">
        <f>HYPERLINK("http://141.218.60.56/~jnz1568/getInfo.php?workbook=16_08.xlsx&amp;sheet=U0&amp;row=440&amp;col=7&amp;number=0.000353&amp;sourceID=14","0.000353")</f>
        <v>0.000353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HYPERLINK("http://141.218.60.56/~jnz1568/getInfo.php?workbook=16_08.xlsx&amp;sheet=U0&amp;row=441&amp;col=6&amp;number=4.7&amp;sourceID=14","4.7")</f>
        <v>4.7</v>
      </c>
      <c r="G441" s="4" t="str">
        <f>HYPERLINK("http://141.218.60.56/~jnz1568/getInfo.php?workbook=16_08.xlsx&amp;sheet=U0&amp;row=441&amp;col=7&amp;number=0.000352&amp;sourceID=14","0.000352")</f>
        <v>0.000352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HYPERLINK("http://141.218.60.56/~jnz1568/getInfo.php?workbook=16_08.xlsx&amp;sheet=U0&amp;row=442&amp;col=6&amp;number=4.8&amp;sourceID=14","4.8")</f>
        <v>4.8</v>
      </c>
      <c r="G442" s="4" t="str">
        <f>HYPERLINK("http://141.218.60.56/~jnz1568/getInfo.php?workbook=16_08.xlsx&amp;sheet=U0&amp;row=442&amp;col=7&amp;number=0.000351&amp;sourceID=14","0.000351")</f>
        <v>0.000351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HYPERLINK("http://141.218.60.56/~jnz1568/getInfo.php?workbook=16_08.xlsx&amp;sheet=U0&amp;row=443&amp;col=6&amp;number=4.9&amp;sourceID=14","4.9")</f>
        <v>4.9</v>
      </c>
      <c r="G443" s="4" t="str">
        <f>HYPERLINK("http://141.218.60.56/~jnz1568/getInfo.php?workbook=16_08.xlsx&amp;sheet=U0&amp;row=443&amp;col=7&amp;number=0.00035&amp;sourceID=14","0.00035")</f>
        <v>0.00035</v>
      </c>
    </row>
    <row r="444" spans="1:7">
      <c r="A444" s="3">
        <v>16</v>
      </c>
      <c r="B444" s="3">
        <v>8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HYPERLINK("http://141.218.60.56/~jnz1568/getInfo.php?workbook=16_08.xlsx&amp;sheet=U0&amp;row=444&amp;col=6&amp;number=3&amp;sourceID=14","3")</f>
        <v>3</v>
      </c>
      <c r="G444" s="4" t="str">
        <f>HYPERLINK("http://141.218.60.56/~jnz1568/getInfo.php?workbook=16_08.xlsx&amp;sheet=U0&amp;row=444&amp;col=7&amp;number=0.00169&amp;sourceID=14","0.00169")</f>
        <v>0.00169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HYPERLINK("http://141.218.60.56/~jnz1568/getInfo.php?workbook=16_08.xlsx&amp;sheet=U0&amp;row=445&amp;col=6&amp;number=3.1&amp;sourceID=14","3.1")</f>
        <v>3.1</v>
      </c>
      <c r="G445" s="4" t="str">
        <f>HYPERLINK("http://141.218.60.56/~jnz1568/getInfo.php?workbook=16_08.xlsx&amp;sheet=U0&amp;row=445&amp;col=7&amp;number=0.00169&amp;sourceID=14","0.00169")</f>
        <v>0.00169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HYPERLINK("http://141.218.60.56/~jnz1568/getInfo.php?workbook=16_08.xlsx&amp;sheet=U0&amp;row=446&amp;col=6&amp;number=3.2&amp;sourceID=14","3.2")</f>
        <v>3.2</v>
      </c>
      <c r="G446" s="4" t="str">
        <f>HYPERLINK("http://141.218.60.56/~jnz1568/getInfo.php?workbook=16_08.xlsx&amp;sheet=U0&amp;row=446&amp;col=7&amp;number=0.00169&amp;sourceID=14","0.00169")</f>
        <v>0.00169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HYPERLINK("http://141.218.60.56/~jnz1568/getInfo.php?workbook=16_08.xlsx&amp;sheet=U0&amp;row=447&amp;col=6&amp;number=3.3&amp;sourceID=14","3.3")</f>
        <v>3.3</v>
      </c>
      <c r="G447" s="4" t="str">
        <f>HYPERLINK("http://141.218.60.56/~jnz1568/getInfo.php?workbook=16_08.xlsx&amp;sheet=U0&amp;row=447&amp;col=7&amp;number=0.00169&amp;sourceID=14","0.00169")</f>
        <v>0.00169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HYPERLINK("http://141.218.60.56/~jnz1568/getInfo.php?workbook=16_08.xlsx&amp;sheet=U0&amp;row=448&amp;col=6&amp;number=3.4&amp;sourceID=14","3.4")</f>
        <v>3.4</v>
      </c>
      <c r="G448" s="4" t="str">
        <f>HYPERLINK("http://141.218.60.56/~jnz1568/getInfo.php?workbook=16_08.xlsx&amp;sheet=U0&amp;row=448&amp;col=7&amp;number=0.00169&amp;sourceID=14","0.00169")</f>
        <v>0.00169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HYPERLINK("http://141.218.60.56/~jnz1568/getInfo.php?workbook=16_08.xlsx&amp;sheet=U0&amp;row=449&amp;col=6&amp;number=3.5&amp;sourceID=14","3.5")</f>
        <v>3.5</v>
      </c>
      <c r="G449" s="4" t="str">
        <f>HYPERLINK("http://141.218.60.56/~jnz1568/getInfo.php?workbook=16_08.xlsx&amp;sheet=U0&amp;row=449&amp;col=7&amp;number=0.00169&amp;sourceID=14","0.00169")</f>
        <v>0.00169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HYPERLINK("http://141.218.60.56/~jnz1568/getInfo.php?workbook=16_08.xlsx&amp;sheet=U0&amp;row=450&amp;col=6&amp;number=3.6&amp;sourceID=14","3.6")</f>
        <v>3.6</v>
      </c>
      <c r="G450" s="4" t="str">
        <f>HYPERLINK("http://141.218.60.56/~jnz1568/getInfo.php?workbook=16_08.xlsx&amp;sheet=U0&amp;row=450&amp;col=7&amp;number=0.00169&amp;sourceID=14","0.00169")</f>
        <v>0.00169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HYPERLINK("http://141.218.60.56/~jnz1568/getInfo.php?workbook=16_08.xlsx&amp;sheet=U0&amp;row=451&amp;col=6&amp;number=3.7&amp;sourceID=14","3.7")</f>
        <v>3.7</v>
      </c>
      <c r="G451" s="4" t="str">
        <f>HYPERLINK("http://141.218.60.56/~jnz1568/getInfo.php?workbook=16_08.xlsx&amp;sheet=U0&amp;row=451&amp;col=7&amp;number=0.00169&amp;sourceID=14","0.00169")</f>
        <v>0.00169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HYPERLINK("http://141.218.60.56/~jnz1568/getInfo.php?workbook=16_08.xlsx&amp;sheet=U0&amp;row=452&amp;col=6&amp;number=3.8&amp;sourceID=14","3.8")</f>
        <v>3.8</v>
      </c>
      <c r="G452" s="4" t="str">
        <f>HYPERLINK("http://141.218.60.56/~jnz1568/getInfo.php?workbook=16_08.xlsx&amp;sheet=U0&amp;row=452&amp;col=7&amp;number=0.0017&amp;sourceID=14","0.0017")</f>
        <v>0.0017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HYPERLINK("http://141.218.60.56/~jnz1568/getInfo.php?workbook=16_08.xlsx&amp;sheet=U0&amp;row=453&amp;col=6&amp;number=3.9&amp;sourceID=14","3.9")</f>
        <v>3.9</v>
      </c>
      <c r="G453" s="4" t="str">
        <f>HYPERLINK("http://141.218.60.56/~jnz1568/getInfo.php?workbook=16_08.xlsx&amp;sheet=U0&amp;row=453&amp;col=7&amp;number=0.0017&amp;sourceID=14","0.0017")</f>
        <v>0.0017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HYPERLINK("http://141.218.60.56/~jnz1568/getInfo.php?workbook=16_08.xlsx&amp;sheet=U0&amp;row=454&amp;col=6&amp;number=4&amp;sourceID=14","4")</f>
        <v>4</v>
      </c>
      <c r="G454" s="4" t="str">
        <f>HYPERLINK("http://141.218.60.56/~jnz1568/getInfo.php?workbook=16_08.xlsx&amp;sheet=U0&amp;row=454&amp;col=7&amp;number=0.0017&amp;sourceID=14","0.0017")</f>
        <v>0.0017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HYPERLINK("http://141.218.60.56/~jnz1568/getInfo.php?workbook=16_08.xlsx&amp;sheet=U0&amp;row=455&amp;col=6&amp;number=4.1&amp;sourceID=14","4.1")</f>
        <v>4.1</v>
      </c>
      <c r="G455" s="4" t="str">
        <f>HYPERLINK("http://141.218.60.56/~jnz1568/getInfo.php?workbook=16_08.xlsx&amp;sheet=U0&amp;row=455&amp;col=7&amp;number=0.0017&amp;sourceID=14","0.0017")</f>
        <v>0.0017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HYPERLINK("http://141.218.60.56/~jnz1568/getInfo.php?workbook=16_08.xlsx&amp;sheet=U0&amp;row=456&amp;col=6&amp;number=4.2&amp;sourceID=14","4.2")</f>
        <v>4.2</v>
      </c>
      <c r="G456" s="4" t="str">
        <f>HYPERLINK("http://141.218.60.56/~jnz1568/getInfo.php?workbook=16_08.xlsx&amp;sheet=U0&amp;row=456&amp;col=7&amp;number=0.00171&amp;sourceID=14","0.00171")</f>
        <v>0.00171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HYPERLINK("http://141.218.60.56/~jnz1568/getInfo.php?workbook=16_08.xlsx&amp;sheet=U0&amp;row=457&amp;col=6&amp;number=4.3&amp;sourceID=14","4.3")</f>
        <v>4.3</v>
      </c>
      <c r="G457" s="4" t="str">
        <f>HYPERLINK("http://141.218.60.56/~jnz1568/getInfo.php?workbook=16_08.xlsx&amp;sheet=U0&amp;row=457&amp;col=7&amp;number=0.00171&amp;sourceID=14","0.00171")</f>
        <v>0.00171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HYPERLINK("http://141.218.60.56/~jnz1568/getInfo.php?workbook=16_08.xlsx&amp;sheet=U0&amp;row=458&amp;col=6&amp;number=4.4&amp;sourceID=14","4.4")</f>
        <v>4.4</v>
      </c>
      <c r="G458" s="4" t="str">
        <f>HYPERLINK("http://141.218.60.56/~jnz1568/getInfo.php?workbook=16_08.xlsx&amp;sheet=U0&amp;row=458&amp;col=7&amp;number=0.00172&amp;sourceID=14","0.00172")</f>
        <v>0.00172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HYPERLINK("http://141.218.60.56/~jnz1568/getInfo.php?workbook=16_08.xlsx&amp;sheet=U0&amp;row=459&amp;col=6&amp;number=4.5&amp;sourceID=14","4.5")</f>
        <v>4.5</v>
      </c>
      <c r="G459" s="4" t="str">
        <f>HYPERLINK("http://141.218.60.56/~jnz1568/getInfo.php?workbook=16_08.xlsx&amp;sheet=U0&amp;row=459&amp;col=7&amp;number=0.00173&amp;sourceID=14","0.00173")</f>
        <v>0.00173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HYPERLINK("http://141.218.60.56/~jnz1568/getInfo.php?workbook=16_08.xlsx&amp;sheet=U0&amp;row=460&amp;col=6&amp;number=4.6&amp;sourceID=14","4.6")</f>
        <v>4.6</v>
      </c>
      <c r="G460" s="4" t="str">
        <f>HYPERLINK("http://141.218.60.56/~jnz1568/getInfo.php?workbook=16_08.xlsx&amp;sheet=U0&amp;row=460&amp;col=7&amp;number=0.00174&amp;sourceID=14","0.00174")</f>
        <v>0.00174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HYPERLINK("http://141.218.60.56/~jnz1568/getInfo.php?workbook=16_08.xlsx&amp;sheet=U0&amp;row=461&amp;col=6&amp;number=4.7&amp;sourceID=14","4.7")</f>
        <v>4.7</v>
      </c>
      <c r="G461" s="4" t="str">
        <f>HYPERLINK("http://141.218.60.56/~jnz1568/getInfo.php?workbook=16_08.xlsx&amp;sheet=U0&amp;row=461&amp;col=7&amp;number=0.00175&amp;sourceID=14","0.00175")</f>
        <v>0.00175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HYPERLINK("http://141.218.60.56/~jnz1568/getInfo.php?workbook=16_08.xlsx&amp;sheet=U0&amp;row=462&amp;col=6&amp;number=4.8&amp;sourceID=14","4.8")</f>
        <v>4.8</v>
      </c>
      <c r="G462" s="4" t="str">
        <f>HYPERLINK("http://141.218.60.56/~jnz1568/getInfo.php?workbook=16_08.xlsx&amp;sheet=U0&amp;row=462&amp;col=7&amp;number=0.00176&amp;sourceID=14","0.00176")</f>
        <v>0.00176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HYPERLINK("http://141.218.60.56/~jnz1568/getInfo.php?workbook=16_08.xlsx&amp;sheet=U0&amp;row=463&amp;col=6&amp;number=4.9&amp;sourceID=14","4.9")</f>
        <v>4.9</v>
      </c>
      <c r="G463" s="4" t="str">
        <f>HYPERLINK("http://141.218.60.56/~jnz1568/getInfo.php?workbook=16_08.xlsx&amp;sheet=U0&amp;row=463&amp;col=7&amp;number=0.00178&amp;sourceID=14","0.00178")</f>
        <v>0.00178</v>
      </c>
    </row>
    <row r="464" spans="1:7">
      <c r="A464" s="3">
        <v>16</v>
      </c>
      <c r="B464" s="3">
        <v>8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HYPERLINK("http://141.218.60.56/~jnz1568/getInfo.php?workbook=16_08.xlsx&amp;sheet=U0&amp;row=464&amp;col=6&amp;number=3&amp;sourceID=14","3")</f>
        <v>3</v>
      </c>
      <c r="G464" s="4" t="str">
        <f>HYPERLINK("http://141.218.60.56/~jnz1568/getInfo.php?workbook=16_08.xlsx&amp;sheet=U0&amp;row=464&amp;col=7&amp;number=0.0051&amp;sourceID=14","0.0051")</f>
        <v>0.0051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HYPERLINK("http://141.218.60.56/~jnz1568/getInfo.php?workbook=16_08.xlsx&amp;sheet=U0&amp;row=465&amp;col=6&amp;number=3.1&amp;sourceID=14","3.1")</f>
        <v>3.1</v>
      </c>
      <c r="G465" s="4" t="str">
        <f>HYPERLINK("http://141.218.60.56/~jnz1568/getInfo.php?workbook=16_08.xlsx&amp;sheet=U0&amp;row=465&amp;col=7&amp;number=0.0051&amp;sourceID=14","0.0051")</f>
        <v>0.0051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HYPERLINK("http://141.218.60.56/~jnz1568/getInfo.php?workbook=16_08.xlsx&amp;sheet=U0&amp;row=466&amp;col=6&amp;number=3.2&amp;sourceID=14","3.2")</f>
        <v>3.2</v>
      </c>
      <c r="G466" s="4" t="str">
        <f>HYPERLINK("http://141.218.60.56/~jnz1568/getInfo.php?workbook=16_08.xlsx&amp;sheet=U0&amp;row=466&amp;col=7&amp;number=0.00511&amp;sourceID=14","0.00511")</f>
        <v>0.00511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HYPERLINK("http://141.218.60.56/~jnz1568/getInfo.php?workbook=16_08.xlsx&amp;sheet=U0&amp;row=467&amp;col=6&amp;number=3.3&amp;sourceID=14","3.3")</f>
        <v>3.3</v>
      </c>
      <c r="G467" s="4" t="str">
        <f>HYPERLINK("http://141.218.60.56/~jnz1568/getInfo.php?workbook=16_08.xlsx&amp;sheet=U0&amp;row=467&amp;col=7&amp;number=0.00511&amp;sourceID=14","0.00511")</f>
        <v>0.00511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HYPERLINK("http://141.218.60.56/~jnz1568/getInfo.php?workbook=16_08.xlsx&amp;sheet=U0&amp;row=468&amp;col=6&amp;number=3.4&amp;sourceID=14","3.4")</f>
        <v>3.4</v>
      </c>
      <c r="G468" s="4" t="str">
        <f>HYPERLINK("http://141.218.60.56/~jnz1568/getInfo.php?workbook=16_08.xlsx&amp;sheet=U0&amp;row=468&amp;col=7&amp;number=0.00511&amp;sourceID=14","0.00511")</f>
        <v>0.00511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HYPERLINK("http://141.218.60.56/~jnz1568/getInfo.php?workbook=16_08.xlsx&amp;sheet=U0&amp;row=469&amp;col=6&amp;number=3.5&amp;sourceID=14","3.5")</f>
        <v>3.5</v>
      </c>
      <c r="G469" s="4" t="str">
        <f>HYPERLINK("http://141.218.60.56/~jnz1568/getInfo.php?workbook=16_08.xlsx&amp;sheet=U0&amp;row=469&amp;col=7&amp;number=0.00511&amp;sourceID=14","0.00511")</f>
        <v>0.00511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HYPERLINK("http://141.218.60.56/~jnz1568/getInfo.php?workbook=16_08.xlsx&amp;sheet=U0&amp;row=470&amp;col=6&amp;number=3.6&amp;sourceID=14","3.6")</f>
        <v>3.6</v>
      </c>
      <c r="G470" s="4" t="str">
        <f>HYPERLINK("http://141.218.60.56/~jnz1568/getInfo.php?workbook=16_08.xlsx&amp;sheet=U0&amp;row=470&amp;col=7&amp;number=0.00511&amp;sourceID=14","0.00511")</f>
        <v>0.00511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HYPERLINK("http://141.218.60.56/~jnz1568/getInfo.php?workbook=16_08.xlsx&amp;sheet=U0&amp;row=471&amp;col=6&amp;number=3.7&amp;sourceID=14","3.7")</f>
        <v>3.7</v>
      </c>
      <c r="G471" s="4" t="str">
        <f>HYPERLINK("http://141.218.60.56/~jnz1568/getInfo.php?workbook=16_08.xlsx&amp;sheet=U0&amp;row=471&amp;col=7&amp;number=0.00512&amp;sourceID=14","0.00512")</f>
        <v>0.00512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HYPERLINK("http://141.218.60.56/~jnz1568/getInfo.php?workbook=16_08.xlsx&amp;sheet=U0&amp;row=472&amp;col=6&amp;number=3.8&amp;sourceID=14","3.8")</f>
        <v>3.8</v>
      </c>
      <c r="G472" s="4" t="str">
        <f>HYPERLINK("http://141.218.60.56/~jnz1568/getInfo.php?workbook=16_08.xlsx&amp;sheet=U0&amp;row=472&amp;col=7&amp;number=0.00512&amp;sourceID=14","0.00512")</f>
        <v>0.00512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HYPERLINK("http://141.218.60.56/~jnz1568/getInfo.php?workbook=16_08.xlsx&amp;sheet=U0&amp;row=473&amp;col=6&amp;number=3.9&amp;sourceID=14","3.9")</f>
        <v>3.9</v>
      </c>
      <c r="G473" s="4" t="str">
        <f>HYPERLINK("http://141.218.60.56/~jnz1568/getInfo.php?workbook=16_08.xlsx&amp;sheet=U0&amp;row=473&amp;col=7&amp;number=0.00513&amp;sourceID=14","0.00513")</f>
        <v>0.00513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HYPERLINK("http://141.218.60.56/~jnz1568/getInfo.php?workbook=16_08.xlsx&amp;sheet=U0&amp;row=474&amp;col=6&amp;number=4&amp;sourceID=14","4")</f>
        <v>4</v>
      </c>
      <c r="G474" s="4" t="str">
        <f>HYPERLINK("http://141.218.60.56/~jnz1568/getInfo.php?workbook=16_08.xlsx&amp;sheet=U0&amp;row=474&amp;col=7&amp;number=0.00514&amp;sourceID=14","0.00514")</f>
        <v>0.00514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HYPERLINK("http://141.218.60.56/~jnz1568/getInfo.php?workbook=16_08.xlsx&amp;sheet=U0&amp;row=475&amp;col=6&amp;number=4.1&amp;sourceID=14","4.1")</f>
        <v>4.1</v>
      </c>
      <c r="G475" s="4" t="str">
        <f>HYPERLINK("http://141.218.60.56/~jnz1568/getInfo.php?workbook=16_08.xlsx&amp;sheet=U0&amp;row=475&amp;col=7&amp;number=0.00515&amp;sourceID=14","0.00515")</f>
        <v>0.00515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HYPERLINK("http://141.218.60.56/~jnz1568/getInfo.php?workbook=16_08.xlsx&amp;sheet=U0&amp;row=476&amp;col=6&amp;number=4.2&amp;sourceID=14","4.2")</f>
        <v>4.2</v>
      </c>
      <c r="G476" s="4" t="str">
        <f>HYPERLINK("http://141.218.60.56/~jnz1568/getInfo.php?workbook=16_08.xlsx&amp;sheet=U0&amp;row=476&amp;col=7&amp;number=0.00516&amp;sourceID=14","0.00516")</f>
        <v>0.00516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HYPERLINK("http://141.218.60.56/~jnz1568/getInfo.php?workbook=16_08.xlsx&amp;sheet=U0&amp;row=477&amp;col=6&amp;number=4.3&amp;sourceID=14","4.3")</f>
        <v>4.3</v>
      </c>
      <c r="G477" s="4" t="str">
        <f>HYPERLINK("http://141.218.60.56/~jnz1568/getInfo.php?workbook=16_08.xlsx&amp;sheet=U0&amp;row=477&amp;col=7&amp;number=0.00517&amp;sourceID=14","0.00517")</f>
        <v>0.00517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HYPERLINK("http://141.218.60.56/~jnz1568/getInfo.php?workbook=16_08.xlsx&amp;sheet=U0&amp;row=478&amp;col=6&amp;number=4.4&amp;sourceID=14","4.4")</f>
        <v>4.4</v>
      </c>
      <c r="G478" s="4" t="str">
        <f>HYPERLINK("http://141.218.60.56/~jnz1568/getInfo.php?workbook=16_08.xlsx&amp;sheet=U0&amp;row=478&amp;col=7&amp;number=0.00519&amp;sourceID=14","0.00519")</f>
        <v>0.00519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HYPERLINK("http://141.218.60.56/~jnz1568/getInfo.php?workbook=16_08.xlsx&amp;sheet=U0&amp;row=479&amp;col=6&amp;number=4.5&amp;sourceID=14","4.5")</f>
        <v>4.5</v>
      </c>
      <c r="G479" s="4" t="str">
        <f>HYPERLINK("http://141.218.60.56/~jnz1568/getInfo.php?workbook=16_08.xlsx&amp;sheet=U0&amp;row=479&amp;col=7&amp;number=0.00522&amp;sourceID=14","0.00522")</f>
        <v>0.00522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HYPERLINK("http://141.218.60.56/~jnz1568/getInfo.php?workbook=16_08.xlsx&amp;sheet=U0&amp;row=480&amp;col=6&amp;number=4.6&amp;sourceID=14","4.6")</f>
        <v>4.6</v>
      </c>
      <c r="G480" s="4" t="str">
        <f>HYPERLINK("http://141.218.60.56/~jnz1568/getInfo.php?workbook=16_08.xlsx&amp;sheet=U0&amp;row=480&amp;col=7&amp;number=0.00525&amp;sourceID=14","0.00525")</f>
        <v>0.00525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HYPERLINK("http://141.218.60.56/~jnz1568/getInfo.php?workbook=16_08.xlsx&amp;sheet=U0&amp;row=481&amp;col=6&amp;number=4.7&amp;sourceID=14","4.7")</f>
        <v>4.7</v>
      </c>
      <c r="G481" s="4" t="str">
        <f>HYPERLINK("http://141.218.60.56/~jnz1568/getInfo.php?workbook=16_08.xlsx&amp;sheet=U0&amp;row=481&amp;col=7&amp;number=0.00529&amp;sourceID=14","0.00529")</f>
        <v>0.00529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HYPERLINK("http://141.218.60.56/~jnz1568/getInfo.php?workbook=16_08.xlsx&amp;sheet=U0&amp;row=482&amp;col=6&amp;number=4.8&amp;sourceID=14","4.8")</f>
        <v>4.8</v>
      </c>
      <c r="G482" s="4" t="str">
        <f>HYPERLINK("http://141.218.60.56/~jnz1568/getInfo.php?workbook=16_08.xlsx&amp;sheet=U0&amp;row=482&amp;col=7&amp;number=0.00533&amp;sourceID=14","0.00533")</f>
        <v>0.00533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HYPERLINK("http://141.218.60.56/~jnz1568/getInfo.php?workbook=16_08.xlsx&amp;sheet=U0&amp;row=483&amp;col=6&amp;number=4.9&amp;sourceID=14","4.9")</f>
        <v>4.9</v>
      </c>
      <c r="G483" s="4" t="str">
        <f>HYPERLINK("http://141.218.60.56/~jnz1568/getInfo.php?workbook=16_08.xlsx&amp;sheet=U0&amp;row=483&amp;col=7&amp;number=0.00539&amp;sourceID=14","0.00539")</f>
        <v>0.00539</v>
      </c>
    </row>
    <row r="484" spans="1:7">
      <c r="A484" s="3">
        <v>16</v>
      </c>
      <c r="B484" s="3">
        <v>8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HYPERLINK("http://141.218.60.56/~jnz1568/getInfo.php?workbook=16_08.xlsx&amp;sheet=U0&amp;row=484&amp;col=6&amp;number=3&amp;sourceID=14","3")</f>
        <v>3</v>
      </c>
      <c r="G484" s="4" t="str">
        <f>HYPERLINK("http://141.218.60.56/~jnz1568/getInfo.php?workbook=16_08.xlsx&amp;sheet=U0&amp;row=484&amp;col=7&amp;number=0.00279&amp;sourceID=14","0.00279")</f>
        <v>0.00279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HYPERLINK("http://141.218.60.56/~jnz1568/getInfo.php?workbook=16_08.xlsx&amp;sheet=U0&amp;row=485&amp;col=6&amp;number=3.1&amp;sourceID=14","3.1")</f>
        <v>3.1</v>
      </c>
      <c r="G485" s="4" t="str">
        <f>HYPERLINK("http://141.218.60.56/~jnz1568/getInfo.php?workbook=16_08.xlsx&amp;sheet=U0&amp;row=485&amp;col=7&amp;number=0.00279&amp;sourceID=14","0.00279")</f>
        <v>0.00279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HYPERLINK("http://141.218.60.56/~jnz1568/getInfo.php?workbook=16_08.xlsx&amp;sheet=U0&amp;row=486&amp;col=6&amp;number=3.2&amp;sourceID=14","3.2")</f>
        <v>3.2</v>
      </c>
      <c r="G486" s="4" t="str">
        <f>HYPERLINK("http://141.218.60.56/~jnz1568/getInfo.php?workbook=16_08.xlsx&amp;sheet=U0&amp;row=486&amp;col=7&amp;number=0.00279&amp;sourceID=14","0.00279")</f>
        <v>0.00279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HYPERLINK("http://141.218.60.56/~jnz1568/getInfo.php?workbook=16_08.xlsx&amp;sheet=U0&amp;row=487&amp;col=6&amp;number=3.3&amp;sourceID=14","3.3")</f>
        <v>3.3</v>
      </c>
      <c r="G487" s="4" t="str">
        <f>HYPERLINK("http://141.218.60.56/~jnz1568/getInfo.php?workbook=16_08.xlsx&amp;sheet=U0&amp;row=487&amp;col=7&amp;number=0.00279&amp;sourceID=14","0.00279")</f>
        <v>0.00279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HYPERLINK("http://141.218.60.56/~jnz1568/getInfo.php?workbook=16_08.xlsx&amp;sheet=U0&amp;row=488&amp;col=6&amp;number=3.4&amp;sourceID=14","3.4")</f>
        <v>3.4</v>
      </c>
      <c r="G488" s="4" t="str">
        <f>HYPERLINK("http://141.218.60.56/~jnz1568/getInfo.php?workbook=16_08.xlsx&amp;sheet=U0&amp;row=488&amp;col=7&amp;number=0.00279&amp;sourceID=14","0.00279")</f>
        <v>0.00279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HYPERLINK("http://141.218.60.56/~jnz1568/getInfo.php?workbook=16_08.xlsx&amp;sheet=U0&amp;row=489&amp;col=6&amp;number=3.5&amp;sourceID=14","3.5")</f>
        <v>3.5</v>
      </c>
      <c r="G489" s="4" t="str">
        <f>HYPERLINK("http://141.218.60.56/~jnz1568/getInfo.php?workbook=16_08.xlsx&amp;sheet=U0&amp;row=489&amp;col=7&amp;number=0.00279&amp;sourceID=14","0.00279")</f>
        <v>0.00279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HYPERLINK("http://141.218.60.56/~jnz1568/getInfo.php?workbook=16_08.xlsx&amp;sheet=U0&amp;row=490&amp;col=6&amp;number=3.6&amp;sourceID=14","3.6")</f>
        <v>3.6</v>
      </c>
      <c r="G490" s="4" t="str">
        <f>HYPERLINK("http://141.218.60.56/~jnz1568/getInfo.php?workbook=16_08.xlsx&amp;sheet=U0&amp;row=490&amp;col=7&amp;number=0.00278&amp;sourceID=14","0.00278")</f>
        <v>0.00278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HYPERLINK("http://141.218.60.56/~jnz1568/getInfo.php?workbook=16_08.xlsx&amp;sheet=U0&amp;row=491&amp;col=6&amp;number=3.7&amp;sourceID=14","3.7")</f>
        <v>3.7</v>
      </c>
      <c r="G491" s="4" t="str">
        <f>HYPERLINK("http://141.218.60.56/~jnz1568/getInfo.php?workbook=16_08.xlsx&amp;sheet=U0&amp;row=491&amp;col=7&amp;number=0.00278&amp;sourceID=14","0.00278")</f>
        <v>0.00278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HYPERLINK("http://141.218.60.56/~jnz1568/getInfo.php?workbook=16_08.xlsx&amp;sheet=U0&amp;row=492&amp;col=6&amp;number=3.8&amp;sourceID=14","3.8")</f>
        <v>3.8</v>
      </c>
      <c r="G492" s="4" t="str">
        <f>HYPERLINK("http://141.218.60.56/~jnz1568/getInfo.php?workbook=16_08.xlsx&amp;sheet=U0&amp;row=492&amp;col=7&amp;number=0.00278&amp;sourceID=14","0.00278")</f>
        <v>0.00278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HYPERLINK("http://141.218.60.56/~jnz1568/getInfo.php?workbook=16_08.xlsx&amp;sheet=U0&amp;row=493&amp;col=6&amp;number=3.9&amp;sourceID=14","3.9")</f>
        <v>3.9</v>
      </c>
      <c r="G493" s="4" t="str">
        <f>HYPERLINK("http://141.218.60.56/~jnz1568/getInfo.php?workbook=16_08.xlsx&amp;sheet=U0&amp;row=493&amp;col=7&amp;number=0.00278&amp;sourceID=14","0.00278")</f>
        <v>0.00278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HYPERLINK("http://141.218.60.56/~jnz1568/getInfo.php?workbook=16_08.xlsx&amp;sheet=U0&amp;row=494&amp;col=6&amp;number=4&amp;sourceID=14","4")</f>
        <v>4</v>
      </c>
      <c r="G494" s="4" t="str">
        <f>HYPERLINK("http://141.218.60.56/~jnz1568/getInfo.php?workbook=16_08.xlsx&amp;sheet=U0&amp;row=494&amp;col=7&amp;number=0.00278&amp;sourceID=14","0.00278")</f>
        <v>0.00278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HYPERLINK("http://141.218.60.56/~jnz1568/getInfo.php?workbook=16_08.xlsx&amp;sheet=U0&amp;row=495&amp;col=6&amp;number=4.1&amp;sourceID=14","4.1")</f>
        <v>4.1</v>
      </c>
      <c r="G495" s="4" t="str">
        <f>HYPERLINK("http://141.218.60.56/~jnz1568/getInfo.php?workbook=16_08.xlsx&amp;sheet=U0&amp;row=495&amp;col=7&amp;number=0.00278&amp;sourceID=14","0.00278")</f>
        <v>0.00278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HYPERLINK("http://141.218.60.56/~jnz1568/getInfo.php?workbook=16_08.xlsx&amp;sheet=U0&amp;row=496&amp;col=6&amp;number=4.2&amp;sourceID=14","4.2")</f>
        <v>4.2</v>
      </c>
      <c r="G496" s="4" t="str">
        <f>HYPERLINK("http://141.218.60.56/~jnz1568/getInfo.php?workbook=16_08.xlsx&amp;sheet=U0&amp;row=496&amp;col=7&amp;number=0.00277&amp;sourceID=14","0.00277")</f>
        <v>0.00277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HYPERLINK("http://141.218.60.56/~jnz1568/getInfo.php?workbook=16_08.xlsx&amp;sheet=U0&amp;row=497&amp;col=6&amp;number=4.3&amp;sourceID=14","4.3")</f>
        <v>4.3</v>
      </c>
      <c r="G497" s="4" t="str">
        <f>HYPERLINK("http://141.218.60.56/~jnz1568/getInfo.php?workbook=16_08.xlsx&amp;sheet=U0&amp;row=497&amp;col=7&amp;number=0.00277&amp;sourceID=14","0.00277")</f>
        <v>0.00277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HYPERLINK("http://141.218.60.56/~jnz1568/getInfo.php?workbook=16_08.xlsx&amp;sheet=U0&amp;row=498&amp;col=6&amp;number=4.4&amp;sourceID=14","4.4")</f>
        <v>4.4</v>
      </c>
      <c r="G498" s="4" t="str">
        <f>HYPERLINK("http://141.218.60.56/~jnz1568/getInfo.php?workbook=16_08.xlsx&amp;sheet=U0&amp;row=498&amp;col=7&amp;number=0.00277&amp;sourceID=14","0.00277")</f>
        <v>0.00277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HYPERLINK("http://141.218.60.56/~jnz1568/getInfo.php?workbook=16_08.xlsx&amp;sheet=U0&amp;row=499&amp;col=6&amp;number=4.5&amp;sourceID=14","4.5")</f>
        <v>4.5</v>
      </c>
      <c r="G499" s="4" t="str">
        <f>HYPERLINK("http://141.218.60.56/~jnz1568/getInfo.php?workbook=16_08.xlsx&amp;sheet=U0&amp;row=499&amp;col=7&amp;number=0.00276&amp;sourceID=14","0.00276")</f>
        <v>0.00276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HYPERLINK("http://141.218.60.56/~jnz1568/getInfo.php?workbook=16_08.xlsx&amp;sheet=U0&amp;row=500&amp;col=6&amp;number=4.6&amp;sourceID=14","4.6")</f>
        <v>4.6</v>
      </c>
      <c r="G500" s="4" t="str">
        <f>HYPERLINK("http://141.218.60.56/~jnz1568/getInfo.php?workbook=16_08.xlsx&amp;sheet=U0&amp;row=500&amp;col=7&amp;number=0.00275&amp;sourceID=14","0.00275")</f>
        <v>0.00275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HYPERLINK("http://141.218.60.56/~jnz1568/getInfo.php?workbook=16_08.xlsx&amp;sheet=U0&amp;row=501&amp;col=6&amp;number=4.7&amp;sourceID=14","4.7")</f>
        <v>4.7</v>
      </c>
      <c r="G501" s="4" t="str">
        <f>HYPERLINK("http://141.218.60.56/~jnz1568/getInfo.php?workbook=16_08.xlsx&amp;sheet=U0&amp;row=501&amp;col=7&amp;number=0.00275&amp;sourceID=14","0.00275")</f>
        <v>0.00275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HYPERLINK("http://141.218.60.56/~jnz1568/getInfo.php?workbook=16_08.xlsx&amp;sheet=U0&amp;row=502&amp;col=6&amp;number=4.8&amp;sourceID=14","4.8")</f>
        <v>4.8</v>
      </c>
      <c r="G502" s="4" t="str">
        <f>HYPERLINK("http://141.218.60.56/~jnz1568/getInfo.php?workbook=16_08.xlsx&amp;sheet=U0&amp;row=502&amp;col=7&amp;number=0.00274&amp;sourceID=14","0.00274")</f>
        <v>0.00274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HYPERLINK("http://141.218.60.56/~jnz1568/getInfo.php?workbook=16_08.xlsx&amp;sheet=U0&amp;row=503&amp;col=6&amp;number=4.9&amp;sourceID=14","4.9")</f>
        <v>4.9</v>
      </c>
      <c r="G503" s="4" t="str">
        <f>HYPERLINK("http://141.218.60.56/~jnz1568/getInfo.php?workbook=16_08.xlsx&amp;sheet=U0&amp;row=503&amp;col=7&amp;number=0.00272&amp;sourceID=14","0.00272")</f>
        <v>0.00272</v>
      </c>
    </row>
    <row r="504" spans="1:7">
      <c r="A504" s="3">
        <v>16</v>
      </c>
      <c r="B504" s="3">
        <v>8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HYPERLINK("http://141.218.60.56/~jnz1568/getInfo.php?workbook=16_08.xlsx&amp;sheet=U0&amp;row=504&amp;col=6&amp;number=3&amp;sourceID=14","3")</f>
        <v>3</v>
      </c>
      <c r="G504" s="4" t="str">
        <f>HYPERLINK("http://141.218.60.56/~jnz1568/getInfo.php?workbook=16_08.xlsx&amp;sheet=U0&amp;row=504&amp;col=7&amp;number=0.00682&amp;sourceID=14","0.00682")</f>
        <v>0.00682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HYPERLINK("http://141.218.60.56/~jnz1568/getInfo.php?workbook=16_08.xlsx&amp;sheet=U0&amp;row=505&amp;col=6&amp;number=3.1&amp;sourceID=14","3.1")</f>
        <v>3.1</v>
      </c>
      <c r="G505" s="4" t="str">
        <f>HYPERLINK("http://141.218.60.56/~jnz1568/getInfo.php?workbook=16_08.xlsx&amp;sheet=U0&amp;row=505&amp;col=7&amp;number=0.00682&amp;sourceID=14","0.00682")</f>
        <v>0.00682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HYPERLINK("http://141.218.60.56/~jnz1568/getInfo.php?workbook=16_08.xlsx&amp;sheet=U0&amp;row=506&amp;col=6&amp;number=3.2&amp;sourceID=14","3.2")</f>
        <v>3.2</v>
      </c>
      <c r="G506" s="4" t="str">
        <f>HYPERLINK("http://141.218.60.56/~jnz1568/getInfo.php?workbook=16_08.xlsx&amp;sheet=U0&amp;row=506&amp;col=7&amp;number=0.00682&amp;sourceID=14","0.00682")</f>
        <v>0.00682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HYPERLINK("http://141.218.60.56/~jnz1568/getInfo.php?workbook=16_08.xlsx&amp;sheet=U0&amp;row=507&amp;col=6&amp;number=3.3&amp;sourceID=14","3.3")</f>
        <v>3.3</v>
      </c>
      <c r="G507" s="4" t="str">
        <f>HYPERLINK("http://141.218.60.56/~jnz1568/getInfo.php?workbook=16_08.xlsx&amp;sheet=U0&amp;row=507&amp;col=7&amp;number=0.00682&amp;sourceID=14","0.00682")</f>
        <v>0.00682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HYPERLINK("http://141.218.60.56/~jnz1568/getInfo.php?workbook=16_08.xlsx&amp;sheet=U0&amp;row=508&amp;col=6&amp;number=3.4&amp;sourceID=14","3.4")</f>
        <v>3.4</v>
      </c>
      <c r="G508" s="4" t="str">
        <f>HYPERLINK("http://141.218.60.56/~jnz1568/getInfo.php?workbook=16_08.xlsx&amp;sheet=U0&amp;row=508&amp;col=7&amp;number=0.00682&amp;sourceID=14","0.00682")</f>
        <v>0.00682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HYPERLINK("http://141.218.60.56/~jnz1568/getInfo.php?workbook=16_08.xlsx&amp;sheet=U0&amp;row=509&amp;col=6&amp;number=3.5&amp;sourceID=14","3.5")</f>
        <v>3.5</v>
      </c>
      <c r="G509" s="4" t="str">
        <f>HYPERLINK("http://141.218.60.56/~jnz1568/getInfo.php?workbook=16_08.xlsx&amp;sheet=U0&amp;row=509&amp;col=7&amp;number=0.00682&amp;sourceID=14","0.00682")</f>
        <v>0.00682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HYPERLINK("http://141.218.60.56/~jnz1568/getInfo.php?workbook=16_08.xlsx&amp;sheet=U0&amp;row=510&amp;col=6&amp;number=3.6&amp;sourceID=14","3.6")</f>
        <v>3.6</v>
      </c>
      <c r="G510" s="4" t="str">
        <f>HYPERLINK("http://141.218.60.56/~jnz1568/getInfo.php?workbook=16_08.xlsx&amp;sheet=U0&amp;row=510&amp;col=7&amp;number=0.00681&amp;sourceID=14","0.00681")</f>
        <v>0.00681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HYPERLINK("http://141.218.60.56/~jnz1568/getInfo.php?workbook=16_08.xlsx&amp;sheet=U0&amp;row=511&amp;col=6&amp;number=3.7&amp;sourceID=14","3.7")</f>
        <v>3.7</v>
      </c>
      <c r="G511" s="4" t="str">
        <f>HYPERLINK("http://141.218.60.56/~jnz1568/getInfo.php?workbook=16_08.xlsx&amp;sheet=U0&amp;row=511&amp;col=7&amp;number=0.00681&amp;sourceID=14","0.00681")</f>
        <v>0.00681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HYPERLINK("http://141.218.60.56/~jnz1568/getInfo.php?workbook=16_08.xlsx&amp;sheet=U0&amp;row=512&amp;col=6&amp;number=3.8&amp;sourceID=14","3.8")</f>
        <v>3.8</v>
      </c>
      <c r="G512" s="4" t="str">
        <f>HYPERLINK("http://141.218.60.56/~jnz1568/getInfo.php?workbook=16_08.xlsx&amp;sheet=U0&amp;row=512&amp;col=7&amp;number=0.00681&amp;sourceID=14","0.00681")</f>
        <v>0.00681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HYPERLINK("http://141.218.60.56/~jnz1568/getInfo.php?workbook=16_08.xlsx&amp;sheet=U0&amp;row=513&amp;col=6&amp;number=3.9&amp;sourceID=14","3.9")</f>
        <v>3.9</v>
      </c>
      <c r="G513" s="4" t="str">
        <f>HYPERLINK("http://141.218.60.56/~jnz1568/getInfo.php?workbook=16_08.xlsx&amp;sheet=U0&amp;row=513&amp;col=7&amp;number=0.00681&amp;sourceID=14","0.00681")</f>
        <v>0.00681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HYPERLINK("http://141.218.60.56/~jnz1568/getInfo.php?workbook=16_08.xlsx&amp;sheet=U0&amp;row=514&amp;col=6&amp;number=4&amp;sourceID=14","4")</f>
        <v>4</v>
      </c>
      <c r="G514" s="4" t="str">
        <f>HYPERLINK("http://141.218.60.56/~jnz1568/getInfo.php?workbook=16_08.xlsx&amp;sheet=U0&amp;row=514&amp;col=7&amp;number=0.00681&amp;sourceID=14","0.00681")</f>
        <v>0.00681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HYPERLINK("http://141.218.60.56/~jnz1568/getInfo.php?workbook=16_08.xlsx&amp;sheet=U0&amp;row=515&amp;col=6&amp;number=4.1&amp;sourceID=14","4.1")</f>
        <v>4.1</v>
      </c>
      <c r="G515" s="4" t="str">
        <f>HYPERLINK("http://141.218.60.56/~jnz1568/getInfo.php?workbook=16_08.xlsx&amp;sheet=U0&amp;row=515&amp;col=7&amp;number=0.0068&amp;sourceID=14","0.0068")</f>
        <v>0.0068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HYPERLINK("http://141.218.60.56/~jnz1568/getInfo.php?workbook=16_08.xlsx&amp;sheet=U0&amp;row=516&amp;col=6&amp;number=4.2&amp;sourceID=14","4.2")</f>
        <v>4.2</v>
      </c>
      <c r="G516" s="4" t="str">
        <f>HYPERLINK("http://141.218.60.56/~jnz1568/getInfo.php?workbook=16_08.xlsx&amp;sheet=U0&amp;row=516&amp;col=7&amp;number=0.0068&amp;sourceID=14","0.0068")</f>
        <v>0.0068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HYPERLINK("http://141.218.60.56/~jnz1568/getInfo.php?workbook=16_08.xlsx&amp;sheet=U0&amp;row=517&amp;col=6&amp;number=4.3&amp;sourceID=14","4.3")</f>
        <v>4.3</v>
      </c>
      <c r="G517" s="4" t="str">
        <f>HYPERLINK("http://141.218.60.56/~jnz1568/getInfo.php?workbook=16_08.xlsx&amp;sheet=U0&amp;row=517&amp;col=7&amp;number=0.0068&amp;sourceID=14","0.0068")</f>
        <v>0.0068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HYPERLINK("http://141.218.60.56/~jnz1568/getInfo.php?workbook=16_08.xlsx&amp;sheet=U0&amp;row=518&amp;col=6&amp;number=4.4&amp;sourceID=14","4.4")</f>
        <v>4.4</v>
      </c>
      <c r="G518" s="4" t="str">
        <f>HYPERLINK("http://141.218.60.56/~jnz1568/getInfo.php?workbook=16_08.xlsx&amp;sheet=U0&amp;row=518&amp;col=7&amp;number=0.00679&amp;sourceID=14","0.00679")</f>
        <v>0.00679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HYPERLINK("http://141.218.60.56/~jnz1568/getInfo.php?workbook=16_08.xlsx&amp;sheet=U0&amp;row=519&amp;col=6&amp;number=4.5&amp;sourceID=14","4.5")</f>
        <v>4.5</v>
      </c>
      <c r="G519" s="4" t="str">
        <f>HYPERLINK("http://141.218.60.56/~jnz1568/getInfo.php?workbook=16_08.xlsx&amp;sheet=U0&amp;row=519&amp;col=7&amp;number=0.00678&amp;sourceID=14","0.00678")</f>
        <v>0.00678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HYPERLINK("http://141.218.60.56/~jnz1568/getInfo.php?workbook=16_08.xlsx&amp;sheet=U0&amp;row=520&amp;col=6&amp;number=4.6&amp;sourceID=14","4.6")</f>
        <v>4.6</v>
      </c>
      <c r="G520" s="4" t="str">
        <f>HYPERLINK("http://141.218.60.56/~jnz1568/getInfo.php?workbook=16_08.xlsx&amp;sheet=U0&amp;row=520&amp;col=7&amp;number=0.00677&amp;sourceID=14","0.00677")</f>
        <v>0.00677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HYPERLINK("http://141.218.60.56/~jnz1568/getInfo.php?workbook=16_08.xlsx&amp;sheet=U0&amp;row=521&amp;col=6&amp;number=4.7&amp;sourceID=14","4.7")</f>
        <v>4.7</v>
      </c>
      <c r="G521" s="4" t="str">
        <f>HYPERLINK("http://141.218.60.56/~jnz1568/getInfo.php?workbook=16_08.xlsx&amp;sheet=U0&amp;row=521&amp;col=7&amp;number=0.00676&amp;sourceID=14","0.00676")</f>
        <v>0.00676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HYPERLINK("http://141.218.60.56/~jnz1568/getInfo.php?workbook=16_08.xlsx&amp;sheet=U0&amp;row=522&amp;col=6&amp;number=4.8&amp;sourceID=14","4.8")</f>
        <v>4.8</v>
      </c>
      <c r="G522" s="4" t="str">
        <f>HYPERLINK("http://141.218.60.56/~jnz1568/getInfo.php?workbook=16_08.xlsx&amp;sheet=U0&amp;row=522&amp;col=7&amp;number=0.00675&amp;sourceID=14","0.00675")</f>
        <v>0.00675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HYPERLINK("http://141.218.60.56/~jnz1568/getInfo.php?workbook=16_08.xlsx&amp;sheet=U0&amp;row=523&amp;col=6&amp;number=4.9&amp;sourceID=14","4.9")</f>
        <v>4.9</v>
      </c>
      <c r="G523" s="4" t="str">
        <f>HYPERLINK("http://141.218.60.56/~jnz1568/getInfo.php?workbook=16_08.xlsx&amp;sheet=U0&amp;row=523&amp;col=7&amp;number=0.00673&amp;sourceID=14","0.00673")</f>
        <v>0.00673</v>
      </c>
    </row>
    <row r="524" spans="1:7">
      <c r="A524" s="3">
        <v>16</v>
      </c>
      <c r="B524" s="3">
        <v>8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HYPERLINK("http://141.218.60.56/~jnz1568/getInfo.php?workbook=16_08.xlsx&amp;sheet=U0&amp;row=524&amp;col=6&amp;number=3&amp;sourceID=14","3")</f>
        <v>3</v>
      </c>
      <c r="G524" s="4" t="str">
        <f>HYPERLINK("http://141.218.60.56/~jnz1568/getInfo.php?workbook=16_08.xlsx&amp;sheet=U0&amp;row=524&amp;col=7&amp;number=0.00843&amp;sourceID=14","0.00843")</f>
        <v>0.00843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HYPERLINK("http://141.218.60.56/~jnz1568/getInfo.php?workbook=16_08.xlsx&amp;sheet=U0&amp;row=525&amp;col=6&amp;number=3.1&amp;sourceID=14","3.1")</f>
        <v>3.1</v>
      </c>
      <c r="G525" s="4" t="str">
        <f>HYPERLINK("http://141.218.60.56/~jnz1568/getInfo.php?workbook=16_08.xlsx&amp;sheet=U0&amp;row=525&amp;col=7&amp;number=0.00843&amp;sourceID=14","0.00843")</f>
        <v>0.00843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HYPERLINK("http://141.218.60.56/~jnz1568/getInfo.php?workbook=16_08.xlsx&amp;sheet=U0&amp;row=526&amp;col=6&amp;number=3.2&amp;sourceID=14","3.2")</f>
        <v>3.2</v>
      </c>
      <c r="G526" s="4" t="str">
        <f>HYPERLINK("http://141.218.60.56/~jnz1568/getInfo.php?workbook=16_08.xlsx&amp;sheet=U0&amp;row=526&amp;col=7&amp;number=0.00843&amp;sourceID=14","0.00843")</f>
        <v>0.00843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HYPERLINK("http://141.218.60.56/~jnz1568/getInfo.php?workbook=16_08.xlsx&amp;sheet=U0&amp;row=527&amp;col=6&amp;number=3.3&amp;sourceID=14","3.3")</f>
        <v>3.3</v>
      </c>
      <c r="G527" s="4" t="str">
        <f>HYPERLINK("http://141.218.60.56/~jnz1568/getInfo.php?workbook=16_08.xlsx&amp;sheet=U0&amp;row=527&amp;col=7&amp;number=0.00843&amp;sourceID=14","0.00843")</f>
        <v>0.00843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HYPERLINK("http://141.218.60.56/~jnz1568/getInfo.php?workbook=16_08.xlsx&amp;sheet=U0&amp;row=528&amp;col=6&amp;number=3.4&amp;sourceID=14","3.4")</f>
        <v>3.4</v>
      </c>
      <c r="G528" s="4" t="str">
        <f>HYPERLINK("http://141.218.60.56/~jnz1568/getInfo.php?workbook=16_08.xlsx&amp;sheet=U0&amp;row=528&amp;col=7&amp;number=0.00842&amp;sourceID=14","0.00842")</f>
        <v>0.00842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HYPERLINK("http://141.218.60.56/~jnz1568/getInfo.php?workbook=16_08.xlsx&amp;sheet=U0&amp;row=529&amp;col=6&amp;number=3.5&amp;sourceID=14","3.5")</f>
        <v>3.5</v>
      </c>
      <c r="G529" s="4" t="str">
        <f>HYPERLINK("http://141.218.60.56/~jnz1568/getInfo.php?workbook=16_08.xlsx&amp;sheet=U0&amp;row=529&amp;col=7&amp;number=0.00842&amp;sourceID=14","0.00842")</f>
        <v>0.00842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HYPERLINK("http://141.218.60.56/~jnz1568/getInfo.php?workbook=16_08.xlsx&amp;sheet=U0&amp;row=530&amp;col=6&amp;number=3.6&amp;sourceID=14","3.6")</f>
        <v>3.6</v>
      </c>
      <c r="G530" s="4" t="str">
        <f>HYPERLINK("http://141.218.60.56/~jnz1568/getInfo.php?workbook=16_08.xlsx&amp;sheet=U0&amp;row=530&amp;col=7&amp;number=0.00842&amp;sourceID=14","0.00842")</f>
        <v>0.00842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HYPERLINK("http://141.218.60.56/~jnz1568/getInfo.php?workbook=16_08.xlsx&amp;sheet=U0&amp;row=531&amp;col=6&amp;number=3.7&amp;sourceID=14","3.7")</f>
        <v>3.7</v>
      </c>
      <c r="G531" s="4" t="str">
        <f>HYPERLINK("http://141.218.60.56/~jnz1568/getInfo.php?workbook=16_08.xlsx&amp;sheet=U0&amp;row=531&amp;col=7&amp;number=0.00842&amp;sourceID=14","0.00842")</f>
        <v>0.00842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HYPERLINK("http://141.218.60.56/~jnz1568/getInfo.php?workbook=16_08.xlsx&amp;sheet=U0&amp;row=532&amp;col=6&amp;number=3.8&amp;sourceID=14","3.8")</f>
        <v>3.8</v>
      </c>
      <c r="G532" s="4" t="str">
        <f>HYPERLINK("http://141.218.60.56/~jnz1568/getInfo.php?workbook=16_08.xlsx&amp;sheet=U0&amp;row=532&amp;col=7&amp;number=0.00842&amp;sourceID=14","0.00842")</f>
        <v>0.00842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HYPERLINK("http://141.218.60.56/~jnz1568/getInfo.php?workbook=16_08.xlsx&amp;sheet=U0&amp;row=533&amp;col=6&amp;number=3.9&amp;sourceID=14","3.9")</f>
        <v>3.9</v>
      </c>
      <c r="G533" s="4" t="str">
        <f>HYPERLINK("http://141.218.60.56/~jnz1568/getInfo.php?workbook=16_08.xlsx&amp;sheet=U0&amp;row=533&amp;col=7&amp;number=0.00842&amp;sourceID=14","0.00842")</f>
        <v>0.00842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HYPERLINK("http://141.218.60.56/~jnz1568/getInfo.php?workbook=16_08.xlsx&amp;sheet=U0&amp;row=534&amp;col=6&amp;number=4&amp;sourceID=14","4")</f>
        <v>4</v>
      </c>
      <c r="G534" s="4" t="str">
        <f>HYPERLINK("http://141.218.60.56/~jnz1568/getInfo.php?workbook=16_08.xlsx&amp;sheet=U0&amp;row=534&amp;col=7&amp;number=0.00842&amp;sourceID=14","0.00842")</f>
        <v>0.00842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HYPERLINK("http://141.218.60.56/~jnz1568/getInfo.php?workbook=16_08.xlsx&amp;sheet=U0&amp;row=535&amp;col=6&amp;number=4.1&amp;sourceID=14","4.1")</f>
        <v>4.1</v>
      </c>
      <c r="G535" s="4" t="str">
        <f>HYPERLINK("http://141.218.60.56/~jnz1568/getInfo.php?workbook=16_08.xlsx&amp;sheet=U0&amp;row=535&amp;col=7&amp;number=0.00842&amp;sourceID=14","0.00842")</f>
        <v>0.00842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HYPERLINK("http://141.218.60.56/~jnz1568/getInfo.php?workbook=16_08.xlsx&amp;sheet=U0&amp;row=536&amp;col=6&amp;number=4.2&amp;sourceID=14","4.2")</f>
        <v>4.2</v>
      </c>
      <c r="G536" s="4" t="str">
        <f>HYPERLINK("http://141.218.60.56/~jnz1568/getInfo.php?workbook=16_08.xlsx&amp;sheet=U0&amp;row=536&amp;col=7&amp;number=0.00841&amp;sourceID=14","0.00841")</f>
        <v>0.00841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HYPERLINK("http://141.218.60.56/~jnz1568/getInfo.php?workbook=16_08.xlsx&amp;sheet=U0&amp;row=537&amp;col=6&amp;number=4.3&amp;sourceID=14","4.3")</f>
        <v>4.3</v>
      </c>
      <c r="G537" s="4" t="str">
        <f>HYPERLINK("http://141.218.60.56/~jnz1568/getInfo.php?workbook=16_08.xlsx&amp;sheet=U0&amp;row=537&amp;col=7&amp;number=0.00841&amp;sourceID=14","0.00841")</f>
        <v>0.00841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HYPERLINK("http://141.218.60.56/~jnz1568/getInfo.php?workbook=16_08.xlsx&amp;sheet=U0&amp;row=538&amp;col=6&amp;number=4.4&amp;sourceID=14","4.4")</f>
        <v>4.4</v>
      </c>
      <c r="G538" s="4" t="str">
        <f>HYPERLINK("http://141.218.60.56/~jnz1568/getInfo.php?workbook=16_08.xlsx&amp;sheet=U0&amp;row=538&amp;col=7&amp;number=0.00841&amp;sourceID=14","0.00841")</f>
        <v>0.00841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HYPERLINK("http://141.218.60.56/~jnz1568/getInfo.php?workbook=16_08.xlsx&amp;sheet=U0&amp;row=539&amp;col=6&amp;number=4.5&amp;sourceID=14","4.5")</f>
        <v>4.5</v>
      </c>
      <c r="G539" s="4" t="str">
        <f>HYPERLINK("http://141.218.60.56/~jnz1568/getInfo.php?workbook=16_08.xlsx&amp;sheet=U0&amp;row=539&amp;col=7&amp;number=0.0084&amp;sourceID=14","0.0084")</f>
        <v>0.0084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HYPERLINK("http://141.218.60.56/~jnz1568/getInfo.php?workbook=16_08.xlsx&amp;sheet=U0&amp;row=540&amp;col=6&amp;number=4.6&amp;sourceID=14","4.6")</f>
        <v>4.6</v>
      </c>
      <c r="G540" s="4" t="str">
        <f>HYPERLINK("http://141.218.60.56/~jnz1568/getInfo.php?workbook=16_08.xlsx&amp;sheet=U0&amp;row=540&amp;col=7&amp;number=0.00839&amp;sourceID=14","0.00839")</f>
        <v>0.00839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HYPERLINK("http://141.218.60.56/~jnz1568/getInfo.php?workbook=16_08.xlsx&amp;sheet=U0&amp;row=541&amp;col=6&amp;number=4.7&amp;sourceID=14","4.7")</f>
        <v>4.7</v>
      </c>
      <c r="G541" s="4" t="str">
        <f>HYPERLINK("http://141.218.60.56/~jnz1568/getInfo.php?workbook=16_08.xlsx&amp;sheet=U0&amp;row=541&amp;col=7&amp;number=0.00839&amp;sourceID=14","0.00839")</f>
        <v>0.00839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HYPERLINK("http://141.218.60.56/~jnz1568/getInfo.php?workbook=16_08.xlsx&amp;sheet=U0&amp;row=542&amp;col=6&amp;number=4.8&amp;sourceID=14","4.8")</f>
        <v>4.8</v>
      </c>
      <c r="G542" s="4" t="str">
        <f>HYPERLINK("http://141.218.60.56/~jnz1568/getInfo.php?workbook=16_08.xlsx&amp;sheet=U0&amp;row=542&amp;col=7&amp;number=0.00838&amp;sourceID=14","0.00838")</f>
        <v>0.00838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HYPERLINK("http://141.218.60.56/~jnz1568/getInfo.php?workbook=16_08.xlsx&amp;sheet=U0&amp;row=543&amp;col=6&amp;number=4.9&amp;sourceID=14","4.9")</f>
        <v>4.9</v>
      </c>
      <c r="G543" s="4" t="str">
        <f>HYPERLINK("http://141.218.60.56/~jnz1568/getInfo.php?workbook=16_08.xlsx&amp;sheet=U0&amp;row=543&amp;col=7&amp;number=0.00836&amp;sourceID=14","0.00836")</f>
        <v>0.00836</v>
      </c>
    </row>
    <row r="544" spans="1:7">
      <c r="A544" s="3">
        <v>16</v>
      </c>
      <c r="B544" s="3">
        <v>8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HYPERLINK("http://141.218.60.56/~jnz1568/getInfo.php?workbook=16_08.xlsx&amp;sheet=U0&amp;row=544&amp;col=6&amp;number=3&amp;sourceID=14","3")</f>
        <v>3</v>
      </c>
      <c r="G544" s="4" t="str">
        <f>HYPERLINK("http://141.218.60.56/~jnz1568/getInfo.php?workbook=16_08.xlsx&amp;sheet=U0&amp;row=544&amp;col=7&amp;number=0.0159&amp;sourceID=14","0.0159")</f>
        <v>0.0159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HYPERLINK("http://141.218.60.56/~jnz1568/getInfo.php?workbook=16_08.xlsx&amp;sheet=U0&amp;row=545&amp;col=6&amp;number=3.1&amp;sourceID=14","3.1")</f>
        <v>3.1</v>
      </c>
      <c r="G545" s="4" t="str">
        <f>HYPERLINK("http://141.218.60.56/~jnz1568/getInfo.php?workbook=16_08.xlsx&amp;sheet=U0&amp;row=545&amp;col=7&amp;number=0.0159&amp;sourceID=14","0.0159")</f>
        <v>0.0159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HYPERLINK("http://141.218.60.56/~jnz1568/getInfo.php?workbook=16_08.xlsx&amp;sheet=U0&amp;row=546&amp;col=6&amp;number=3.2&amp;sourceID=14","3.2")</f>
        <v>3.2</v>
      </c>
      <c r="G546" s="4" t="str">
        <f>HYPERLINK("http://141.218.60.56/~jnz1568/getInfo.php?workbook=16_08.xlsx&amp;sheet=U0&amp;row=546&amp;col=7&amp;number=0.0159&amp;sourceID=14","0.0159")</f>
        <v>0.0159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HYPERLINK("http://141.218.60.56/~jnz1568/getInfo.php?workbook=16_08.xlsx&amp;sheet=U0&amp;row=547&amp;col=6&amp;number=3.3&amp;sourceID=14","3.3")</f>
        <v>3.3</v>
      </c>
      <c r="G547" s="4" t="str">
        <f>HYPERLINK("http://141.218.60.56/~jnz1568/getInfo.php?workbook=16_08.xlsx&amp;sheet=U0&amp;row=547&amp;col=7&amp;number=0.0159&amp;sourceID=14","0.0159")</f>
        <v>0.0159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HYPERLINK("http://141.218.60.56/~jnz1568/getInfo.php?workbook=16_08.xlsx&amp;sheet=U0&amp;row=548&amp;col=6&amp;number=3.4&amp;sourceID=14","3.4")</f>
        <v>3.4</v>
      </c>
      <c r="G548" s="4" t="str">
        <f>HYPERLINK("http://141.218.60.56/~jnz1568/getInfo.php?workbook=16_08.xlsx&amp;sheet=U0&amp;row=548&amp;col=7&amp;number=0.0159&amp;sourceID=14","0.0159")</f>
        <v>0.0159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HYPERLINK("http://141.218.60.56/~jnz1568/getInfo.php?workbook=16_08.xlsx&amp;sheet=U0&amp;row=549&amp;col=6&amp;number=3.5&amp;sourceID=14","3.5")</f>
        <v>3.5</v>
      </c>
      <c r="G549" s="4" t="str">
        <f>HYPERLINK("http://141.218.60.56/~jnz1568/getInfo.php?workbook=16_08.xlsx&amp;sheet=U0&amp;row=549&amp;col=7&amp;number=0.0159&amp;sourceID=14","0.0159")</f>
        <v>0.0159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HYPERLINK("http://141.218.60.56/~jnz1568/getInfo.php?workbook=16_08.xlsx&amp;sheet=U0&amp;row=550&amp;col=6&amp;number=3.6&amp;sourceID=14","3.6")</f>
        <v>3.6</v>
      </c>
      <c r="G550" s="4" t="str">
        <f>HYPERLINK("http://141.218.60.56/~jnz1568/getInfo.php?workbook=16_08.xlsx&amp;sheet=U0&amp;row=550&amp;col=7&amp;number=0.0159&amp;sourceID=14","0.0159")</f>
        <v>0.0159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HYPERLINK("http://141.218.60.56/~jnz1568/getInfo.php?workbook=16_08.xlsx&amp;sheet=U0&amp;row=551&amp;col=6&amp;number=3.7&amp;sourceID=14","3.7")</f>
        <v>3.7</v>
      </c>
      <c r="G551" s="4" t="str">
        <f>HYPERLINK("http://141.218.60.56/~jnz1568/getInfo.php?workbook=16_08.xlsx&amp;sheet=U0&amp;row=551&amp;col=7&amp;number=0.0159&amp;sourceID=14","0.0159")</f>
        <v>0.0159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HYPERLINK("http://141.218.60.56/~jnz1568/getInfo.php?workbook=16_08.xlsx&amp;sheet=U0&amp;row=552&amp;col=6&amp;number=3.8&amp;sourceID=14","3.8")</f>
        <v>3.8</v>
      </c>
      <c r="G552" s="4" t="str">
        <f>HYPERLINK("http://141.218.60.56/~jnz1568/getInfo.php?workbook=16_08.xlsx&amp;sheet=U0&amp;row=552&amp;col=7&amp;number=0.0159&amp;sourceID=14","0.0159")</f>
        <v>0.0159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HYPERLINK("http://141.218.60.56/~jnz1568/getInfo.php?workbook=16_08.xlsx&amp;sheet=U0&amp;row=553&amp;col=6&amp;number=3.9&amp;sourceID=14","3.9")</f>
        <v>3.9</v>
      </c>
      <c r="G553" s="4" t="str">
        <f>HYPERLINK("http://141.218.60.56/~jnz1568/getInfo.php?workbook=16_08.xlsx&amp;sheet=U0&amp;row=553&amp;col=7&amp;number=0.0159&amp;sourceID=14","0.0159")</f>
        <v>0.0159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HYPERLINK("http://141.218.60.56/~jnz1568/getInfo.php?workbook=16_08.xlsx&amp;sheet=U0&amp;row=554&amp;col=6&amp;number=4&amp;sourceID=14","4")</f>
        <v>4</v>
      </c>
      <c r="G554" s="4" t="str">
        <f>HYPERLINK("http://141.218.60.56/~jnz1568/getInfo.php?workbook=16_08.xlsx&amp;sheet=U0&amp;row=554&amp;col=7&amp;number=0.0159&amp;sourceID=14","0.0159")</f>
        <v>0.0159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HYPERLINK("http://141.218.60.56/~jnz1568/getInfo.php?workbook=16_08.xlsx&amp;sheet=U0&amp;row=555&amp;col=6&amp;number=4.1&amp;sourceID=14","4.1")</f>
        <v>4.1</v>
      </c>
      <c r="G555" s="4" t="str">
        <f>HYPERLINK("http://141.218.60.56/~jnz1568/getInfo.php?workbook=16_08.xlsx&amp;sheet=U0&amp;row=555&amp;col=7&amp;number=0.0159&amp;sourceID=14","0.0159")</f>
        <v>0.0159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HYPERLINK("http://141.218.60.56/~jnz1568/getInfo.php?workbook=16_08.xlsx&amp;sheet=U0&amp;row=556&amp;col=6&amp;number=4.2&amp;sourceID=14","4.2")</f>
        <v>4.2</v>
      </c>
      <c r="G556" s="4" t="str">
        <f>HYPERLINK("http://141.218.60.56/~jnz1568/getInfo.php?workbook=16_08.xlsx&amp;sheet=U0&amp;row=556&amp;col=7&amp;number=0.0159&amp;sourceID=14","0.0159")</f>
        <v>0.0159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HYPERLINK("http://141.218.60.56/~jnz1568/getInfo.php?workbook=16_08.xlsx&amp;sheet=U0&amp;row=557&amp;col=6&amp;number=4.3&amp;sourceID=14","4.3")</f>
        <v>4.3</v>
      </c>
      <c r="G557" s="4" t="str">
        <f>HYPERLINK("http://141.218.60.56/~jnz1568/getInfo.php?workbook=16_08.xlsx&amp;sheet=U0&amp;row=557&amp;col=7&amp;number=0.0159&amp;sourceID=14","0.0159")</f>
        <v>0.0159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HYPERLINK("http://141.218.60.56/~jnz1568/getInfo.php?workbook=16_08.xlsx&amp;sheet=U0&amp;row=558&amp;col=6&amp;number=4.4&amp;sourceID=14","4.4")</f>
        <v>4.4</v>
      </c>
      <c r="G558" s="4" t="str">
        <f>HYPERLINK("http://141.218.60.56/~jnz1568/getInfo.php?workbook=16_08.xlsx&amp;sheet=U0&amp;row=558&amp;col=7&amp;number=0.0159&amp;sourceID=14","0.0159")</f>
        <v>0.0159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HYPERLINK("http://141.218.60.56/~jnz1568/getInfo.php?workbook=16_08.xlsx&amp;sheet=U0&amp;row=559&amp;col=6&amp;number=4.5&amp;sourceID=14","4.5")</f>
        <v>4.5</v>
      </c>
      <c r="G559" s="4" t="str">
        <f>HYPERLINK("http://141.218.60.56/~jnz1568/getInfo.php?workbook=16_08.xlsx&amp;sheet=U0&amp;row=559&amp;col=7&amp;number=0.0158&amp;sourceID=14","0.0158")</f>
        <v>0.0158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HYPERLINK("http://141.218.60.56/~jnz1568/getInfo.php?workbook=16_08.xlsx&amp;sheet=U0&amp;row=560&amp;col=6&amp;number=4.6&amp;sourceID=14","4.6")</f>
        <v>4.6</v>
      </c>
      <c r="G560" s="4" t="str">
        <f>HYPERLINK("http://141.218.60.56/~jnz1568/getInfo.php?workbook=16_08.xlsx&amp;sheet=U0&amp;row=560&amp;col=7&amp;number=0.0158&amp;sourceID=14","0.0158")</f>
        <v>0.0158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HYPERLINK("http://141.218.60.56/~jnz1568/getInfo.php?workbook=16_08.xlsx&amp;sheet=U0&amp;row=561&amp;col=6&amp;number=4.7&amp;sourceID=14","4.7")</f>
        <v>4.7</v>
      </c>
      <c r="G561" s="4" t="str">
        <f>HYPERLINK("http://141.218.60.56/~jnz1568/getInfo.php?workbook=16_08.xlsx&amp;sheet=U0&amp;row=561&amp;col=7&amp;number=0.0158&amp;sourceID=14","0.0158")</f>
        <v>0.0158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HYPERLINK("http://141.218.60.56/~jnz1568/getInfo.php?workbook=16_08.xlsx&amp;sheet=U0&amp;row=562&amp;col=6&amp;number=4.8&amp;sourceID=14","4.8")</f>
        <v>4.8</v>
      </c>
      <c r="G562" s="4" t="str">
        <f>HYPERLINK("http://141.218.60.56/~jnz1568/getInfo.php?workbook=16_08.xlsx&amp;sheet=U0&amp;row=562&amp;col=7&amp;number=0.0158&amp;sourceID=14","0.0158")</f>
        <v>0.0158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HYPERLINK("http://141.218.60.56/~jnz1568/getInfo.php?workbook=16_08.xlsx&amp;sheet=U0&amp;row=563&amp;col=6&amp;number=4.9&amp;sourceID=14","4.9")</f>
        <v>4.9</v>
      </c>
      <c r="G563" s="4" t="str">
        <f>HYPERLINK("http://141.218.60.56/~jnz1568/getInfo.php?workbook=16_08.xlsx&amp;sheet=U0&amp;row=563&amp;col=7&amp;number=0.0158&amp;sourceID=14","0.0158")</f>
        <v>0.0158</v>
      </c>
    </row>
    <row r="564" spans="1:7">
      <c r="A564" s="3">
        <v>16</v>
      </c>
      <c r="B564" s="3">
        <v>8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HYPERLINK("http://141.218.60.56/~jnz1568/getInfo.php?workbook=16_08.xlsx&amp;sheet=U0&amp;row=564&amp;col=6&amp;number=3&amp;sourceID=14","3")</f>
        <v>3</v>
      </c>
      <c r="G564" s="4" t="str">
        <f>HYPERLINK("http://141.218.60.56/~jnz1568/getInfo.php?workbook=16_08.xlsx&amp;sheet=U0&amp;row=564&amp;col=7&amp;number=0.00623&amp;sourceID=14","0.00623")</f>
        <v>0.00623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HYPERLINK("http://141.218.60.56/~jnz1568/getInfo.php?workbook=16_08.xlsx&amp;sheet=U0&amp;row=565&amp;col=6&amp;number=3.1&amp;sourceID=14","3.1")</f>
        <v>3.1</v>
      </c>
      <c r="G565" s="4" t="str">
        <f>HYPERLINK("http://141.218.60.56/~jnz1568/getInfo.php?workbook=16_08.xlsx&amp;sheet=U0&amp;row=565&amp;col=7&amp;number=0.00623&amp;sourceID=14","0.00623")</f>
        <v>0.00623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HYPERLINK("http://141.218.60.56/~jnz1568/getInfo.php?workbook=16_08.xlsx&amp;sheet=U0&amp;row=566&amp;col=6&amp;number=3.2&amp;sourceID=14","3.2")</f>
        <v>3.2</v>
      </c>
      <c r="G566" s="4" t="str">
        <f>HYPERLINK("http://141.218.60.56/~jnz1568/getInfo.php?workbook=16_08.xlsx&amp;sheet=U0&amp;row=566&amp;col=7&amp;number=0.00622&amp;sourceID=14","0.00622")</f>
        <v>0.00622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HYPERLINK("http://141.218.60.56/~jnz1568/getInfo.php?workbook=16_08.xlsx&amp;sheet=U0&amp;row=567&amp;col=6&amp;number=3.3&amp;sourceID=14","3.3")</f>
        <v>3.3</v>
      </c>
      <c r="G567" s="4" t="str">
        <f>HYPERLINK("http://141.218.60.56/~jnz1568/getInfo.php?workbook=16_08.xlsx&amp;sheet=U0&amp;row=567&amp;col=7&amp;number=0.00622&amp;sourceID=14","0.00622")</f>
        <v>0.00622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HYPERLINK("http://141.218.60.56/~jnz1568/getInfo.php?workbook=16_08.xlsx&amp;sheet=U0&amp;row=568&amp;col=6&amp;number=3.4&amp;sourceID=14","3.4")</f>
        <v>3.4</v>
      </c>
      <c r="G568" s="4" t="str">
        <f>HYPERLINK("http://141.218.60.56/~jnz1568/getInfo.php?workbook=16_08.xlsx&amp;sheet=U0&amp;row=568&amp;col=7&amp;number=0.00622&amp;sourceID=14","0.00622")</f>
        <v>0.00622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HYPERLINK("http://141.218.60.56/~jnz1568/getInfo.php?workbook=16_08.xlsx&amp;sheet=U0&amp;row=569&amp;col=6&amp;number=3.5&amp;sourceID=14","3.5")</f>
        <v>3.5</v>
      </c>
      <c r="G569" s="4" t="str">
        <f>HYPERLINK("http://141.218.60.56/~jnz1568/getInfo.php?workbook=16_08.xlsx&amp;sheet=U0&amp;row=569&amp;col=7&amp;number=0.00622&amp;sourceID=14","0.00622")</f>
        <v>0.00622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HYPERLINK("http://141.218.60.56/~jnz1568/getInfo.php?workbook=16_08.xlsx&amp;sheet=U0&amp;row=570&amp;col=6&amp;number=3.6&amp;sourceID=14","3.6")</f>
        <v>3.6</v>
      </c>
      <c r="G570" s="4" t="str">
        <f>HYPERLINK("http://141.218.60.56/~jnz1568/getInfo.php?workbook=16_08.xlsx&amp;sheet=U0&amp;row=570&amp;col=7&amp;number=0.00622&amp;sourceID=14","0.00622")</f>
        <v>0.00622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HYPERLINK("http://141.218.60.56/~jnz1568/getInfo.php?workbook=16_08.xlsx&amp;sheet=U0&amp;row=571&amp;col=6&amp;number=3.7&amp;sourceID=14","3.7")</f>
        <v>3.7</v>
      </c>
      <c r="G571" s="4" t="str">
        <f>HYPERLINK("http://141.218.60.56/~jnz1568/getInfo.php?workbook=16_08.xlsx&amp;sheet=U0&amp;row=571&amp;col=7&amp;number=0.00622&amp;sourceID=14","0.00622")</f>
        <v>0.00622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HYPERLINK("http://141.218.60.56/~jnz1568/getInfo.php?workbook=16_08.xlsx&amp;sheet=U0&amp;row=572&amp;col=6&amp;number=3.8&amp;sourceID=14","3.8")</f>
        <v>3.8</v>
      </c>
      <c r="G572" s="4" t="str">
        <f>HYPERLINK("http://141.218.60.56/~jnz1568/getInfo.php?workbook=16_08.xlsx&amp;sheet=U0&amp;row=572&amp;col=7&amp;number=0.00622&amp;sourceID=14","0.00622")</f>
        <v>0.00622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HYPERLINK("http://141.218.60.56/~jnz1568/getInfo.php?workbook=16_08.xlsx&amp;sheet=U0&amp;row=573&amp;col=6&amp;number=3.9&amp;sourceID=14","3.9")</f>
        <v>3.9</v>
      </c>
      <c r="G573" s="4" t="str">
        <f>HYPERLINK("http://141.218.60.56/~jnz1568/getInfo.php?workbook=16_08.xlsx&amp;sheet=U0&amp;row=573&amp;col=7&amp;number=0.00621&amp;sourceID=14","0.00621")</f>
        <v>0.00621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HYPERLINK("http://141.218.60.56/~jnz1568/getInfo.php?workbook=16_08.xlsx&amp;sheet=U0&amp;row=574&amp;col=6&amp;number=4&amp;sourceID=14","4")</f>
        <v>4</v>
      </c>
      <c r="G574" s="4" t="str">
        <f>HYPERLINK("http://141.218.60.56/~jnz1568/getInfo.php?workbook=16_08.xlsx&amp;sheet=U0&amp;row=574&amp;col=7&amp;number=0.00621&amp;sourceID=14","0.00621")</f>
        <v>0.00621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HYPERLINK("http://141.218.60.56/~jnz1568/getInfo.php?workbook=16_08.xlsx&amp;sheet=U0&amp;row=575&amp;col=6&amp;number=4.1&amp;sourceID=14","4.1")</f>
        <v>4.1</v>
      </c>
      <c r="G575" s="4" t="str">
        <f>HYPERLINK("http://141.218.60.56/~jnz1568/getInfo.php?workbook=16_08.xlsx&amp;sheet=U0&amp;row=575&amp;col=7&amp;number=0.00621&amp;sourceID=14","0.00621")</f>
        <v>0.00621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HYPERLINK("http://141.218.60.56/~jnz1568/getInfo.php?workbook=16_08.xlsx&amp;sheet=U0&amp;row=576&amp;col=6&amp;number=4.2&amp;sourceID=14","4.2")</f>
        <v>4.2</v>
      </c>
      <c r="G576" s="4" t="str">
        <f>HYPERLINK("http://141.218.60.56/~jnz1568/getInfo.php?workbook=16_08.xlsx&amp;sheet=U0&amp;row=576&amp;col=7&amp;number=0.0062&amp;sourceID=14","0.0062")</f>
        <v>0.0062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HYPERLINK("http://141.218.60.56/~jnz1568/getInfo.php?workbook=16_08.xlsx&amp;sheet=U0&amp;row=577&amp;col=6&amp;number=4.3&amp;sourceID=14","4.3")</f>
        <v>4.3</v>
      </c>
      <c r="G577" s="4" t="str">
        <f>HYPERLINK("http://141.218.60.56/~jnz1568/getInfo.php?workbook=16_08.xlsx&amp;sheet=U0&amp;row=577&amp;col=7&amp;number=0.0062&amp;sourceID=14","0.0062")</f>
        <v>0.0062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HYPERLINK("http://141.218.60.56/~jnz1568/getInfo.php?workbook=16_08.xlsx&amp;sheet=U0&amp;row=578&amp;col=6&amp;number=4.4&amp;sourceID=14","4.4")</f>
        <v>4.4</v>
      </c>
      <c r="G578" s="4" t="str">
        <f>HYPERLINK("http://141.218.60.56/~jnz1568/getInfo.php?workbook=16_08.xlsx&amp;sheet=U0&amp;row=578&amp;col=7&amp;number=0.00619&amp;sourceID=14","0.00619")</f>
        <v>0.00619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HYPERLINK("http://141.218.60.56/~jnz1568/getInfo.php?workbook=16_08.xlsx&amp;sheet=U0&amp;row=579&amp;col=6&amp;number=4.5&amp;sourceID=14","4.5")</f>
        <v>4.5</v>
      </c>
      <c r="G579" s="4" t="str">
        <f>HYPERLINK("http://141.218.60.56/~jnz1568/getInfo.php?workbook=16_08.xlsx&amp;sheet=U0&amp;row=579&amp;col=7&amp;number=0.00618&amp;sourceID=14","0.00618")</f>
        <v>0.00618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HYPERLINK("http://141.218.60.56/~jnz1568/getInfo.php?workbook=16_08.xlsx&amp;sheet=U0&amp;row=580&amp;col=6&amp;number=4.6&amp;sourceID=14","4.6")</f>
        <v>4.6</v>
      </c>
      <c r="G580" s="4" t="str">
        <f>HYPERLINK("http://141.218.60.56/~jnz1568/getInfo.php?workbook=16_08.xlsx&amp;sheet=U0&amp;row=580&amp;col=7&amp;number=0.00617&amp;sourceID=14","0.00617")</f>
        <v>0.00617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HYPERLINK("http://141.218.60.56/~jnz1568/getInfo.php?workbook=16_08.xlsx&amp;sheet=U0&amp;row=581&amp;col=6&amp;number=4.7&amp;sourceID=14","4.7")</f>
        <v>4.7</v>
      </c>
      <c r="G581" s="4" t="str">
        <f>HYPERLINK("http://141.218.60.56/~jnz1568/getInfo.php?workbook=16_08.xlsx&amp;sheet=U0&amp;row=581&amp;col=7&amp;number=0.00615&amp;sourceID=14","0.00615")</f>
        <v>0.00615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HYPERLINK("http://141.218.60.56/~jnz1568/getInfo.php?workbook=16_08.xlsx&amp;sheet=U0&amp;row=582&amp;col=6&amp;number=4.8&amp;sourceID=14","4.8")</f>
        <v>4.8</v>
      </c>
      <c r="G582" s="4" t="str">
        <f>HYPERLINK("http://141.218.60.56/~jnz1568/getInfo.php?workbook=16_08.xlsx&amp;sheet=U0&amp;row=582&amp;col=7&amp;number=0.00613&amp;sourceID=14","0.00613")</f>
        <v>0.00613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HYPERLINK("http://141.218.60.56/~jnz1568/getInfo.php?workbook=16_08.xlsx&amp;sheet=U0&amp;row=583&amp;col=6&amp;number=4.9&amp;sourceID=14","4.9")</f>
        <v>4.9</v>
      </c>
      <c r="G583" s="4" t="str">
        <f>HYPERLINK("http://141.218.60.56/~jnz1568/getInfo.php?workbook=16_08.xlsx&amp;sheet=U0&amp;row=583&amp;col=7&amp;number=0.00611&amp;sourceID=14","0.00611")</f>
        <v>0.00611</v>
      </c>
    </row>
    <row r="584" spans="1:7">
      <c r="A584" s="3">
        <v>16</v>
      </c>
      <c r="B584" s="3">
        <v>8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HYPERLINK("http://141.218.60.56/~jnz1568/getInfo.php?workbook=16_08.xlsx&amp;sheet=U0&amp;row=584&amp;col=6&amp;number=3&amp;sourceID=14","3")</f>
        <v>3</v>
      </c>
      <c r="G584" s="4" t="str">
        <f>HYPERLINK("http://141.218.60.56/~jnz1568/getInfo.php?workbook=16_08.xlsx&amp;sheet=U0&amp;row=584&amp;col=7&amp;number=0.00466&amp;sourceID=14","0.00466")</f>
        <v>0.00466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HYPERLINK("http://141.218.60.56/~jnz1568/getInfo.php?workbook=16_08.xlsx&amp;sheet=U0&amp;row=585&amp;col=6&amp;number=3.1&amp;sourceID=14","3.1")</f>
        <v>3.1</v>
      </c>
      <c r="G585" s="4" t="str">
        <f>HYPERLINK("http://141.218.60.56/~jnz1568/getInfo.php?workbook=16_08.xlsx&amp;sheet=U0&amp;row=585&amp;col=7&amp;number=0.00466&amp;sourceID=14","0.00466")</f>
        <v>0.00466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HYPERLINK("http://141.218.60.56/~jnz1568/getInfo.php?workbook=16_08.xlsx&amp;sheet=U0&amp;row=586&amp;col=6&amp;number=3.2&amp;sourceID=14","3.2")</f>
        <v>3.2</v>
      </c>
      <c r="G586" s="4" t="str">
        <f>HYPERLINK("http://141.218.60.56/~jnz1568/getInfo.php?workbook=16_08.xlsx&amp;sheet=U0&amp;row=586&amp;col=7&amp;number=0.00466&amp;sourceID=14","0.00466")</f>
        <v>0.00466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HYPERLINK("http://141.218.60.56/~jnz1568/getInfo.php?workbook=16_08.xlsx&amp;sheet=U0&amp;row=587&amp;col=6&amp;number=3.3&amp;sourceID=14","3.3")</f>
        <v>3.3</v>
      </c>
      <c r="G587" s="4" t="str">
        <f>HYPERLINK("http://141.218.60.56/~jnz1568/getInfo.php?workbook=16_08.xlsx&amp;sheet=U0&amp;row=587&amp;col=7&amp;number=0.00466&amp;sourceID=14","0.00466")</f>
        <v>0.00466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HYPERLINK("http://141.218.60.56/~jnz1568/getInfo.php?workbook=16_08.xlsx&amp;sheet=U0&amp;row=588&amp;col=6&amp;number=3.4&amp;sourceID=14","3.4")</f>
        <v>3.4</v>
      </c>
      <c r="G588" s="4" t="str">
        <f>HYPERLINK("http://141.218.60.56/~jnz1568/getInfo.php?workbook=16_08.xlsx&amp;sheet=U0&amp;row=588&amp;col=7&amp;number=0.00466&amp;sourceID=14","0.00466")</f>
        <v>0.00466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HYPERLINK("http://141.218.60.56/~jnz1568/getInfo.php?workbook=16_08.xlsx&amp;sheet=U0&amp;row=589&amp;col=6&amp;number=3.5&amp;sourceID=14","3.5")</f>
        <v>3.5</v>
      </c>
      <c r="G589" s="4" t="str">
        <f>HYPERLINK("http://141.218.60.56/~jnz1568/getInfo.php?workbook=16_08.xlsx&amp;sheet=U0&amp;row=589&amp;col=7&amp;number=0.00466&amp;sourceID=14","0.00466")</f>
        <v>0.00466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HYPERLINK("http://141.218.60.56/~jnz1568/getInfo.php?workbook=16_08.xlsx&amp;sheet=U0&amp;row=590&amp;col=6&amp;number=3.6&amp;sourceID=14","3.6")</f>
        <v>3.6</v>
      </c>
      <c r="G590" s="4" t="str">
        <f>HYPERLINK("http://141.218.60.56/~jnz1568/getInfo.php?workbook=16_08.xlsx&amp;sheet=U0&amp;row=590&amp;col=7&amp;number=0.00465&amp;sourceID=14","0.00465")</f>
        <v>0.00465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HYPERLINK("http://141.218.60.56/~jnz1568/getInfo.php?workbook=16_08.xlsx&amp;sheet=U0&amp;row=591&amp;col=6&amp;number=3.7&amp;sourceID=14","3.7")</f>
        <v>3.7</v>
      </c>
      <c r="G591" s="4" t="str">
        <f>HYPERLINK("http://141.218.60.56/~jnz1568/getInfo.php?workbook=16_08.xlsx&amp;sheet=U0&amp;row=591&amp;col=7&amp;number=0.00465&amp;sourceID=14","0.00465")</f>
        <v>0.00465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HYPERLINK("http://141.218.60.56/~jnz1568/getInfo.php?workbook=16_08.xlsx&amp;sheet=U0&amp;row=592&amp;col=6&amp;number=3.8&amp;sourceID=14","3.8")</f>
        <v>3.8</v>
      </c>
      <c r="G592" s="4" t="str">
        <f>HYPERLINK("http://141.218.60.56/~jnz1568/getInfo.php?workbook=16_08.xlsx&amp;sheet=U0&amp;row=592&amp;col=7&amp;number=0.00465&amp;sourceID=14","0.00465")</f>
        <v>0.00465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HYPERLINK("http://141.218.60.56/~jnz1568/getInfo.php?workbook=16_08.xlsx&amp;sheet=U0&amp;row=593&amp;col=6&amp;number=3.9&amp;sourceID=14","3.9")</f>
        <v>3.9</v>
      </c>
      <c r="G593" s="4" t="str">
        <f>HYPERLINK("http://141.218.60.56/~jnz1568/getInfo.php?workbook=16_08.xlsx&amp;sheet=U0&amp;row=593&amp;col=7&amp;number=0.00465&amp;sourceID=14","0.00465")</f>
        <v>0.00465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HYPERLINK("http://141.218.60.56/~jnz1568/getInfo.php?workbook=16_08.xlsx&amp;sheet=U0&amp;row=594&amp;col=6&amp;number=4&amp;sourceID=14","4")</f>
        <v>4</v>
      </c>
      <c r="G594" s="4" t="str">
        <f>HYPERLINK("http://141.218.60.56/~jnz1568/getInfo.php?workbook=16_08.xlsx&amp;sheet=U0&amp;row=594&amp;col=7&amp;number=0.00465&amp;sourceID=14","0.00465")</f>
        <v>0.00465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HYPERLINK("http://141.218.60.56/~jnz1568/getInfo.php?workbook=16_08.xlsx&amp;sheet=U0&amp;row=595&amp;col=6&amp;number=4.1&amp;sourceID=14","4.1")</f>
        <v>4.1</v>
      </c>
      <c r="G595" s="4" t="str">
        <f>HYPERLINK("http://141.218.60.56/~jnz1568/getInfo.php?workbook=16_08.xlsx&amp;sheet=U0&amp;row=595&amp;col=7&amp;number=0.00465&amp;sourceID=14","0.00465")</f>
        <v>0.00465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HYPERLINK("http://141.218.60.56/~jnz1568/getInfo.php?workbook=16_08.xlsx&amp;sheet=U0&amp;row=596&amp;col=6&amp;number=4.2&amp;sourceID=14","4.2")</f>
        <v>4.2</v>
      </c>
      <c r="G596" s="4" t="str">
        <f>HYPERLINK("http://141.218.60.56/~jnz1568/getInfo.php?workbook=16_08.xlsx&amp;sheet=U0&amp;row=596&amp;col=7&amp;number=0.00464&amp;sourceID=14","0.00464")</f>
        <v>0.00464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HYPERLINK("http://141.218.60.56/~jnz1568/getInfo.php?workbook=16_08.xlsx&amp;sheet=U0&amp;row=597&amp;col=6&amp;number=4.3&amp;sourceID=14","4.3")</f>
        <v>4.3</v>
      </c>
      <c r="G597" s="4" t="str">
        <f>HYPERLINK("http://141.218.60.56/~jnz1568/getInfo.php?workbook=16_08.xlsx&amp;sheet=U0&amp;row=597&amp;col=7&amp;number=0.00464&amp;sourceID=14","0.00464")</f>
        <v>0.00464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HYPERLINK("http://141.218.60.56/~jnz1568/getInfo.php?workbook=16_08.xlsx&amp;sheet=U0&amp;row=598&amp;col=6&amp;number=4.4&amp;sourceID=14","4.4")</f>
        <v>4.4</v>
      </c>
      <c r="G598" s="4" t="str">
        <f>HYPERLINK("http://141.218.60.56/~jnz1568/getInfo.php?workbook=16_08.xlsx&amp;sheet=U0&amp;row=598&amp;col=7&amp;number=0.00464&amp;sourceID=14","0.00464")</f>
        <v>0.00464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HYPERLINK("http://141.218.60.56/~jnz1568/getInfo.php?workbook=16_08.xlsx&amp;sheet=U0&amp;row=599&amp;col=6&amp;number=4.5&amp;sourceID=14","4.5")</f>
        <v>4.5</v>
      </c>
      <c r="G599" s="4" t="str">
        <f>HYPERLINK("http://141.218.60.56/~jnz1568/getInfo.php?workbook=16_08.xlsx&amp;sheet=U0&amp;row=599&amp;col=7&amp;number=0.00463&amp;sourceID=14","0.00463")</f>
        <v>0.00463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HYPERLINK("http://141.218.60.56/~jnz1568/getInfo.php?workbook=16_08.xlsx&amp;sheet=U0&amp;row=600&amp;col=6&amp;number=4.6&amp;sourceID=14","4.6")</f>
        <v>4.6</v>
      </c>
      <c r="G600" s="4" t="str">
        <f>HYPERLINK("http://141.218.60.56/~jnz1568/getInfo.php?workbook=16_08.xlsx&amp;sheet=U0&amp;row=600&amp;col=7&amp;number=0.00462&amp;sourceID=14","0.00462")</f>
        <v>0.00462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HYPERLINK("http://141.218.60.56/~jnz1568/getInfo.php?workbook=16_08.xlsx&amp;sheet=U0&amp;row=601&amp;col=6&amp;number=4.7&amp;sourceID=14","4.7")</f>
        <v>4.7</v>
      </c>
      <c r="G601" s="4" t="str">
        <f>HYPERLINK("http://141.218.60.56/~jnz1568/getInfo.php?workbook=16_08.xlsx&amp;sheet=U0&amp;row=601&amp;col=7&amp;number=0.00461&amp;sourceID=14","0.00461")</f>
        <v>0.00461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HYPERLINK("http://141.218.60.56/~jnz1568/getInfo.php?workbook=16_08.xlsx&amp;sheet=U0&amp;row=602&amp;col=6&amp;number=4.8&amp;sourceID=14","4.8")</f>
        <v>4.8</v>
      </c>
      <c r="G602" s="4" t="str">
        <f>HYPERLINK("http://141.218.60.56/~jnz1568/getInfo.php?workbook=16_08.xlsx&amp;sheet=U0&amp;row=602&amp;col=7&amp;number=0.0046&amp;sourceID=14","0.0046")</f>
        <v>0.0046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HYPERLINK("http://141.218.60.56/~jnz1568/getInfo.php?workbook=16_08.xlsx&amp;sheet=U0&amp;row=603&amp;col=6&amp;number=4.9&amp;sourceID=14","4.9")</f>
        <v>4.9</v>
      </c>
      <c r="G603" s="4" t="str">
        <f>HYPERLINK("http://141.218.60.56/~jnz1568/getInfo.php?workbook=16_08.xlsx&amp;sheet=U0&amp;row=603&amp;col=7&amp;number=0.00459&amp;sourceID=14","0.00459")</f>
        <v>0.00459</v>
      </c>
    </row>
    <row r="604" spans="1:7">
      <c r="A604" s="3">
        <v>16</v>
      </c>
      <c r="B604" s="3">
        <v>8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HYPERLINK("http://141.218.60.56/~jnz1568/getInfo.php?workbook=16_08.xlsx&amp;sheet=U0&amp;row=604&amp;col=6&amp;number=3&amp;sourceID=14","3")</f>
        <v>3</v>
      </c>
      <c r="G604" s="4" t="str">
        <f>HYPERLINK("http://141.218.60.56/~jnz1568/getInfo.php?workbook=16_08.xlsx&amp;sheet=U0&amp;row=604&amp;col=7&amp;number=0.0122&amp;sourceID=14","0.0122")</f>
        <v>0.0122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HYPERLINK("http://141.218.60.56/~jnz1568/getInfo.php?workbook=16_08.xlsx&amp;sheet=U0&amp;row=605&amp;col=6&amp;number=3.1&amp;sourceID=14","3.1")</f>
        <v>3.1</v>
      </c>
      <c r="G605" s="4" t="str">
        <f>HYPERLINK("http://141.218.60.56/~jnz1568/getInfo.php?workbook=16_08.xlsx&amp;sheet=U0&amp;row=605&amp;col=7&amp;number=0.0122&amp;sourceID=14","0.0122")</f>
        <v>0.0122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HYPERLINK("http://141.218.60.56/~jnz1568/getInfo.php?workbook=16_08.xlsx&amp;sheet=U0&amp;row=606&amp;col=6&amp;number=3.2&amp;sourceID=14","3.2")</f>
        <v>3.2</v>
      </c>
      <c r="G606" s="4" t="str">
        <f>HYPERLINK("http://141.218.60.56/~jnz1568/getInfo.php?workbook=16_08.xlsx&amp;sheet=U0&amp;row=606&amp;col=7&amp;number=0.0122&amp;sourceID=14","0.0122")</f>
        <v>0.0122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HYPERLINK("http://141.218.60.56/~jnz1568/getInfo.php?workbook=16_08.xlsx&amp;sheet=U0&amp;row=607&amp;col=6&amp;number=3.3&amp;sourceID=14","3.3")</f>
        <v>3.3</v>
      </c>
      <c r="G607" s="4" t="str">
        <f>HYPERLINK("http://141.218.60.56/~jnz1568/getInfo.php?workbook=16_08.xlsx&amp;sheet=U0&amp;row=607&amp;col=7&amp;number=0.0122&amp;sourceID=14","0.0122")</f>
        <v>0.0122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HYPERLINK("http://141.218.60.56/~jnz1568/getInfo.php?workbook=16_08.xlsx&amp;sheet=U0&amp;row=608&amp;col=6&amp;number=3.4&amp;sourceID=14","3.4")</f>
        <v>3.4</v>
      </c>
      <c r="G608" s="4" t="str">
        <f>HYPERLINK("http://141.218.60.56/~jnz1568/getInfo.php?workbook=16_08.xlsx&amp;sheet=U0&amp;row=608&amp;col=7&amp;number=0.0122&amp;sourceID=14","0.0122")</f>
        <v>0.0122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HYPERLINK("http://141.218.60.56/~jnz1568/getInfo.php?workbook=16_08.xlsx&amp;sheet=U0&amp;row=609&amp;col=6&amp;number=3.5&amp;sourceID=14","3.5")</f>
        <v>3.5</v>
      </c>
      <c r="G609" s="4" t="str">
        <f>HYPERLINK("http://141.218.60.56/~jnz1568/getInfo.php?workbook=16_08.xlsx&amp;sheet=U0&amp;row=609&amp;col=7&amp;number=0.0122&amp;sourceID=14","0.0122")</f>
        <v>0.0122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HYPERLINK("http://141.218.60.56/~jnz1568/getInfo.php?workbook=16_08.xlsx&amp;sheet=U0&amp;row=610&amp;col=6&amp;number=3.6&amp;sourceID=14","3.6")</f>
        <v>3.6</v>
      </c>
      <c r="G610" s="4" t="str">
        <f>HYPERLINK("http://141.218.60.56/~jnz1568/getInfo.php?workbook=16_08.xlsx&amp;sheet=U0&amp;row=610&amp;col=7&amp;number=0.0122&amp;sourceID=14","0.0122")</f>
        <v>0.0122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HYPERLINK("http://141.218.60.56/~jnz1568/getInfo.php?workbook=16_08.xlsx&amp;sheet=U0&amp;row=611&amp;col=6&amp;number=3.7&amp;sourceID=14","3.7")</f>
        <v>3.7</v>
      </c>
      <c r="G611" s="4" t="str">
        <f>HYPERLINK("http://141.218.60.56/~jnz1568/getInfo.php?workbook=16_08.xlsx&amp;sheet=U0&amp;row=611&amp;col=7&amp;number=0.0122&amp;sourceID=14","0.0122")</f>
        <v>0.0122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HYPERLINK("http://141.218.60.56/~jnz1568/getInfo.php?workbook=16_08.xlsx&amp;sheet=U0&amp;row=612&amp;col=6&amp;number=3.8&amp;sourceID=14","3.8")</f>
        <v>3.8</v>
      </c>
      <c r="G612" s="4" t="str">
        <f>HYPERLINK("http://141.218.60.56/~jnz1568/getInfo.php?workbook=16_08.xlsx&amp;sheet=U0&amp;row=612&amp;col=7&amp;number=0.0122&amp;sourceID=14","0.0122")</f>
        <v>0.0122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HYPERLINK("http://141.218.60.56/~jnz1568/getInfo.php?workbook=16_08.xlsx&amp;sheet=U0&amp;row=613&amp;col=6&amp;number=3.9&amp;sourceID=14","3.9")</f>
        <v>3.9</v>
      </c>
      <c r="G613" s="4" t="str">
        <f>HYPERLINK("http://141.218.60.56/~jnz1568/getInfo.php?workbook=16_08.xlsx&amp;sheet=U0&amp;row=613&amp;col=7&amp;number=0.0122&amp;sourceID=14","0.0122")</f>
        <v>0.0122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HYPERLINK("http://141.218.60.56/~jnz1568/getInfo.php?workbook=16_08.xlsx&amp;sheet=U0&amp;row=614&amp;col=6&amp;number=4&amp;sourceID=14","4")</f>
        <v>4</v>
      </c>
      <c r="G614" s="4" t="str">
        <f>HYPERLINK("http://141.218.60.56/~jnz1568/getInfo.php?workbook=16_08.xlsx&amp;sheet=U0&amp;row=614&amp;col=7&amp;number=0.0122&amp;sourceID=14","0.0122")</f>
        <v>0.0122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HYPERLINK("http://141.218.60.56/~jnz1568/getInfo.php?workbook=16_08.xlsx&amp;sheet=U0&amp;row=615&amp;col=6&amp;number=4.1&amp;sourceID=14","4.1")</f>
        <v>4.1</v>
      </c>
      <c r="G615" s="4" t="str">
        <f>HYPERLINK("http://141.218.60.56/~jnz1568/getInfo.php?workbook=16_08.xlsx&amp;sheet=U0&amp;row=615&amp;col=7&amp;number=0.0122&amp;sourceID=14","0.0122")</f>
        <v>0.0122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HYPERLINK("http://141.218.60.56/~jnz1568/getInfo.php?workbook=16_08.xlsx&amp;sheet=U0&amp;row=616&amp;col=6&amp;number=4.2&amp;sourceID=14","4.2")</f>
        <v>4.2</v>
      </c>
      <c r="G616" s="4" t="str">
        <f>HYPERLINK("http://141.218.60.56/~jnz1568/getInfo.php?workbook=16_08.xlsx&amp;sheet=U0&amp;row=616&amp;col=7&amp;number=0.0122&amp;sourceID=14","0.0122")</f>
        <v>0.0122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HYPERLINK("http://141.218.60.56/~jnz1568/getInfo.php?workbook=16_08.xlsx&amp;sheet=U0&amp;row=617&amp;col=6&amp;number=4.3&amp;sourceID=14","4.3")</f>
        <v>4.3</v>
      </c>
      <c r="G617" s="4" t="str">
        <f>HYPERLINK("http://141.218.60.56/~jnz1568/getInfo.php?workbook=16_08.xlsx&amp;sheet=U0&amp;row=617&amp;col=7&amp;number=0.0122&amp;sourceID=14","0.0122")</f>
        <v>0.0122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HYPERLINK("http://141.218.60.56/~jnz1568/getInfo.php?workbook=16_08.xlsx&amp;sheet=U0&amp;row=618&amp;col=6&amp;number=4.4&amp;sourceID=14","4.4")</f>
        <v>4.4</v>
      </c>
      <c r="G618" s="4" t="str">
        <f>HYPERLINK("http://141.218.60.56/~jnz1568/getInfo.php?workbook=16_08.xlsx&amp;sheet=U0&amp;row=618&amp;col=7&amp;number=0.0122&amp;sourceID=14","0.0122")</f>
        <v>0.0122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HYPERLINK("http://141.218.60.56/~jnz1568/getInfo.php?workbook=16_08.xlsx&amp;sheet=U0&amp;row=619&amp;col=6&amp;number=4.5&amp;sourceID=14","4.5")</f>
        <v>4.5</v>
      </c>
      <c r="G619" s="4" t="str">
        <f>HYPERLINK("http://141.218.60.56/~jnz1568/getInfo.php?workbook=16_08.xlsx&amp;sheet=U0&amp;row=619&amp;col=7&amp;number=0.0122&amp;sourceID=14","0.0122")</f>
        <v>0.0122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HYPERLINK("http://141.218.60.56/~jnz1568/getInfo.php?workbook=16_08.xlsx&amp;sheet=U0&amp;row=620&amp;col=6&amp;number=4.6&amp;sourceID=14","4.6")</f>
        <v>4.6</v>
      </c>
      <c r="G620" s="4" t="str">
        <f>HYPERLINK("http://141.218.60.56/~jnz1568/getInfo.php?workbook=16_08.xlsx&amp;sheet=U0&amp;row=620&amp;col=7&amp;number=0.0122&amp;sourceID=14","0.0122")</f>
        <v>0.0122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HYPERLINK("http://141.218.60.56/~jnz1568/getInfo.php?workbook=16_08.xlsx&amp;sheet=U0&amp;row=621&amp;col=6&amp;number=4.7&amp;sourceID=14","4.7")</f>
        <v>4.7</v>
      </c>
      <c r="G621" s="4" t="str">
        <f>HYPERLINK("http://141.218.60.56/~jnz1568/getInfo.php?workbook=16_08.xlsx&amp;sheet=U0&amp;row=621&amp;col=7&amp;number=0.0121&amp;sourceID=14","0.0121")</f>
        <v>0.0121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HYPERLINK("http://141.218.60.56/~jnz1568/getInfo.php?workbook=16_08.xlsx&amp;sheet=U0&amp;row=622&amp;col=6&amp;number=4.8&amp;sourceID=14","4.8")</f>
        <v>4.8</v>
      </c>
      <c r="G622" s="4" t="str">
        <f>HYPERLINK("http://141.218.60.56/~jnz1568/getInfo.php?workbook=16_08.xlsx&amp;sheet=U0&amp;row=622&amp;col=7&amp;number=0.0121&amp;sourceID=14","0.0121")</f>
        <v>0.0121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HYPERLINK("http://141.218.60.56/~jnz1568/getInfo.php?workbook=16_08.xlsx&amp;sheet=U0&amp;row=623&amp;col=6&amp;number=4.9&amp;sourceID=14","4.9")</f>
        <v>4.9</v>
      </c>
      <c r="G623" s="4" t="str">
        <f>HYPERLINK("http://141.218.60.56/~jnz1568/getInfo.php?workbook=16_08.xlsx&amp;sheet=U0&amp;row=623&amp;col=7&amp;number=0.0121&amp;sourceID=14","0.0121")</f>
        <v>0.0121</v>
      </c>
    </row>
    <row r="624" spans="1:7">
      <c r="A624" s="3">
        <v>16</v>
      </c>
      <c r="B624" s="3">
        <v>8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HYPERLINK("http://141.218.60.56/~jnz1568/getInfo.php?workbook=16_08.xlsx&amp;sheet=U0&amp;row=624&amp;col=6&amp;number=3&amp;sourceID=14","3")</f>
        <v>3</v>
      </c>
      <c r="G624" s="4" t="str">
        <f>HYPERLINK("http://141.218.60.56/~jnz1568/getInfo.php?workbook=16_08.xlsx&amp;sheet=U0&amp;row=624&amp;col=7&amp;number=0.0264&amp;sourceID=14","0.0264")</f>
        <v>0.0264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HYPERLINK("http://141.218.60.56/~jnz1568/getInfo.php?workbook=16_08.xlsx&amp;sheet=U0&amp;row=625&amp;col=6&amp;number=3.1&amp;sourceID=14","3.1")</f>
        <v>3.1</v>
      </c>
      <c r="G625" s="4" t="str">
        <f>HYPERLINK("http://141.218.60.56/~jnz1568/getInfo.php?workbook=16_08.xlsx&amp;sheet=U0&amp;row=625&amp;col=7&amp;number=0.0264&amp;sourceID=14","0.0264")</f>
        <v>0.0264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HYPERLINK("http://141.218.60.56/~jnz1568/getInfo.php?workbook=16_08.xlsx&amp;sheet=U0&amp;row=626&amp;col=6&amp;number=3.2&amp;sourceID=14","3.2")</f>
        <v>3.2</v>
      </c>
      <c r="G626" s="4" t="str">
        <f>HYPERLINK("http://141.218.60.56/~jnz1568/getInfo.php?workbook=16_08.xlsx&amp;sheet=U0&amp;row=626&amp;col=7&amp;number=0.0264&amp;sourceID=14","0.0264")</f>
        <v>0.0264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HYPERLINK("http://141.218.60.56/~jnz1568/getInfo.php?workbook=16_08.xlsx&amp;sheet=U0&amp;row=627&amp;col=6&amp;number=3.3&amp;sourceID=14","3.3")</f>
        <v>3.3</v>
      </c>
      <c r="G627" s="4" t="str">
        <f>HYPERLINK("http://141.218.60.56/~jnz1568/getInfo.php?workbook=16_08.xlsx&amp;sheet=U0&amp;row=627&amp;col=7&amp;number=0.0264&amp;sourceID=14","0.0264")</f>
        <v>0.0264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HYPERLINK("http://141.218.60.56/~jnz1568/getInfo.php?workbook=16_08.xlsx&amp;sheet=U0&amp;row=628&amp;col=6&amp;number=3.4&amp;sourceID=14","3.4")</f>
        <v>3.4</v>
      </c>
      <c r="G628" s="4" t="str">
        <f>HYPERLINK("http://141.218.60.56/~jnz1568/getInfo.php?workbook=16_08.xlsx&amp;sheet=U0&amp;row=628&amp;col=7&amp;number=0.0264&amp;sourceID=14","0.0264")</f>
        <v>0.0264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HYPERLINK("http://141.218.60.56/~jnz1568/getInfo.php?workbook=16_08.xlsx&amp;sheet=U0&amp;row=629&amp;col=6&amp;number=3.5&amp;sourceID=14","3.5")</f>
        <v>3.5</v>
      </c>
      <c r="G629" s="4" t="str">
        <f>HYPERLINK("http://141.218.60.56/~jnz1568/getInfo.php?workbook=16_08.xlsx&amp;sheet=U0&amp;row=629&amp;col=7&amp;number=0.0264&amp;sourceID=14","0.0264")</f>
        <v>0.0264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HYPERLINK("http://141.218.60.56/~jnz1568/getInfo.php?workbook=16_08.xlsx&amp;sheet=U0&amp;row=630&amp;col=6&amp;number=3.6&amp;sourceID=14","3.6")</f>
        <v>3.6</v>
      </c>
      <c r="G630" s="4" t="str">
        <f>HYPERLINK("http://141.218.60.56/~jnz1568/getInfo.php?workbook=16_08.xlsx&amp;sheet=U0&amp;row=630&amp;col=7&amp;number=0.0264&amp;sourceID=14","0.0264")</f>
        <v>0.0264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HYPERLINK("http://141.218.60.56/~jnz1568/getInfo.php?workbook=16_08.xlsx&amp;sheet=U0&amp;row=631&amp;col=6&amp;number=3.7&amp;sourceID=14","3.7")</f>
        <v>3.7</v>
      </c>
      <c r="G631" s="4" t="str">
        <f>HYPERLINK("http://141.218.60.56/~jnz1568/getInfo.php?workbook=16_08.xlsx&amp;sheet=U0&amp;row=631&amp;col=7&amp;number=0.0264&amp;sourceID=14","0.0264")</f>
        <v>0.0264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HYPERLINK("http://141.218.60.56/~jnz1568/getInfo.php?workbook=16_08.xlsx&amp;sheet=U0&amp;row=632&amp;col=6&amp;number=3.8&amp;sourceID=14","3.8")</f>
        <v>3.8</v>
      </c>
      <c r="G632" s="4" t="str">
        <f>HYPERLINK("http://141.218.60.56/~jnz1568/getInfo.php?workbook=16_08.xlsx&amp;sheet=U0&amp;row=632&amp;col=7&amp;number=0.0264&amp;sourceID=14","0.0264")</f>
        <v>0.0264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HYPERLINK("http://141.218.60.56/~jnz1568/getInfo.php?workbook=16_08.xlsx&amp;sheet=U0&amp;row=633&amp;col=6&amp;number=3.9&amp;sourceID=14","3.9")</f>
        <v>3.9</v>
      </c>
      <c r="G633" s="4" t="str">
        <f>HYPERLINK("http://141.218.60.56/~jnz1568/getInfo.php?workbook=16_08.xlsx&amp;sheet=U0&amp;row=633&amp;col=7&amp;number=0.0264&amp;sourceID=14","0.0264")</f>
        <v>0.0264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HYPERLINK("http://141.218.60.56/~jnz1568/getInfo.php?workbook=16_08.xlsx&amp;sheet=U0&amp;row=634&amp;col=6&amp;number=4&amp;sourceID=14","4")</f>
        <v>4</v>
      </c>
      <c r="G634" s="4" t="str">
        <f>HYPERLINK("http://141.218.60.56/~jnz1568/getInfo.php?workbook=16_08.xlsx&amp;sheet=U0&amp;row=634&amp;col=7&amp;number=0.0264&amp;sourceID=14","0.0264")</f>
        <v>0.0264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HYPERLINK("http://141.218.60.56/~jnz1568/getInfo.php?workbook=16_08.xlsx&amp;sheet=U0&amp;row=635&amp;col=6&amp;number=4.1&amp;sourceID=14","4.1")</f>
        <v>4.1</v>
      </c>
      <c r="G635" s="4" t="str">
        <f>HYPERLINK("http://141.218.60.56/~jnz1568/getInfo.php?workbook=16_08.xlsx&amp;sheet=U0&amp;row=635&amp;col=7&amp;number=0.0264&amp;sourceID=14","0.0264")</f>
        <v>0.0264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HYPERLINK("http://141.218.60.56/~jnz1568/getInfo.php?workbook=16_08.xlsx&amp;sheet=U0&amp;row=636&amp;col=6&amp;number=4.2&amp;sourceID=14","4.2")</f>
        <v>4.2</v>
      </c>
      <c r="G636" s="4" t="str">
        <f>HYPERLINK("http://141.218.60.56/~jnz1568/getInfo.php?workbook=16_08.xlsx&amp;sheet=U0&amp;row=636&amp;col=7&amp;number=0.0264&amp;sourceID=14","0.0264")</f>
        <v>0.0264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HYPERLINK("http://141.218.60.56/~jnz1568/getInfo.php?workbook=16_08.xlsx&amp;sheet=U0&amp;row=637&amp;col=6&amp;number=4.3&amp;sourceID=14","4.3")</f>
        <v>4.3</v>
      </c>
      <c r="G637" s="4" t="str">
        <f>HYPERLINK("http://141.218.60.56/~jnz1568/getInfo.php?workbook=16_08.xlsx&amp;sheet=U0&amp;row=637&amp;col=7&amp;number=0.0264&amp;sourceID=14","0.0264")</f>
        <v>0.0264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HYPERLINK("http://141.218.60.56/~jnz1568/getInfo.php?workbook=16_08.xlsx&amp;sheet=U0&amp;row=638&amp;col=6&amp;number=4.4&amp;sourceID=14","4.4")</f>
        <v>4.4</v>
      </c>
      <c r="G638" s="4" t="str">
        <f>HYPERLINK("http://141.218.60.56/~jnz1568/getInfo.php?workbook=16_08.xlsx&amp;sheet=U0&amp;row=638&amp;col=7&amp;number=0.0264&amp;sourceID=14","0.0264")</f>
        <v>0.0264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HYPERLINK("http://141.218.60.56/~jnz1568/getInfo.php?workbook=16_08.xlsx&amp;sheet=U0&amp;row=639&amp;col=6&amp;number=4.5&amp;sourceID=14","4.5")</f>
        <v>4.5</v>
      </c>
      <c r="G639" s="4" t="str">
        <f>HYPERLINK("http://141.218.60.56/~jnz1568/getInfo.php?workbook=16_08.xlsx&amp;sheet=U0&amp;row=639&amp;col=7&amp;number=0.0264&amp;sourceID=14","0.0264")</f>
        <v>0.0264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HYPERLINK("http://141.218.60.56/~jnz1568/getInfo.php?workbook=16_08.xlsx&amp;sheet=U0&amp;row=640&amp;col=6&amp;number=4.6&amp;sourceID=14","4.6")</f>
        <v>4.6</v>
      </c>
      <c r="G640" s="4" t="str">
        <f>HYPERLINK("http://141.218.60.56/~jnz1568/getInfo.php?workbook=16_08.xlsx&amp;sheet=U0&amp;row=640&amp;col=7&amp;number=0.0264&amp;sourceID=14","0.0264")</f>
        <v>0.0264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HYPERLINK("http://141.218.60.56/~jnz1568/getInfo.php?workbook=16_08.xlsx&amp;sheet=U0&amp;row=641&amp;col=6&amp;number=4.7&amp;sourceID=14","4.7")</f>
        <v>4.7</v>
      </c>
      <c r="G641" s="4" t="str">
        <f>HYPERLINK("http://141.218.60.56/~jnz1568/getInfo.php?workbook=16_08.xlsx&amp;sheet=U0&amp;row=641&amp;col=7&amp;number=0.0264&amp;sourceID=14","0.0264")</f>
        <v>0.0264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HYPERLINK("http://141.218.60.56/~jnz1568/getInfo.php?workbook=16_08.xlsx&amp;sheet=U0&amp;row=642&amp;col=6&amp;number=4.8&amp;sourceID=14","4.8")</f>
        <v>4.8</v>
      </c>
      <c r="G642" s="4" t="str">
        <f>HYPERLINK("http://141.218.60.56/~jnz1568/getInfo.php?workbook=16_08.xlsx&amp;sheet=U0&amp;row=642&amp;col=7&amp;number=0.0264&amp;sourceID=14","0.0264")</f>
        <v>0.0264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HYPERLINK("http://141.218.60.56/~jnz1568/getInfo.php?workbook=16_08.xlsx&amp;sheet=U0&amp;row=643&amp;col=6&amp;number=4.9&amp;sourceID=14","4.9")</f>
        <v>4.9</v>
      </c>
      <c r="G643" s="4" t="str">
        <f>HYPERLINK("http://141.218.60.56/~jnz1568/getInfo.php?workbook=16_08.xlsx&amp;sheet=U0&amp;row=643&amp;col=7&amp;number=0.0264&amp;sourceID=14","0.0264")</f>
        <v>0.0264</v>
      </c>
    </row>
    <row r="644" spans="1:7">
      <c r="A644" s="3">
        <v>16</v>
      </c>
      <c r="B644" s="3">
        <v>8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HYPERLINK("http://141.218.60.56/~jnz1568/getInfo.php?workbook=16_08.xlsx&amp;sheet=U0&amp;row=644&amp;col=6&amp;number=3&amp;sourceID=14","3")</f>
        <v>3</v>
      </c>
      <c r="G644" s="4" t="str">
        <f>HYPERLINK("http://141.218.60.56/~jnz1568/getInfo.php?workbook=16_08.xlsx&amp;sheet=U0&amp;row=644&amp;col=7&amp;number=0.0135&amp;sourceID=14","0.0135")</f>
        <v>0.0135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HYPERLINK("http://141.218.60.56/~jnz1568/getInfo.php?workbook=16_08.xlsx&amp;sheet=U0&amp;row=645&amp;col=6&amp;number=3.1&amp;sourceID=14","3.1")</f>
        <v>3.1</v>
      </c>
      <c r="G645" s="4" t="str">
        <f>HYPERLINK("http://141.218.60.56/~jnz1568/getInfo.php?workbook=16_08.xlsx&amp;sheet=U0&amp;row=645&amp;col=7&amp;number=0.0135&amp;sourceID=14","0.0135")</f>
        <v>0.0135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HYPERLINK("http://141.218.60.56/~jnz1568/getInfo.php?workbook=16_08.xlsx&amp;sheet=U0&amp;row=646&amp;col=6&amp;number=3.2&amp;sourceID=14","3.2")</f>
        <v>3.2</v>
      </c>
      <c r="G646" s="4" t="str">
        <f>HYPERLINK("http://141.218.60.56/~jnz1568/getInfo.php?workbook=16_08.xlsx&amp;sheet=U0&amp;row=646&amp;col=7&amp;number=0.0135&amp;sourceID=14","0.0135")</f>
        <v>0.0135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HYPERLINK("http://141.218.60.56/~jnz1568/getInfo.php?workbook=16_08.xlsx&amp;sheet=U0&amp;row=647&amp;col=6&amp;number=3.3&amp;sourceID=14","3.3")</f>
        <v>3.3</v>
      </c>
      <c r="G647" s="4" t="str">
        <f>HYPERLINK("http://141.218.60.56/~jnz1568/getInfo.php?workbook=16_08.xlsx&amp;sheet=U0&amp;row=647&amp;col=7&amp;number=0.0135&amp;sourceID=14","0.0135")</f>
        <v>0.0135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HYPERLINK("http://141.218.60.56/~jnz1568/getInfo.php?workbook=16_08.xlsx&amp;sheet=U0&amp;row=648&amp;col=6&amp;number=3.4&amp;sourceID=14","3.4")</f>
        <v>3.4</v>
      </c>
      <c r="G648" s="4" t="str">
        <f>HYPERLINK("http://141.218.60.56/~jnz1568/getInfo.php?workbook=16_08.xlsx&amp;sheet=U0&amp;row=648&amp;col=7&amp;number=0.0135&amp;sourceID=14","0.0135")</f>
        <v>0.0135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HYPERLINK("http://141.218.60.56/~jnz1568/getInfo.php?workbook=16_08.xlsx&amp;sheet=U0&amp;row=649&amp;col=6&amp;number=3.5&amp;sourceID=14","3.5")</f>
        <v>3.5</v>
      </c>
      <c r="G649" s="4" t="str">
        <f>HYPERLINK("http://141.218.60.56/~jnz1568/getInfo.php?workbook=16_08.xlsx&amp;sheet=U0&amp;row=649&amp;col=7&amp;number=0.0135&amp;sourceID=14","0.0135")</f>
        <v>0.0135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HYPERLINK("http://141.218.60.56/~jnz1568/getInfo.php?workbook=16_08.xlsx&amp;sheet=U0&amp;row=650&amp;col=6&amp;number=3.6&amp;sourceID=14","3.6")</f>
        <v>3.6</v>
      </c>
      <c r="G650" s="4" t="str">
        <f>HYPERLINK("http://141.218.60.56/~jnz1568/getInfo.php?workbook=16_08.xlsx&amp;sheet=U0&amp;row=650&amp;col=7&amp;number=0.0135&amp;sourceID=14","0.0135")</f>
        <v>0.0135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HYPERLINK("http://141.218.60.56/~jnz1568/getInfo.php?workbook=16_08.xlsx&amp;sheet=U0&amp;row=651&amp;col=6&amp;number=3.7&amp;sourceID=14","3.7")</f>
        <v>3.7</v>
      </c>
      <c r="G651" s="4" t="str">
        <f>HYPERLINK("http://141.218.60.56/~jnz1568/getInfo.php?workbook=16_08.xlsx&amp;sheet=U0&amp;row=651&amp;col=7&amp;number=0.0135&amp;sourceID=14","0.0135")</f>
        <v>0.0135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HYPERLINK("http://141.218.60.56/~jnz1568/getInfo.php?workbook=16_08.xlsx&amp;sheet=U0&amp;row=652&amp;col=6&amp;number=3.8&amp;sourceID=14","3.8")</f>
        <v>3.8</v>
      </c>
      <c r="G652" s="4" t="str">
        <f>HYPERLINK("http://141.218.60.56/~jnz1568/getInfo.php?workbook=16_08.xlsx&amp;sheet=U0&amp;row=652&amp;col=7&amp;number=0.0135&amp;sourceID=14","0.0135")</f>
        <v>0.0135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HYPERLINK("http://141.218.60.56/~jnz1568/getInfo.php?workbook=16_08.xlsx&amp;sheet=U0&amp;row=653&amp;col=6&amp;number=3.9&amp;sourceID=14","3.9")</f>
        <v>3.9</v>
      </c>
      <c r="G653" s="4" t="str">
        <f>HYPERLINK("http://141.218.60.56/~jnz1568/getInfo.php?workbook=16_08.xlsx&amp;sheet=U0&amp;row=653&amp;col=7&amp;number=0.0135&amp;sourceID=14","0.0135")</f>
        <v>0.0135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HYPERLINK("http://141.218.60.56/~jnz1568/getInfo.php?workbook=16_08.xlsx&amp;sheet=U0&amp;row=654&amp;col=6&amp;number=4&amp;sourceID=14","4")</f>
        <v>4</v>
      </c>
      <c r="G654" s="4" t="str">
        <f>HYPERLINK("http://141.218.60.56/~jnz1568/getInfo.php?workbook=16_08.xlsx&amp;sheet=U0&amp;row=654&amp;col=7&amp;number=0.0135&amp;sourceID=14","0.0135")</f>
        <v>0.0135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HYPERLINK("http://141.218.60.56/~jnz1568/getInfo.php?workbook=16_08.xlsx&amp;sheet=U0&amp;row=655&amp;col=6&amp;number=4.1&amp;sourceID=14","4.1")</f>
        <v>4.1</v>
      </c>
      <c r="G655" s="4" t="str">
        <f>HYPERLINK("http://141.218.60.56/~jnz1568/getInfo.php?workbook=16_08.xlsx&amp;sheet=U0&amp;row=655&amp;col=7&amp;number=0.0134&amp;sourceID=14","0.0134")</f>
        <v>0.0134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HYPERLINK("http://141.218.60.56/~jnz1568/getInfo.php?workbook=16_08.xlsx&amp;sheet=U0&amp;row=656&amp;col=6&amp;number=4.2&amp;sourceID=14","4.2")</f>
        <v>4.2</v>
      </c>
      <c r="G656" s="4" t="str">
        <f>HYPERLINK("http://141.218.60.56/~jnz1568/getInfo.php?workbook=16_08.xlsx&amp;sheet=U0&amp;row=656&amp;col=7&amp;number=0.0134&amp;sourceID=14","0.0134")</f>
        <v>0.0134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HYPERLINK("http://141.218.60.56/~jnz1568/getInfo.php?workbook=16_08.xlsx&amp;sheet=U0&amp;row=657&amp;col=6&amp;number=4.3&amp;sourceID=14","4.3")</f>
        <v>4.3</v>
      </c>
      <c r="G657" s="4" t="str">
        <f>HYPERLINK("http://141.218.60.56/~jnz1568/getInfo.php?workbook=16_08.xlsx&amp;sheet=U0&amp;row=657&amp;col=7&amp;number=0.0134&amp;sourceID=14","0.0134")</f>
        <v>0.0134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HYPERLINK("http://141.218.60.56/~jnz1568/getInfo.php?workbook=16_08.xlsx&amp;sheet=U0&amp;row=658&amp;col=6&amp;number=4.4&amp;sourceID=14","4.4")</f>
        <v>4.4</v>
      </c>
      <c r="G658" s="4" t="str">
        <f>HYPERLINK("http://141.218.60.56/~jnz1568/getInfo.php?workbook=16_08.xlsx&amp;sheet=U0&amp;row=658&amp;col=7&amp;number=0.0134&amp;sourceID=14","0.0134")</f>
        <v>0.0134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HYPERLINK("http://141.218.60.56/~jnz1568/getInfo.php?workbook=16_08.xlsx&amp;sheet=U0&amp;row=659&amp;col=6&amp;number=4.5&amp;sourceID=14","4.5")</f>
        <v>4.5</v>
      </c>
      <c r="G659" s="4" t="str">
        <f>HYPERLINK("http://141.218.60.56/~jnz1568/getInfo.php?workbook=16_08.xlsx&amp;sheet=U0&amp;row=659&amp;col=7&amp;number=0.0134&amp;sourceID=14","0.0134")</f>
        <v>0.0134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HYPERLINK("http://141.218.60.56/~jnz1568/getInfo.php?workbook=16_08.xlsx&amp;sheet=U0&amp;row=660&amp;col=6&amp;number=4.6&amp;sourceID=14","4.6")</f>
        <v>4.6</v>
      </c>
      <c r="G660" s="4" t="str">
        <f>HYPERLINK("http://141.218.60.56/~jnz1568/getInfo.php?workbook=16_08.xlsx&amp;sheet=U0&amp;row=660&amp;col=7&amp;number=0.0134&amp;sourceID=14","0.0134")</f>
        <v>0.0134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HYPERLINK("http://141.218.60.56/~jnz1568/getInfo.php?workbook=16_08.xlsx&amp;sheet=U0&amp;row=661&amp;col=6&amp;number=4.7&amp;sourceID=14","4.7")</f>
        <v>4.7</v>
      </c>
      <c r="G661" s="4" t="str">
        <f>HYPERLINK("http://141.218.60.56/~jnz1568/getInfo.php?workbook=16_08.xlsx&amp;sheet=U0&amp;row=661&amp;col=7&amp;number=0.0134&amp;sourceID=14","0.0134")</f>
        <v>0.0134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HYPERLINK("http://141.218.60.56/~jnz1568/getInfo.php?workbook=16_08.xlsx&amp;sheet=U0&amp;row=662&amp;col=6&amp;number=4.8&amp;sourceID=14","4.8")</f>
        <v>4.8</v>
      </c>
      <c r="G662" s="4" t="str">
        <f>HYPERLINK("http://141.218.60.56/~jnz1568/getInfo.php?workbook=16_08.xlsx&amp;sheet=U0&amp;row=662&amp;col=7&amp;number=0.0133&amp;sourceID=14","0.0133")</f>
        <v>0.0133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HYPERLINK("http://141.218.60.56/~jnz1568/getInfo.php?workbook=16_08.xlsx&amp;sheet=U0&amp;row=663&amp;col=6&amp;number=4.9&amp;sourceID=14","4.9")</f>
        <v>4.9</v>
      </c>
      <c r="G663" s="4" t="str">
        <f>HYPERLINK("http://141.218.60.56/~jnz1568/getInfo.php?workbook=16_08.xlsx&amp;sheet=U0&amp;row=663&amp;col=7&amp;number=0.0133&amp;sourceID=14","0.0133")</f>
        <v>0.0133</v>
      </c>
    </row>
    <row r="664" spans="1:7">
      <c r="A664" s="3">
        <v>16</v>
      </c>
      <c r="B664" s="3">
        <v>8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HYPERLINK("http://141.218.60.56/~jnz1568/getInfo.php?workbook=16_08.xlsx&amp;sheet=U0&amp;row=664&amp;col=6&amp;number=3&amp;sourceID=14","3")</f>
        <v>3</v>
      </c>
      <c r="G664" s="4" t="str">
        <f>HYPERLINK("http://141.218.60.56/~jnz1568/getInfo.php?workbook=16_08.xlsx&amp;sheet=U0&amp;row=664&amp;col=7&amp;number=0.00124&amp;sourceID=14","0.00124")</f>
        <v>0.00124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HYPERLINK("http://141.218.60.56/~jnz1568/getInfo.php?workbook=16_08.xlsx&amp;sheet=U0&amp;row=665&amp;col=6&amp;number=3.1&amp;sourceID=14","3.1")</f>
        <v>3.1</v>
      </c>
      <c r="G665" s="4" t="str">
        <f>HYPERLINK("http://141.218.60.56/~jnz1568/getInfo.php?workbook=16_08.xlsx&amp;sheet=U0&amp;row=665&amp;col=7&amp;number=0.00124&amp;sourceID=14","0.00124")</f>
        <v>0.00124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HYPERLINK("http://141.218.60.56/~jnz1568/getInfo.php?workbook=16_08.xlsx&amp;sheet=U0&amp;row=666&amp;col=6&amp;number=3.2&amp;sourceID=14","3.2")</f>
        <v>3.2</v>
      </c>
      <c r="G666" s="4" t="str">
        <f>HYPERLINK("http://141.218.60.56/~jnz1568/getInfo.php?workbook=16_08.xlsx&amp;sheet=U0&amp;row=666&amp;col=7&amp;number=0.00124&amp;sourceID=14","0.00124")</f>
        <v>0.00124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HYPERLINK("http://141.218.60.56/~jnz1568/getInfo.php?workbook=16_08.xlsx&amp;sheet=U0&amp;row=667&amp;col=6&amp;number=3.3&amp;sourceID=14","3.3")</f>
        <v>3.3</v>
      </c>
      <c r="G667" s="4" t="str">
        <f>HYPERLINK("http://141.218.60.56/~jnz1568/getInfo.php?workbook=16_08.xlsx&amp;sheet=U0&amp;row=667&amp;col=7&amp;number=0.00124&amp;sourceID=14","0.00124")</f>
        <v>0.00124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HYPERLINK("http://141.218.60.56/~jnz1568/getInfo.php?workbook=16_08.xlsx&amp;sheet=U0&amp;row=668&amp;col=6&amp;number=3.4&amp;sourceID=14","3.4")</f>
        <v>3.4</v>
      </c>
      <c r="G668" s="4" t="str">
        <f>HYPERLINK("http://141.218.60.56/~jnz1568/getInfo.php?workbook=16_08.xlsx&amp;sheet=U0&amp;row=668&amp;col=7&amp;number=0.00124&amp;sourceID=14","0.00124")</f>
        <v>0.00124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HYPERLINK("http://141.218.60.56/~jnz1568/getInfo.php?workbook=16_08.xlsx&amp;sheet=U0&amp;row=669&amp;col=6&amp;number=3.5&amp;sourceID=14","3.5")</f>
        <v>3.5</v>
      </c>
      <c r="G669" s="4" t="str">
        <f>HYPERLINK("http://141.218.60.56/~jnz1568/getInfo.php?workbook=16_08.xlsx&amp;sheet=U0&amp;row=669&amp;col=7&amp;number=0.00124&amp;sourceID=14","0.00124")</f>
        <v>0.00124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HYPERLINK("http://141.218.60.56/~jnz1568/getInfo.php?workbook=16_08.xlsx&amp;sheet=U0&amp;row=670&amp;col=6&amp;number=3.6&amp;sourceID=14","3.6")</f>
        <v>3.6</v>
      </c>
      <c r="G670" s="4" t="str">
        <f>HYPERLINK("http://141.218.60.56/~jnz1568/getInfo.php?workbook=16_08.xlsx&amp;sheet=U0&amp;row=670&amp;col=7&amp;number=0.00124&amp;sourceID=14","0.00124")</f>
        <v>0.00124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HYPERLINK("http://141.218.60.56/~jnz1568/getInfo.php?workbook=16_08.xlsx&amp;sheet=U0&amp;row=671&amp;col=6&amp;number=3.7&amp;sourceID=14","3.7")</f>
        <v>3.7</v>
      </c>
      <c r="G671" s="4" t="str">
        <f>HYPERLINK("http://141.218.60.56/~jnz1568/getInfo.php?workbook=16_08.xlsx&amp;sheet=U0&amp;row=671&amp;col=7&amp;number=0.00124&amp;sourceID=14","0.00124")</f>
        <v>0.00124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HYPERLINK("http://141.218.60.56/~jnz1568/getInfo.php?workbook=16_08.xlsx&amp;sheet=U0&amp;row=672&amp;col=6&amp;number=3.8&amp;sourceID=14","3.8")</f>
        <v>3.8</v>
      </c>
      <c r="G672" s="4" t="str">
        <f>HYPERLINK("http://141.218.60.56/~jnz1568/getInfo.php?workbook=16_08.xlsx&amp;sheet=U0&amp;row=672&amp;col=7&amp;number=0.00124&amp;sourceID=14","0.00124")</f>
        <v>0.00124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HYPERLINK("http://141.218.60.56/~jnz1568/getInfo.php?workbook=16_08.xlsx&amp;sheet=U0&amp;row=673&amp;col=6&amp;number=3.9&amp;sourceID=14","3.9")</f>
        <v>3.9</v>
      </c>
      <c r="G673" s="4" t="str">
        <f>HYPERLINK("http://141.218.60.56/~jnz1568/getInfo.php?workbook=16_08.xlsx&amp;sheet=U0&amp;row=673&amp;col=7&amp;number=0.00124&amp;sourceID=14","0.00124")</f>
        <v>0.00124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HYPERLINK("http://141.218.60.56/~jnz1568/getInfo.php?workbook=16_08.xlsx&amp;sheet=U0&amp;row=674&amp;col=6&amp;number=4&amp;sourceID=14","4")</f>
        <v>4</v>
      </c>
      <c r="G674" s="4" t="str">
        <f>HYPERLINK("http://141.218.60.56/~jnz1568/getInfo.php?workbook=16_08.xlsx&amp;sheet=U0&amp;row=674&amp;col=7&amp;number=0.00124&amp;sourceID=14","0.00124")</f>
        <v>0.00124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HYPERLINK("http://141.218.60.56/~jnz1568/getInfo.php?workbook=16_08.xlsx&amp;sheet=U0&amp;row=675&amp;col=6&amp;number=4.1&amp;sourceID=14","4.1")</f>
        <v>4.1</v>
      </c>
      <c r="G675" s="4" t="str">
        <f>HYPERLINK("http://141.218.60.56/~jnz1568/getInfo.php?workbook=16_08.xlsx&amp;sheet=U0&amp;row=675&amp;col=7&amp;number=0.00124&amp;sourceID=14","0.00124")</f>
        <v>0.00124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HYPERLINK("http://141.218.60.56/~jnz1568/getInfo.php?workbook=16_08.xlsx&amp;sheet=U0&amp;row=676&amp;col=6&amp;number=4.2&amp;sourceID=14","4.2")</f>
        <v>4.2</v>
      </c>
      <c r="G676" s="4" t="str">
        <f>HYPERLINK("http://141.218.60.56/~jnz1568/getInfo.php?workbook=16_08.xlsx&amp;sheet=U0&amp;row=676&amp;col=7&amp;number=0.00124&amp;sourceID=14","0.00124")</f>
        <v>0.00124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HYPERLINK("http://141.218.60.56/~jnz1568/getInfo.php?workbook=16_08.xlsx&amp;sheet=U0&amp;row=677&amp;col=6&amp;number=4.3&amp;sourceID=14","4.3")</f>
        <v>4.3</v>
      </c>
      <c r="G677" s="4" t="str">
        <f>HYPERLINK("http://141.218.60.56/~jnz1568/getInfo.php?workbook=16_08.xlsx&amp;sheet=U0&amp;row=677&amp;col=7&amp;number=0.00124&amp;sourceID=14","0.00124")</f>
        <v>0.00124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HYPERLINK("http://141.218.60.56/~jnz1568/getInfo.php?workbook=16_08.xlsx&amp;sheet=U0&amp;row=678&amp;col=6&amp;number=4.4&amp;sourceID=14","4.4")</f>
        <v>4.4</v>
      </c>
      <c r="G678" s="4" t="str">
        <f>HYPERLINK("http://141.218.60.56/~jnz1568/getInfo.php?workbook=16_08.xlsx&amp;sheet=U0&amp;row=678&amp;col=7&amp;number=0.00124&amp;sourceID=14","0.00124")</f>
        <v>0.00124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HYPERLINK("http://141.218.60.56/~jnz1568/getInfo.php?workbook=16_08.xlsx&amp;sheet=U0&amp;row=679&amp;col=6&amp;number=4.5&amp;sourceID=14","4.5")</f>
        <v>4.5</v>
      </c>
      <c r="G679" s="4" t="str">
        <f>HYPERLINK("http://141.218.60.56/~jnz1568/getInfo.php?workbook=16_08.xlsx&amp;sheet=U0&amp;row=679&amp;col=7&amp;number=0.00124&amp;sourceID=14","0.00124")</f>
        <v>0.00124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HYPERLINK("http://141.218.60.56/~jnz1568/getInfo.php?workbook=16_08.xlsx&amp;sheet=U0&amp;row=680&amp;col=6&amp;number=4.6&amp;sourceID=14","4.6")</f>
        <v>4.6</v>
      </c>
      <c r="G680" s="4" t="str">
        <f>HYPERLINK("http://141.218.60.56/~jnz1568/getInfo.php?workbook=16_08.xlsx&amp;sheet=U0&amp;row=680&amp;col=7&amp;number=0.00124&amp;sourceID=14","0.00124")</f>
        <v>0.00124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HYPERLINK("http://141.218.60.56/~jnz1568/getInfo.php?workbook=16_08.xlsx&amp;sheet=U0&amp;row=681&amp;col=6&amp;number=4.7&amp;sourceID=14","4.7")</f>
        <v>4.7</v>
      </c>
      <c r="G681" s="4" t="str">
        <f>HYPERLINK("http://141.218.60.56/~jnz1568/getInfo.php?workbook=16_08.xlsx&amp;sheet=U0&amp;row=681&amp;col=7&amp;number=0.00124&amp;sourceID=14","0.00124")</f>
        <v>0.00124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HYPERLINK("http://141.218.60.56/~jnz1568/getInfo.php?workbook=16_08.xlsx&amp;sheet=U0&amp;row=682&amp;col=6&amp;number=4.8&amp;sourceID=14","4.8")</f>
        <v>4.8</v>
      </c>
      <c r="G682" s="4" t="str">
        <f>HYPERLINK("http://141.218.60.56/~jnz1568/getInfo.php?workbook=16_08.xlsx&amp;sheet=U0&amp;row=682&amp;col=7&amp;number=0.00124&amp;sourceID=14","0.00124")</f>
        <v>0.00124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HYPERLINK("http://141.218.60.56/~jnz1568/getInfo.php?workbook=16_08.xlsx&amp;sheet=U0&amp;row=683&amp;col=6&amp;number=4.9&amp;sourceID=14","4.9")</f>
        <v>4.9</v>
      </c>
      <c r="G683" s="4" t="str">
        <f>HYPERLINK("http://141.218.60.56/~jnz1568/getInfo.php?workbook=16_08.xlsx&amp;sheet=U0&amp;row=683&amp;col=7&amp;number=0.00124&amp;sourceID=14","0.00124")</f>
        <v>0.00124</v>
      </c>
    </row>
    <row r="684" spans="1:7">
      <c r="A684" s="3">
        <v>16</v>
      </c>
      <c r="B684" s="3">
        <v>8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HYPERLINK("http://141.218.60.56/~jnz1568/getInfo.php?workbook=16_08.xlsx&amp;sheet=U0&amp;row=684&amp;col=6&amp;number=3&amp;sourceID=14","3")</f>
        <v>3</v>
      </c>
      <c r="G684" s="4" t="str">
        <f>HYPERLINK("http://141.218.60.56/~jnz1568/getInfo.php?workbook=16_08.xlsx&amp;sheet=U0&amp;row=684&amp;col=7&amp;number=0.00506&amp;sourceID=14","0.00506")</f>
        <v>0.00506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HYPERLINK("http://141.218.60.56/~jnz1568/getInfo.php?workbook=16_08.xlsx&amp;sheet=U0&amp;row=685&amp;col=6&amp;number=3.1&amp;sourceID=14","3.1")</f>
        <v>3.1</v>
      </c>
      <c r="G685" s="4" t="str">
        <f>HYPERLINK("http://141.218.60.56/~jnz1568/getInfo.php?workbook=16_08.xlsx&amp;sheet=U0&amp;row=685&amp;col=7&amp;number=0.00506&amp;sourceID=14","0.00506")</f>
        <v>0.00506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HYPERLINK("http://141.218.60.56/~jnz1568/getInfo.php?workbook=16_08.xlsx&amp;sheet=U0&amp;row=686&amp;col=6&amp;number=3.2&amp;sourceID=14","3.2")</f>
        <v>3.2</v>
      </c>
      <c r="G686" s="4" t="str">
        <f>HYPERLINK("http://141.218.60.56/~jnz1568/getInfo.php?workbook=16_08.xlsx&amp;sheet=U0&amp;row=686&amp;col=7&amp;number=0.00506&amp;sourceID=14","0.00506")</f>
        <v>0.00506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HYPERLINK("http://141.218.60.56/~jnz1568/getInfo.php?workbook=16_08.xlsx&amp;sheet=U0&amp;row=687&amp;col=6&amp;number=3.3&amp;sourceID=14","3.3")</f>
        <v>3.3</v>
      </c>
      <c r="G687" s="4" t="str">
        <f>HYPERLINK("http://141.218.60.56/~jnz1568/getInfo.php?workbook=16_08.xlsx&amp;sheet=U0&amp;row=687&amp;col=7&amp;number=0.00506&amp;sourceID=14","0.00506")</f>
        <v>0.00506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HYPERLINK("http://141.218.60.56/~jnz1568/getInfo.php?workbook=16_08.xlsx&amp;sheet=U0&amp;row=688&amp;col=6&amp;number=3.4&amp;sourceID=14","3.4")</f>
        <v>3.4</v>
      </c>
      <c r="G688" s="4" t="str">
        <f>HYPERLINK("http://141.218.60.56/~jnz1568/getInfo.php?workbook=16_08.xlsx&amp;sheet=U0&amp;row=688&amp;col=7&amp;number=0.00506&amp;sourceID=14","0.00506")</f>
        <v>0.00506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HYPERLINK("http://141.218.60.56/~jnz1568/getInfo.php?workbook=16_08.xlsx&amp;sheet=U0&amp;row=689&amp;col=6&amp;number=3.5&amp;sourceID=14","3.5")</f>
        <v>3.5</v>
      </c>
      <c r="G689" s="4" t="str">
        <f>HYPERLINK("http://141.218.60.56/~jnz1568/getInfo.php?workbook=16_08.xlsx&amp;sheet=U0&amp;row=689&amp;col=7&amp;number=0.00506&amp;sourceID=14","0.00506")</f>
        <v>0.00506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HYPERLINK("http://141.218.60.56/~jnz1568/getInfo.php?workbook=16_08.xlsx&amp;sheet=U0&amp;row=690&amp;col=6&amp;number=3.6&amp;sourceID=14","3.6")</f>
        <v>3.6</v>
      </c>
      <c r="G690" s="4" t="str">
        <f>HYPERLINK("http://141.218.60.56/~jnz1568/getInfo.php?workbook=16_08.xlsx&amp;sheet=U0&amp;row=690&amp;col=7&amp;number=0.00506&amp;sourceID=14","0.00506")</f>
        <v>0.00506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HYPERLINK("http://141.218.60.56/~jnz1568/getInfo.php?workbook=16_08.xlsx&amp;sheet=U0&amp;row=691&amp;col=6&amp;number=3.7&amp;sourceID=14","3.7")</f>
        <v>3.7</v>
      </c>
      <c r="G691" s="4" t="str">
        <f>HYPERLINK("http://141.218.60.56/~jnz1568/getInfo.php?workbook=16_08.xlsx&amp;sheet=U0&amp;row=691&amp;col=7&amp;number=0.00506&amp;sourceID=14","0.00506")</f>
        <v>0.00506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HYPERLINK("http://141.218.60.56/~jnz1568/getInfo.php?workbook=16_08.xlsx&amp;sheet=U0&amp;row=692&amp;col=6&amp;number=3.8&amp;sourceID=14","3.8")</f>
        <v>3.8</v>
      </c>
      <c r="G692" s="4" t="str">
        <f>HYPERLINK("http://141.218.60.56/~jnz1568/getInfo.php?workbook=16_08.xlsx&amp;sheet=U0&amp;row=692&amp;col=7&amp;number=0.00506&amp;sourceID=14","0.00506")</f>
        <v>0.00506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HYPERLINK("http://141.218.60.56/~jnz1568/getInfo.php?workbook=16_08.xlsx&amp;sheet=U0&amp;row=693&amp;col=6&amp;number=3.9&amp;sourceID=14","3.9")</f>
        <v>3.9</v>
      </c>
      <c r="G693" s="4" t="str">
        <f>HYPERLINK("http://141.218.60.56/~jnz1568/getInfo.php?workbook=16_08.xlsx&amp;sheet=U0&amp;row=693&amp;col=7&amp;number=0.00506&amp;sourceID=14","0.00506")</f>
        <v>0.00506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HYPERLINK("http://141.218.60.56/~jnz1568/getInfo.php?workbook=16_08.xlsx&amp;sheet=U0&amp;row=694&amp;col=6&amp;number=4&amp;sourceID=14","4")</f>
        <v>4</v>
      </c>
      <c r="G694" s="4" t="str">
        <f>HYPERLINK("http://141.218.60.56/~jnz1568/getInfo.php?workbook=16_08.xlsx&amp;sheet=U0&amp;row=694&amp;col=7&amp;number=0.00506&amp;sourceID=14","0.00506")</f>
        <v>0.00506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HYPERLINK("http://141.218.60.56/~jnz1568/getInfo.php?workbook=16_08.xlsx&amp;sheet=U0&amp;row=695&amp;col=6&amp;number=4.1&amp;sourceID=14","4.1")</f>
        <v>4.1</v>
      </c>
      <c r="G695" s="4" t="str">
        <f>HYPERLINK("http://141.218.60.56/~jnz1568/getInfo.php?workbook=16_08.xlsx&amp;sheet=U0&amp;row=695&amp;col=7&amp;number=0.00506&amp;sourceID=14","0.00506")</f>
        <v>0.00506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HYPERLINK("http://141.218.60.56/~jnz1568/getInfo.php?workbook=16_08.xlsx&amp;sheet=U0&amp;row=696&amp;col=6&amp;number=4.2&amp;sourceID=14","4.2")</f>
        <v>4.2</v>
      </c>
      <c r="G696" s="4" t="str">
        <f>HYPERLINK("http://141.218.60.56/~jnz1568/getInfo.php?workbook=16_08.xlsx&amp;sheet=U0&amp;row=696&amp;col=7&amp;number=0.00506&amp;sourceID=14","0.00506")</f>
        <v>0.00506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HYPERLINK("http://141.218.60.56/~jnz1568/getInfo.php?workbook=16_08.xlsx&amp;sheet=U0&amp;row=697&amp;col=6&amp;number=4.3&amp;sourceID=14","4.3")</f>
        <v>4.3</v>
      </c>
      <c r="G697" s="4" t="str">
        <f>HYPERLINK("http://141.218.60.56/~jnz1568/getInfo.php?workbook=16_08.xlsx&amp;sheet=U0&amp;row=697&amp;col=7&amp;number=0.00505&amp;sourceID=14","0.00505")</f>
        <v>0.00505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HYPERLINK("http://141.218.60.56/~jnz1568/getInfo.php?workbook=16_08.xlsx&amp;sheet=U0&amp;row=698&amp;col=6&amp;number=4.4&amp;sourceID=14","4.4")</f>
        <v>4.4</v>
      </c>
      <c r="G698" s="4" t="str">
        <f>HYPERLINK("http://141.218.60.56/~jnz1568/getInfo.php?workbook=16_08.xlsx&amp;sheet=U0&amp;row=698&amp;col=7&amp;number=0.00505&amp;sourceID=14","0.00505")</f>
        <v>0.00505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HYPERLINK("http://141.218.60.56/~jnz1568/getInfo.php?workbook=16_08.xlsx&amp;sheet=U0&amp;row=699&amp;col=6&amp;number=4.5&amp;sourceID=14","4.5")</f>
        <v>4.5</v>
      </c>
      <c r="G699" s="4" t="str">
        <f>HYPERLINK("http://141.218.60.56/~jnz1568/getInfo.php?workbook=16_08.xlsx&amp;sheet=U0&amp;row=699&amp;col=7&amp;number=0.00505&amp;sourceID=14","0.00505")</f>
        <v>0.00505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HYPERLINK("http://141.218.60.56/~jnz1568/getInfo.php?workbook=16_08.xlsx&amp;sheet=U0&amp;row=700&amp;col=6&amp;number=4.6&amp;sourceID=14","4.6")</f>
        <v>4.6</v>
      </c>
      <c r="G700" s="4" t="str">
        <f>HYPERLINK("http://141.218.60.56/~jnz1568/getInfo.php?workbook=16_08.xlsx&amp;sheet=U0&amp;row=700&amp;col=7&amp;number=0.00505&amp;sourceID=14","0.00505")</f>
        <v>0.00505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HYPERLINK("http://141.218.60.56/~jnz1568/getInfo.php?workbook=16_08.xlsx&amp;sheet=U0&amp;row=701&amp;col=6&amp;number=4.7&amp;sourceID=14","4.7")</f>
        <v>4.7</v>
      </c>
      <c r="G701" s="4" t="str">
        <f>HYPERLINK("http://141.218.60.56/~jnz1568/getInfo.php?workbook=16_08.xlsx&amp;sheet=U0&amp;row=701&amp;col=7&amp;number=0.00505&amp;sourceID=14","0.00505")</f>
        <v>0.00505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HYPERLINK("http://141.218.60.56/~jnz1568/getInfo.php?workbook=16_08.xlsx&amp;sheet=U0&amp;row=702&amp;col=6&amp;number=4.8&amp;sourceID=14","4.8")</f>
        <v>4.8</v>
      </c>
      <c r="G702" s="4" t="str">
        <f>HYPERLINK("http://141.218.60.56/~jnz1568/getInfo.php?workbook=16_08.xlsx&amp;sheet=U0&amp;row=702&amp;col=7&amp;number=0.00504&amp;sourceID=14","0.00504")</f>
        <v>0.00504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HYPERLINK("http://141.218.60.56/~jnz1568/getInfo.php?workbook=16_08.xlsx&amp;sheet=U0&amp;row=703&amp;col=6&amp;number=4.9&amp;sourceID=14","4.9")</f>
        <v>4.9</v>
      </c>
      <c r="G703" s="4" t="str">
        <f>HYPERLINK("http://141.218.60.56/~jnz1568/getInfo.php?workbook=16_08.xlsx&amp;sheet=U0&amp;row=703&amp;col=7&amp;number=0.00504&amp;sourceID=14","0.00504")</f>
        <v>0.00504</v>
      </c>
    </row>
    <row r="704" spans="1:7">
      <c r="A704" s="3">
        <v>16</v>
      </c>
      <c r="B704" s="3">
        <v>8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HYPERLINK("http://141.218.60.56/~jnz1568/getInfo.php?workbook=16_08.xlsx&amp;sheet=U0&amp;row=704&amp;col=6&amp;number=3&amp;sourceID=14","3")</f>
        <v>3</v>
      </c>
      <c r="G704" s="4" t="str">
        <f>HYPERLINK("http://141.218.60.56/~jnz1568/getInfo.php?workbook=16_08.xlsx&amp;sheet=U0&amp;row=704&amp;col=7&amp;number=0.249&amp;sourceID=14","0.249")</f>
        <v>0.249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HYPERLINK("http://141.218.60.56/~jnz1568/getInfo.php?workbook=16_08.xlsx&amp;sheet=U0&amp;row=705&amp;col=6&amp;number=3.1&amp;sourceID=14","3.1")</f>
        <v>3.1</v>
      </c>
      <c r="G705" s="4" t="str">
        <f>HYPERLINK("http://141.218.60.56/~jnz1568/getInfo.php?workbook=16_08.xlsx&amp;sheet=U0&amp;row=705&amp;col=7&amp;number=0.249&amp;sourceID=14","0.249")</f>
        <v>0.249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HYPERLINK("http://141.218.60.56/~jnz1568/getInfo.php?workbook=16_08.xlsx&amp;sheet=U0&amp;row=706&amp;col=6&amp;number=3.2&amp;sourceID=14","3.2")</f>
        <v>3.2</v>
      </c>
      <c r="G706" s="4" t="str">
        <f>HYPERLINK("http://141.218.60.56/~jnz1568/getInfo.php?workbook=16_08.xlsx&amp;sheet=U0&amp;row=706&amp;col=7&amp;number=0.249&amp;sourceID=14","0.249")</f>
        <v>0.249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HYPERLINK("http://141.218.60.56/~jnz1568/getInfo.php?workbook=16_08.xlsx&amp;sheet=U0&amp;row=707&amp;col=6&amp;number=3.3&amp;sourceID=14","3.3")</f>
        <v>3.3</v>
      </c>
      <c r="G707" s="4" t="str">
        <f>HYPERLINK("http://141.218.60.56/~jnz1568/getInfo.php?workbook=16_08.xlsx&amp;sheet=U0&amp;row=707&amp;col=7&amp;number=0.249&amp;sourceID=14","0.249")</f>
        <v>0.249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HYPERLINK("http://141.218.60.56/~jnz1568/getInfo.php?workbook=16_08.xlsx&amp;sheet=U0&amp;row=708&amp;col=6&amp;number=3.4&amp;sourceID=14","3.4")</f>
        <v>3.4</v>
      </c>
      <c r="G708" s="4" t="str">
        <f>HYPERLINK("http://141.218.60.56/~jnz1568/getInfo.php?workbook=16_08.xlsx&amp;sheet=U0&amp;row=708&amp;col=7&amp;number=0.249&amp;sourceID=14","0.249")</f>
        <v>0.249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HYPERLINK("http://141.218.60.56/~jnz1568/getInfo.php?workbook=16_08.xlsx&amp;sheet=U0&amp;row=709&amp;col=6&amp;number=3.5&amp;sourceID=14","3.5")</f>
        <v>3.5</v>
      </c>
      <c r="G709" s="4" t="str">
        <f>HYPERLINK("http://141.218.60.56/~jnz1568/getInfo.php?workbook=16_08.xlsx&amp;sheet=U0&amp;row=709&amp;col=7&amp;number=0.249&amp;sourceID=14","0.249")</f>
        <v>0.249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HYPERLINK("http://141.218.60.56/~jnz1568/getInfo.php?workbook=16_08.xlsx&amp;sheet=U0&amp;row=710&amp;col=6&amp;number=3.6&amp;sourceID=14","3.6")</f>
        <v>3.6</v>
      </c>
      <c r="G710" s="4" t="str">
        <f>HYPERLINK("http://141.218.60.56/~jnz1568/getInfo.php?workbook=16_08.xlsx&amp;sheet=U0&amp;row=710&amp;col=7&amp;number=0.249&amp;sourceID=14","0.249")</f>
        <v>0.249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HYPERLINK("http://141.218.60.56/~jnz1568/getInfo.php?workbook=16_08.xlsx&amp;sheet=U0&amp;row=711&amp;col=6&amp;number=3.7&amp;sourceID=14","3.7")</f>
        <v>3.7</v>
      </c>
      <c r="G711" s="4" t="str">
        <f>HYPERLINK("http://141.218.60.56/~jnz1568/getInfo.php?workbook=16_08.xlsx&amp;sheet=U0&amp;row=711&amp;col=7&amp;number=0.249&amp;sourceID=14","0.249")</f>
        <v>0.249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HYPERLINK("http://141.218.60.56/~jnz1568/getInfo.php?workbook=16_08.xlsx&amp;sheet=U0&amp;row=712&amp;col=6&amp;number=3.8&amp;sourceID=14","3.8")</f>
        <v>3.8</v>
      </c>
      <c r="G712" s="4" t="str">
        <f>HYPERLINK("http://141.218.60.56/~jnz1568/getInfo.php?workbook=16_08.xlsx&amp;sheet=U0&amp;row=712&amp;col=7&amp;number=0.249&amp;sourceID=14","0.249")</f>
        <v>0.249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HYPERLINK("http://141.218.60.56/~jnz1568/getInfo.php?workbook=16_08.xlsx&amp;sheet=U0&amp;row=713&amp;col=6&amp;number=3.9&amp;sourceID=14","3.9")</f>
        <v>3.9</v>
      </c>
      <c r="G713" s="4" t="str">
        <f>HYPERLINK("http://141.218.60.56/~jnz1568/getInfo.php?workbook=16_08.xlsx&amp;sheet=U0&amp;row=713&amp;col=7&amp;number=0.249&amp;sourceID=14","0.249")</f>
        <v>0.249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HYPERLINK("http://141.218.60.56/~jnz1568/getInfo.php?workbook=16_08.xlsx&amp;sheet=U0&amp;row=714&amp;col=6&amp;number=4&amp;sourceID=14","4")</f>
        <v>4</v>
      </c>
      <c r="G714" s="4" t="str">
        <f>HYPERLINK("http://141.218.60.56/~jnz1568/getInfo.php?workbook=16_08.xlsx&amp;sheet=U0&amp;row=714&amp;col=7&amp;number=0.249&amp;sourceID=14","0.249")</f>
        <v>0.249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HYPERLINK("http://141.218.60.56/~jnz1568/getInfo.php?workbook=16_08.xlsx&amp;sheet=U0&amp;row=715&amp;col=6&amp;number=4.1&amp;sourceID=14","4.1")</f>
        <v>4.1</v>
      </c>
      <c r="G715" s="4" t="str">
        <f>HYPERLINK("http://141.218.60.56/~jnz1568/getInfo.php?workbook=16_08.xlsx&amp;sheet=U0&amp;row=715&amp;col=7&amp;number=0.249&amp;sourceID=14","0.249")</f>
        <v>0.249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HYPERLINK("http://141.218.60.56/~jnz1568/getInfo.php?workbook=16_08.xlsx&amp;sheet=U0&amp;row=716&amp;col=6&amp;number=4.2&amp;sourceID=14","4.2")</f>
        <v>4.2</v>
      </c>
      <c r="G716" s="4" t="str">
        <f>HYPERLINK("http://141.218.60.56/~jnz1568/getInfo.php?workbook=16_08.xlsx&amp;sheet=U0&amp;row=716&amp;col=7&amp;number=0.249&amp;sourceID=14","0.249")</f>
        <v>0.249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HYPERLINK("http://141.218.60.56/~jnz1568/getInfo.php?workbook=16_08.xlsx&amp;sheet=U0&amp;row=717&amp;col=6&amp;number=4.3&amp;sourceID=14","4.3")</f>
        <v>4.3</v>
      </c>
      <c r="G717" s="4" t="str">
        <f>HYPERLINK("http://141.218.60.56/~jnz1568/getInfo.php?workbook=16_08.xlsx&amp;sheet=U0&amp;row=717&amp;col=7&amp;number=0.249&amp;sourceID=14","0.249")</f>
        <v>0.249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HYPERLINK("http://141.218.60.56/~jnz1568/getInfo.php?workbook=16_08.xlsx&amp;sheet=U0&amp;row=718&amp;col=6&amp;number=4.4&amp;sourceID=14","4.4")</f>
        <v>4.4</v>
      </c>
      <c r="G718" s="4" t="str">
        <f>HYPERLINK("http://141.218.60.56/~jnz1568/getInfo.php?workbook=16_08.xlsx&amp;sheet=U0&amp;row=718&amp;col=7&amp;number=0.249&amp;sourceID=14","0.249")</f>
        <v>0.249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HYPERLINK("http://141.218.60.56/~jnz1568/getInfo.php?workbook=16_08.xlsx&amp;sheet=U0&amp;row=719&amp;col=6&amp;number=4.5&amp;sourceID=14","4.5")</f>
        <v>4.5</v>
      </c>
      <c r="G719" s="4" t="str">
        <f>HYPERLINK("http://141.218.60.56/~jnz1568/getInfo.php?workbook=16_08.xlsx&amp;sheet=U0&amp;row=719&amp;col=7&amp;number=0.249&amp;sourceID=14","0.249")</f>
        <v>0.249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HYPERLINK("http://141.218.60.56/~jnz1568/getInfo.php?workbook=16_08.xlsx&amp;sheet=U0&amp;row=720&amp;col=6&amp;number=4.6&amp;sourceID=14","4.6")</f>
        <v>4.6</v>
      </c>
      <c r="G720" s="4" t="str">
        <f>HYPERLINK("http://141.218.60.56/~jnz1568/getInfo.php?workbook=16_08.xlsx&amp;sheet=U0&amp;row=720&amp;col=7&amp;number=0.249&amp;sourceID=14","0.249")</f>
        <v>0.249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HYPERLINK("http://141.218.60.56/~jnz1568/getInfo.php?workbook=16_08.xlsx&amp;sheet=U0&amp;row=721&amp;col=6&amp;number=4.7&amp;sourceID=14","4.7")</f>
        <v>4.7</v>
      </c>
      <c r="G721" s="4" t="str">
        <f>HYPERLINK("http://141.218.60.56/~jnz1568/getInfo.php?workbook=16_08.xlsx&amp;sheet=U0&amp;row=721&amp;col=7&amp;number=0.249&amp;sourceID=14","0.249")</f>
        <v>0.249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HYPERLINK("http://141.218.60.56/~jnz1568/getInfo.php?workbook=16_08.xlsx&amp;sheet=U0&amp;row=722&amp;col=6&amp;number=4.8&amp;sourceID=14","4.8")</f>
        <v>4.8</v>
      </c>
      <c r="G722" s="4" t="str">
        <f>HYPERLINK("http://141.218.60.56/~jnz1568/getInfo.php?workbook=16_08.xlsx&amp;sheet=U0&amp;row=722&amp;col=7&amp;number=0.249&amp;sourceID=14","0.249")</f>
        <v>0.249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HYPERLINK("http://141.218.60.56/~jnz1568/getInfo.php?workbook=16_08.xlsx&amp;sheet=U0&amp;row=723&amp;col=6&amp;number=4.9&amp;sourceID=14","4.9")</f>
        <v>4.9</v>
      </c>
      <c r="G723" s="4" t="str">
        <f>HYPERLINK("http://141.218.60.56/~jnz1568/getInfo.php?workbook=16_08.xlsx&amp;sheet=U0&amp;row=723&amp;col=7&amp;number=0.25&amp;sourceID=14","0.25")</f>
        <v>0.25</v>
      </c>
    </row>
    <row r="724" spans="1:7">
      <c r="A724" s="3">
        <v>16</v>
      </c>
      <c r="B724" s="3">
        <v>8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HYPERLINK("http://141.218.60.56/~jnz1568/getInfo.php?workbook=16_08.xlsx&amp;sheet=U0&amp;row=724&amp;col=6&amp;number=3&amp;sourceID=14","3")</f>
        <v>3</v>
      </c>
      <c r="G724" s="4" t="str">
        <f>HYPERLINK("http://141.218.60.56/~jnz1568/getInfo.php?workbook=16_08.xlsx&amp;sheet=U0&amp;row=724&amp;col=7&amp;number=0.00538&amp;sourceID=14","0.00538")</f>
        <v>0.00538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HYPERLINK("http://141.218.60.56/~jnz1568/getInfo.php?workbook=16_08.xlsx&amp;sheet=U0&amp;row=725&amp;col=6&amp;number=3.1&amp;sourceID=14","3.1")</f>
        <v>3.1</v>
      </c>
      <c r="G725" s="4" t="str">
        <f>HYPERLINK("http://141.218.60.56/~jnz1568/getInfo.php?workbook=16_08.xlsx&amp;sheet=U0&amp;row=725&amp;col=7&amp;number=0.00538&amp;sourceID=14","0.00538")</f>
        <v>0.00538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HYPERLINK("http://141.218.60.56/~jnz1568/getInfo.php?workbook=16_08.xlsx&amp;sheet=U0&amp;row=726&amp;col=6&amp;number=3.2&amp;sourceID=14","3.2")</f>
        <v>3.2</v>
      </c>
      <c r="G726" s="4" t="str">
        <f>HYPERLINK("http://141.218.60.56/~jnz1568/getInfo.php?workbook=16_08.xlsx&amp;sheet=U0&amp;row=726&amp;col=7&amp;number=0.00538&amp;sourceID=14","0.00538")</f>
        <v>0.00538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HYPERLINK("http://141.218.60.56/~jnz1568/getInfo.php?workbook=16_08.xlsx&amp;sheet=U0&amp;row=727&amp;col=6&amp;number=3.3&amp;sourceID=14","3.3")</f>
        <v>3.3</v>
      </c>
      <c r="G727" s="4" t="str">
        <f>HYPERLINK("http://141.218.60.56/~jnz1568/getInfo.php?workbook=16_08.xlsx&amp;sheet=U0&amp;row=727&amp;col=7&amp;number=0.00538&amp;sourceID=14","0.00538")</f>
        <v>0.00538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HYPERLINK("http://141.218.60.56/~jnz1568/getInfo.php?workbook=16_08.xlsx&amp;sheet=U0&amp;row=728&amp;col=6&amp;number=3.4&amp;sourceID=14","3.4")</f>
        <v>3.4</v>
      </c>
      <c r="G728" s="4" t="str">
        <f>HYPERLINK("http://141.218.60.56/~jnz1568/getInfo.php?workbook=16_08.xlsx&amp;sheet=U0&amp;row=728&amp;col=7&amp;number=0.00538&amp;sourceID=14","0.00538")</f>
        <v>0.00538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HYPERLINK("http://141.218.60.56/~jnz1568/getInfo.php?workbook=16_08.xlsx&amp;sheet=U0&amp;row=729&amp;col=6&amp;number=3.5&amp;sourceID=14","3.5")</f>
        <v>3.5</v>
      </c>
      <c r="G729" s="4" t="str">
        <f>HYPERLINK("http://141.218.60.56/~jnz1568/getInfo.php?workbook=16_08.xlsx&amp;sheet=U0&amp;row=729&amp;col=7&amp;number=0.00537&amp;sourceID=14","0.00537")</f>
        <v>0.00537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HYPERLINK("http://141.218.60.56/~jnz1568/getInfo.php?workbook=16_08.xlsx&amp;sheet=U0&amp;row=730&amp;col=6&amp;number=3.6&amp;sourceID=14","3.6")</f>
        <v>3.6</v>
      </c>
      <c r="G730" s="4" t="str">
        <f>HYPERLINK("http://141.218.60.56/~jnz1568/getInfo.php?workbook=16_08.xlsx&amp;sheet=U0&amp;row=730&amp;col=7&amp;number=0.00537&amp;sourceID=14","0.00537")</f>
        <v>0.00537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HYPERLINK("http://141.218.60.56/~jnz1568/getInfo.php?workbook=16_08.xlsx&amp;sheet=U0&amp;row=731&amp;col=6&amp;number=3.7&amp;sourceID=14","3.7")</f>
        <v>3.7</v>
      </c>
      <c r="G731" s="4" t="str">
        <f>HYPERLINK("http://141.218.60.56/~jnz1568/getInfo.php?workbook=16_08.xlsx&amp;sheet=U0&amp;row=731&amp;col=7&amp;number=0.00537&amp;sourceID=14","0.00537")</f>
        <v>0.00537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HYPERLINK("http://141.218.60.56/~jnz1568/getInfo.php?workbook=16_08.xlsx&amp;sheet=U0&amp;row=732&amp;col=6&amp;number=3.8&amp;sourceID=14","3.8")</f>
        <v>3.8</v>
      </c>
      <c r="G732" s="4" t="str">
        <f>HYPERLINK("http://141.218.60.56/~jnz1568/getInfo.php?workbook=16_08.xlsx&amp;sheet=U0&amp;row=732&amp;col=7&amp;number=0.00536&amp;sourceID=14","0.00536")</f>
        <v>0.00536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HYPERLINK("http://141.218.60.56/~jnz1568/getInfo.php?workbook=16_08.xlsx&amp;sheet=U0&amp;row=733&amp;col=6&amp;number=3.9&amp;sourceID=14","3.9")</f>
        <v>3.9</v>
      </c>
      <c r="G733" s="4" t="str">
        <f>HYPERLINK("http://141.218.60.56/~jnz1568/getInfo.php?workbook=16_08.xlsx&amp;sheet=U0&amp;row=733&amp;col=7&amp;number=0.00536&amp;sourceID=14","0.00536")</f>
        <v>0.00536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HYPERLINK("http://141.218.60.56/~jnz1568/getInfo.php?workbook=16_08.xlsx&amp;sheet=U0&amp;row=734&amp;col=6&amp;number=4&amp;sourceID=14","4")</f>
        <v>4</v>
      </c>
      <c r="G734" s="4" t="str">
        <f>HYPERLINK("http://141.218.60.56/~jnz1568/getInfo.php?workbook=16_08.xlsx&amp;sheet=U0&amp;row=734&amp;col=7&amp;number=0.00535&amp;sourceID=14","0.00535")</f>
        <v>0.00535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HYPERLINK("http://141.218.60.56/~jnz1568/getInfo.php?workbook=16_08.xlsx&amp;sheet=U0&amp;row=735&amp;col=6&amp;number=4.1&amp;sourceID=14","4.1")</f>
        <v>4.1</v>
      </c>
      <c r="G735" s="4" t="str">
        <f>HYPERLINK("http://141.218.60.56/~jnz1568/getInfo.php?workbook=16_08.xlsx&amp;sheet=U0&amp;row=735&amp;col=7&amp;number=0.00535&amp;sourceID=14","0.00535")</f>
        <v>0.00535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HYPERLINK("http://141.218.60.56/~jnz1568/getInfo.php?workbook=16_08.xlsx&amp;sheet=U0&amp;row=736&amp;col=6&amp;number=4.2&amp;sourceID=14","4.2")</f>
        <v>4.2</v>
      </c>
      <c r="G736" s="4" t="str">
        <f>HYPERLINK("http://141.218.60.56/~jnz1568/getInfo.php?workbook=16_08.xlsx&amp;sheet=U0&amp;row=736&amp;col=7&amp;number=0.00534&amp;sourceID=14","0.00534")</f>
        <v>0.00534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HYPERLINK("http://141.218.60.56/~jnz1568/getInfo.php?workbook=16_08.xlsx&amp;sheet=U0&amp;row=737&amp;col=6&amp;number=4.3&amp;sourceID=14","4.3")</f>
        <v>4.3</v>
      </c>
      <c r="G737" s="4" t="str">
        <f>HYPERLINK("http://141.218.60.56/~jnz1568/getInfo.php?workbook=16_08.xlsx&amp;sheet=U0&amp;row=737&amp;col=7&amp;number=0.00532&amp;sourceID=14","0.00532")</f>
        <v>0.00532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HYPERLINK("http://141.218.60.56/~jnz1568/getInfo.php?workbook=16_08.xlsx&amp;sheet=U0&amp;row=738&amp;col=6&amp;number=4.4&amp;sourceID=14","4.4")</f>
        <v>4.4</v>
      </c>
      <c r="G738" s="4" t="str">
        <f>HYPERLINK("http://141.218.60.56/~jnz1568/getInfo.php?workbook=16_08.xlsx&amp;sheet=U0&amp;row=738&amp;col=7&amp;number=0.00531&amp;sourceID=14","0.00531")</f>
        <v>0.00531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HYPERLINK("http://141.218.60.56/~jnz1568/getInfo.php?workbook=16_08.xlsx&amp;sheet=U0&amp;row=739&amp;col=6&amp;number=4.5&amp;sourceID=14","4.5")</f>
        <v>4.5</v>
      </c>
      <c r="G739" s="4" t="str">
        <f>HYPERLINK("http://141.218.60.56/~jnz1568/getInfo.php?workbook=16_08.xlsx&amp;sheet=U0&amp;row=739&amp;col=7&amp;number=0.00529&amp;sourceID=14","0.00529")</f>
        <v>0.00529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HYPERLINK("http://141.218.60.56/~jnz1568/getInfo.php?workbook=16_08.xlsx&amp;sheet=U0&amp;row=740&amp;col=6&amp;number=4.6&amp;sourceID=14","4.6")</f>
        <v>4.6</v>
      </c>
      <c r="G740" s="4" t="str">
        <f>HYPERLINK("http://141.218.60.56/~jnz1568/getInfo.php?workbook=16_08.xlsx&amp;sheet=U0&amp;row=740&amp;col=7&amp;number=0.00527&amp;sourceID=14","0.00527")</f>
        <v>0.00527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HYPERLINK("http://141.218.60.56/~jnz1568/getInfo.php?workbook=16_08.xlsx&amp;sheet=U0&amp;row=741&amp;col=6&amp;number=4.7&amp;sourceID=14","4.7")</f>
        <v>4.7</v>
      </c>
      <c r="G741" s="4" t="str">
        <f>HYPERLINK("http://141.218.60.56/~jnz1568/getInfo.php?workbook=16_08.xlsx&amp;sheet=U0&amp;row=741&amp;col=7&amp;number=0.00524&amp;sourceID=14","0.00524")</f>
        <v>0.00524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HYPERLINK("http://141.218.60.56/~jnz1568/getInfo.php?workbook=16_08.xlsx&amp;sheet=U0&amp;row=742&amp;col=6&amp;number=4.8&amp;sourceID=14","4.8")</f>
        <v>4.8</v>
      </c>
      <c r="G742" s="4" t="str">
        <f>HYPERLINK("http://141.218.60.56/~jnz1568/getInfo.php?workbook=16_08.xlsx&amp;sheet=U0&amp;row=742&amp;col=7&amp;number=0.0052&amp;sourceID=14","0.0052")</f>
        <v>0.0052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HYPERLINK("http://141.218.60.56/~jnz1568/getInfo.php?workbook=16_08.xlsx&amp;sheet=U0&amp;row=743&amp;col=6&amp;number=4.9&amp;sourceID=14","4.9")</f>
        <v>4.9</v>
      </c>
      <c r="G743" s="4" t="str">
        <f>HYPERLINK("http://141.218.60.56/~jnz1568/getInfo.php?workbook=16_08.xlsx&amp;sheet=U0&amp;row=743&amp;col=7&amp;number=0.00515&amp;sourceID=14","0.00515")</f>
        <v>0.00515</v>
      </c>
    </row>
    <row r="744" spans="1:7">
      <c r="A744" s="3">
        <v>16</v>
      </c>
      <c r="B744" s="3">
        <v>8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HYPERLINK("http://141.218.60.56/~jnz1568/getInfo.php?workbook=16_08.xlsx&amp;sheet=U0&amp;row=744&amp;col=6&amp;number=3&amp;sourceID=14","3")</f>
        <v>3</v>
      </c>
      <c r="G744" s="4" t="str">
        <f>HYPERLINK("http://141.218.60.56/~jnz1568/getInfo.php?workbook=16_08.xlsx&amp;sheet=U0&amp;row=744&amp;col=7&amp;number=0.0161&amp;sourceID=14","0.0161")</f>
        <v>0.0161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HYPERLINK("http://141.218.60.56/~jnz1568/getInfo.php?workbook=16_08.xlsx&amp;sheet=U0&amp;row=745&amp;col=6&amp;number=3.1&amp;sourceID=14","3.1")</f>
        <v>3.1</v>
      </c>
      <c r="G745" s="4" t="str">
        <f>HYPERLINK("http://141.218.60.56/~jnz1568/getInfo.php?workbook=16_08.xlsx&amp;sheet=U0&amp;row=745&amp;col=7&amp;number=0.0161&amp;sourceID=14","0.0161")</f>
        <v>0.0161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HYPERLINK("http://141.218.60.56/~jnz1568/getInfo.php?workbook=16_08.xlsx&amp;sheet=U0&amp;row=746&amp;col=6&amp;number=3.2&amp;sourceID=14","3.2")</f>
        <v>3.2</v>
      </c>
      <c r="G746" s="4" t="str">
        <f>HYPERLINK("http://141.218.60.56/~jnz1568/getInfo.php?workbook=16_08.xlsx&amp;sheet=U0&amp;row=746&amp;col=7&amp;number=0.0161&amp;sourceID=14","0.0161")</f>
        <v>0.0161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HYPERLINK("http://141.218.60.56/~jnz1568/getInfo.php?workbook=16_08.xlsx&amp;sheet=U0&amp;row=747&amp;col=6&amp;number=3.3&amp;sourceID=14","3.3")</f>
        <v>3.3</v>
      </c>
      <c r="G747" s="4" t="str">
        <f>HYPERLINK("http://141.218.60.56/~jnz1568/getInfo.php?workbook=16_08.xlsx&amp;sheet=U0&amp;row=747&amp;col=7&amp;number=0.0161&amp;sourceID=14","0.0161")</f>
        <v>0.0161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HYPERLINK("http://141.218.60.56/~jnz1568/getInfo.php?workbook=16_08.xlsx&amp;sheet=U0&amp;row=748&amp;col=6&amp;number=3.4&amp;sourceID=14","3.4")</f>
        <v>3.4</v>
      </c>
      <c r="G748" s="4" t="str">
        <f>HYPERLINK("http://141.218.60.56/~jnz1568/getInfo.php?workbook=16_08.xlsx&amp;sheet=U0&amp;row=748&amp;col=7&amp;number=0.0161&amp;sourceID=14","0.0161")</f>
        <v>0.0161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HYPERLINK("http://141.218.60.56/~jnz1568/getInfo.php?workbook=16_08.xlsx&amp;sheet=U0&amp;row=749&amp;col=6&amp;number=3.5&amp;sourceID=14","3.5")</f>
        <v>3.5</v>
      </c>
      <c r="G749" s="4" t="str">
        <f>HYPERLINK("http://141.218.60.56/~jnz1568/getInfo.php?workbook=16_08.xlsx&amp;sheet=U0&amp;row=749&amp;col=7&amp;number=0.0161&amp;sourceID=14","0.0161")</f>
        <v>0.0161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HYPERLINK("http://141.218.60.56/~jnz1568/getInfo.php?workbook=16_08.xlsx&amp;sheet=U0&amp;row=750&amp;col=6&amp;number=3.6&amp;sourceID=14","3.6")</f>
        <v>3.6</v>
      </c>
      <c r="G750" s="4" t="str">
        <f>HYPERLINK("http://141.218.60.56/~jnz1568/getInfo.php?workbook=16_08.xlsx&amp;sheet=U0&amp;row=750&amp;col=7&amp;number=0.0161&amp;sourceID=14","0.0161")</f>
        <v>0.0161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HYPERLINK("http://141.218.60.56/~jnz1568/getInfo.php?workbook=16_08.xlsx&amp;sheet=U0&amp;row=751&amp;col=6&amp;number=3.7&amp;sourceID=14","3.7")</f>
        <v>3.7</v>
      </c>
      <c r="G751" s="4" t="str">
        <f>HYPERLINK("http://141.218.60.56/~jnz1568/getInfo.php?workbook=16_08.xlsx&amp;sheet=U0&amp;row=751&amp;col=7&amp;number=0.0161&amp;sourceID=14","0.0161")</f>
        <v>0.0161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HYPERLINK("http://141.218.60.56/~jnz1568/getInfo.php?workbook=16_08.xlsx&amp;sheet=U0&amp;row=752&amp;col=6&amp;number=3.8&amp;sourceID=14","3.8")</f>
        <v>3.8</v>
      </c>
      <c r="G752" s="4" t="str">
        <f>HYPERLINK("http://141.218.60.56/~jnz1568/getInfo.php?workbook=16_08.xlsx&amp;sheet=U0&amp;row=752&amp;col=7&amp;number=0.0161&amp;sourceID=14","0.0161")</f>
        <v>0.0161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HYPERLINK("http://141.218.60.56/~jnz1568/getInfo.php?workbook=16_08.xlsx&amp;sheet=U0&amp;row=753&amp;col=6&amp;number=3.9&amp;sourceID=14","3.9")</f>
        <v>3.9</v>
      </c>
      <c r="G753" s="4" t="str">
        <f>HYPERLINK("http://141.218.60.56/~jnz1568/getInfo.php?workbook=16_08.xlsx&amp;sheet=U0&amp;row=753&amp;col=7&amp;number=0.0161&amp;sourceID=14","0.0161")</f>
        <v>0.0161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HYPERLINK("http://141.218.60.56/~jnz1568/getInfo.php?workbook=16_08.xlsx&amp;sheet=U0&amp;row=754&amp;col=6&amp;number=4&amp;sourceID=14","4")</f>
        <v>4</v>
      </c>
      <c r="G754" s="4" t="str">
        <f>HYPERLINK("http://141.218.60.56/~jnz1568/getInfo.php?workbook=16_08.xlsx&amp;sheet=U0&amp;row=754&amp;col=7&amp;number=0.016&amp;sourceID=14","0.016")</f>
        <v>0.016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HYPERLINK("http://141.218.60.56/~jnz1568/getInfo.php?workbook=16_08.xlsx&amp;sheet=U0&amp;row=755&amp;col=6&amp;number=4.1&amp;sourceID=14","4.1")</f>
        <v>4.1</v>
      </c>
      <c r="G755" s="4" t="str">
        <f>HYPERLINK("http://141.218.60.56/~jnz1568/getInfo.php?workbook=16_08.xlsx&amp;sheet=U0&amp;row=755&amp;col=7&amp;number=0.016&amp;sourceID=14","0.016")</f>
        <v>0.016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HYPERLINK("http://141.218.60.56/~jnz1568/getInfo.php?workbook=16_08.xlsx&amp;sheet=U0&amp;row=756&amp;col=6&amp;number=4.2&amp;sourceID=14","4.2")</f>
        <v>4.2</v>
      </c>
      <c r="G756" s="4" t="str">
        <f>HYPERLINK("http://141.218.60.56/~jnz1568/getInfo.php?workbook=16_08.xlsx&amp;sheet=U0&amp;row=756&amp;col=7&amp;number=0.016&amp;sourceID=14","0.016")</f>
        <v>0.016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HYPERLINK("http://141.218.60.56/~jnz1568/getInfo.php?workbook=16_08.xlsx&amp;sheet=U0&amp;row=757&amp;col=6&amp;number=4.3&amp;sourceID=14","4.3")</f>
        <v>4.3</v>
      </c>
      <c r="G757" s="4" t="str">
        <f>HYPERLINK("http://141.218.60.56/~jnz1568/getInfo.php?workbook=16_08.xlsx&amp;sheet=U0&amp;row=757&amp;col=7&amp;number=0.016&amp;sourceID=14","0.016")</f>
        <v>0.016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HYPERLINK("http://141.218.60.56/~jnz1568/getInfo.php?workbook=16_08.xlsx&amp;sheet=U0&amp;row=758&amp;col=6&amp;number=4.4&amp;sourceID=14","4.4")</f>
        <v>4.4</v>
      </c>
      <c r="G758" s="4" t="str">
        <f>HYPERLINK("http://141.218.60.56/~jnz1568/getInfo.php?workbook=16_08.xlsx&amp;sheet=U0&amp;row=758&amp;col=7&amp;number=0.0159&amp;sourceID=14","0.0159")</f>
        <v>0.0159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HYPERLINK("http://141.218.60.56/~jnz1568/getInfo.php?workbook=16_08.xlsx&amp;sheet=U0&amp;row=759&amp;col=6&amp;number=4.5&amp;sourceID=14","4.5")</f>
        <v>4.5</v>
      </c>
      <c r="G759" s="4" t="str">
        <f>HYPERLINK("http://141.218.60.56/~jnz1568/getInfo.php?workbook=16_08.xlsx&amp;sheet=U0&amp;row=759&amp;col=7&amp;number=0.0159&amp;sourceID=14","0.0159")</f>
        <v>0.0159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HYPERLINK("http://141.218.60.56/~jnz1568/getInfo.php?workbook=16_08.xlsx&amp;sheet=U0&amp;row=760&amp;col=6&amp;number=4.6&amp;sourceID=14","4.6")</f>
        <v>4.6</v>
      </c>
      <c r="G760" s="4" t="str">
        <f>HYPERLINK("http://141.218.60.56/~jnz1568/getInfo.php?workbook=16_08.xlsx&amp;sheet=U0&amp;row=760&amp;col=7&amp;number=0.0158&amp;sourceID=14","0.0158")</f>
        <v>0.0158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HYPERLINK("http://141.218.60.56/~jnz1568/getInfo.php?workbook=16_08.xlsx&amp;sheet=U0&amp;row=761&amp;col=6&amp;number=4.7&amp;sourceID=14","4.7")</f>
        <v>4.7</v>
      </c>
      <c r="G761" s="4" t="str">
        <f>HYPERLINK("http://141.218.60.56/~jnz1568/getInfo.php?workbook=16_08.xlsx&amp;sheet=U0&amp;row=761&amp;col=7&amp;number=0.0157&amp;sourceID=14","0.0157")</f>
        <v>0.0157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HYPERLINK("http://141.218.60.56/~jnz1568/getInfo.php?workbook=16_08.xlsx&amp;sheet=U0&amp;row=762&amp;col=6&amp;number=4.8&amp;sourceID=14","4.8")</f>
        <v>4.8</v>
      </c>
      <c r="G762" s="4" t="str">
        <f>HYPERLINK("http://141.218.60.56/~jnz1568/getInfo.php?workbook=16_08.xlsx&amp;sheet=U0&amp;row=762&amp;col=7&amp;number=0.0156&amp;sourceID=14","0.0156")</f>
        <v>0.0156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HYPERLINK("http://141.218.60.56/~jnz1568/getInfo.php?workbook=16_08.xlsx&amp;sheet=U0&amp;row=763&amp;col=6&amp;number=4.9&amp;sourceID=14","4.9")</f>
        <v>4.9</v>
      </c>
      <c r="G763" s="4" t="str">
        <f>HYPERLINK("http://141.218.60.56/~jnz1568/getInfo.php?workbook=16_08.xlsx&amp;sheet=U0&amp;row=763&amp;col=7&amp;number=0.0155&amp;sourceID=14","0.0155")</f>
        <v>0.0155</v>
      </c>
    </row>
    <row r="764" spans="1:7">
      <c r="A764" s="3">
        <v>16</v>
      </c>
      <c r="B764" s="3">
        <v>8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HYPERLINK("http://141.218.60.56/~jnz1568/getInfo.php?workbook=16_08.xlsx&amp;sheet=U0&amp;row=764&amp;col=6&amp;number=3&amp;sourceID=14","3")</f>
        <v>3</v>
      </c>
      <c r="G764" s="4" t="str">
        <f>HYPERLINK("http://141.218.60.56/~jnz1568/getInfo.php?workbook=16_08.xlsx&amp;sheet=U0&amp;row=764&amp;col=7&amp;number=0.0282&amp;sourceID=14","0.0282")</f>
        <v>0.0282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HYPERLINK("http://141.218.60.56/~jnz1568/getInfo.php?workbook=16_08.xlsx&amp;sheet=U0&amp;row=765&amp;col=6&amp;number=3.1&amp;sourceID=14","3.1")</f>
        <v>3.1</v>
      </c>
      <c r="G765" s="4" t="str">
        <f>HYPERLINK("http://141.218.60.56/~jnz1568/getInfo.php?workbook=16_08.xlsx&amp;sheet=U0&amp;row=765&amp;col=7&amp;number=0.0282&amp;sourceID=14","0.0282")</f>
        <v>0.0282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HYPERLINK("http://141.218.60.56/~jnz1568/getInfo.php?workbook=16_08.xlsx&amp;sheet=U0&amp;row=766&amp;col=6&amp;number=3.2&amp;sourceID=14","3.2")</f>
        <v>3.2</v>
      </c>
      <c r="G766" s="4" t="str">
        <f>HYPERLINK("http://141.218.60.56/~jnz1568/getInfo.php?workbook=16_08.xlsx&amp;sheet=U0&amp;row=766&amp;col=7&amp;number=0.0282&amp;sourceID=14","0.0282")</f>
        <v>0.0282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HYPERLINK("http://141.218.60.56/~jnz1568/getInfo.php?workbook=16_08.xlsx&amp;sheet=U0&amp;row=767&amp;col=6&amp;number=3.3&amp;sourceID=14","3.3")</f>
        <v>3.3</v>
      </c>
      <c r="G767" s="4" t="str">
        <f>HYPERLINK("http://141.218.60.56/~jnz1568/getInfo.php?workbook=16_08.xlsx&amp;sheet=U0&amp;row=767&amp;col=7&amp;number=0.0282&amp;sourceID=14","0.0282")</f>
        <v>0.0282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HYPERLINK("http://141.218.60.56/~jnz1568/getInfo.php?workbook=16_08.xlsx&amp;sheet=U0&amp;row=768&amp;col=6&amp;number=3.4&amp;sourceID=14","3.4")</f>
        <v>3.4</v>
      </c>
      <c r="G768" s="4" t="str">
        <f>HYPERLINK("http://141.218.60.56/~jnz1568/getInfo.php?workbook=16_08.xlsx&amp;sheet=U0&amp;row=768&amp;col=7&amp;number=0.0282&amp;sourceID=14","0.0282")</f>
        <v>0.0282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HYPERLINK("http://141.218.60.56/~jnz1568/getInfo.php?workbook=16_08.xlsx&amp;sheet=U0&amp;row=769&amp;col=6&amp;number=3.5&amp;sourceID=14","3.5")</f>
        <v>3.5</v>
      </c>
      <c r="G769" s="4" t="str">
        <f>HYPERLINK("http://141.218.60.56/~jnz1568/getInfo.php?workbook=16_08.xlsx&amp;sheet=U0&amp;row=769&amp;col=7&amp;number=0.0281&amp;sourceID=14","0.0281")</f>
        <v>0.0281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HYPERLINK("http://141.218.60.56/~jnz1568/getInfo.php?workbook=16_08.xlsx&amp;sheet=U0&amp;row=770&amp;col=6&amp;number=3.6&amp;sourceID=14","3.6")</f>
        <v>3.6</v>
      </c>
      <c r="G770" s="4" t="str">
        <f>HYPERLINK("http://141.218.60.56/~jnz1568/getInfo.php?workbook=16_08.xlsx&amp;sheet=U0&amp;row=770&amp;col=7&amp;number=0.0281&amp;sourceID=14","0.0281")</f>
        <v>0.0281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HYPERLINK("http://141.218.60.56/~jnz1568/getInfo.php?workbook=16_08.xlsx&amp;sheet=U0&amp;row=771&amp;col=6&amp;number=3.7&amp;sourceID=14","3.7")</f>
        <v>3.7</v>
      </c>
      <c r="G771" s="4" t="str">
        <f>HYPERLINK("http://141.218.60.56/~jnz1568/getInfo.php?workbook=16_08.xlsx&amp;sheet=U0&amp;row=771&amp;col=7&amp;number=0.0281&amp;sourceID=14","0.0281")</f>
        <v>0.0281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HYPERLINK("http://141.218.60.56/~jnz1568/getInfo.php?workbook=16_08.xlsx&amp;sheet=U0&amp;row=772&amp;col=6&amp;number=3.8&amp;sourceID=14","3.8")</f>
        <v>3.8</v>
      </c>
      <c r="G772" s="4" t="str">
        <f>HYPERLINK("http://141.218.60.56/~jnz1568/getInfo.php?workbook=16_08.xlsx&amp;sheet=U0&amp;row=772&amp;col=7&amp;number=0.0281&amp;sourceID=14","0.0281")</f>
        <v>0.0281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HYPERLINK("http://141.218.60.56/~jnz1568/getInfo.php?workbook=16_08.xlsx&amp;sheet=U0&amp;row=773&amp;col=6&amp;number=3.9&amp;sourceID=14","3.9")</f>
        <v>3.9</v>
      </c>
      <c r="G773" s="4" t="str">
        <f>HYPERLINK("http://141.218.60.56/~jnz1568/getInfo.php?workbook=16_08.xlsx&amp;sheet=U0&amp;row=773&amp;col=7&amp;number=0.0281&amp;sourceID=14","0.0281")</f>
        <v>0.0281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HYPERLINK("http://141.218.60.56/~jnz1568/getInfo.php?workbook=16_08.xlsx&amp;sheet=U0&amp;row=774&amp;col=6&amp;number=4&amp;sourceID=14","4")</f>
        <v>4</v>
      </c>
      <c r="G774" s="4" t="str">
        <f>HYPERLINK("http://141.218.60.56/~jnz1568/getInfo.php?workbook=16_08.xlsx&amp;sheet=U0&amp;row=774&amp;col=7&amp;number=0.0281&amp;sourceID=14","0.0281")</f>
        <v>0.0281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HYPERLINK("http://141.218.60.56/~jnz1568/getInfo.php?workbook=16_08.xlsx&amp;sheet=U0&amp;row=775&amp;col=6&amp;number=4.1&amp;sourceID=14","4.1")</f>
        <v>4.1</v>
      </c>
      <c r="G775" s="4" t="str">
        <f>HYPERLINK("http://141.218.60.56/~jnz1568/getInfo.php?workbook=16_08.xlsx&amp;sheet=U0&amp;row=775&amp;col=7&amp;number=0.028&amp;sourceID=14","0.028")</f>
        <v>0.028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HYPERLINK("http://141.218.60.56/~jnz1568/getInfo.php?workbook=16_08.xlsx&amp;sheet=U0&amp;row=776&amp;col=6&amp;number=4.2&amp;sourceID=14","4.2")</f>
        <v>4.2</v>
      </c>
      <c r="G776" s="4" t="str">
        <f>HYPERLINK("http://141.218.60.56/~jnz1568/getInfo.php?workbook=16_08.xlsx&amp;sheet=U0&amp;row=776&amp;col=7&amp;number=0.028&amp;sourceID=14","0.028")</f>
        <v>0.028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HYPERLINK("http://141.218.60.56/~jnz1568/getInfo.php?workbook=16_08.xlsx&amp;sheet=U0&amp;row=777&amp;col=6&amp;number=4.3&amp;sourceID=14","4.3")</f>
        <v>4.3</v>
      </c>
      <c r="G777" s="4" t="str">
        <f>HYPERLINK("http://141.218.60.56/~jnz1568/getInfo.php?workbook=16_08.xlsx&amp;sheet=U0&amp;row=777&amp;col=7&amp;number=0.0279&amp;sourceID=14","0.0279")</f>
        <v>0.0279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HYPERLINK("http://141.218.60.56/~jnz1568/getInfo.php?workbook=16_08.xlsx&amp;sheet=U0&amp;row=778&amp;col=6&amp;number=4.4&amp;sourceID=14","4.4")</f>
        <v>4.4</v>
      </c>
      <c r="G778" s="4" t="str">
        <f>HYPERLINK("http://141.218.60.56/~jnz1568/getInfo.php?workbook=16_08.xlsx&amp;sheet=U0&amp;row=778&amp;col=7&amp;number=0.0278&amp;sourceID=14","0.0278")</f>
        <v>0.0278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HYPERLINK("http://141.218.60.56/~jnz1568/getInfo.php?workbook=16_08.xlsx&amp;sheet=U0&amp;row=779&amp;col=6&amp;number=4.5&amp;sourceID=14","4.5")</f>
        <v>4.5</v>
      </c>
      <c r="G779" s="4" t="str">
        <f>HYPERLINK("http://141.218.60.56/~jnz1568/getInfo.php?workbook=16_08.xlsx&amp;sheet=U0&amp;row=779&amp;col=7&amp;number=0.0278&amp;sourceID=14","0.0278")</f>
        <v>0.0278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HYPERLINK("http://141.218.60.56/~jnz1568/getInfo.php?workbook=16_08.xlsx&amp;sheet=U0&amp;row=780&amp;col=6&amp;number=4.6&amp;sourceID=14","4.6")</f>
        <v>4.6</v>
      </c>
      <c r="G780" s="4" t="str">
        <f>HYPERLINK("http://141.218.60.56/~jnz1568/getInfo.php?workbook=16_08.xlsx&amp;sheet=U0&amp;row=780&amp;col=7&amp;number=0.0276&amp;sourceID=14","0.0276")</f>
        <v>0.0276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HYPERLINK("http://141.218.60.56/~jnz1568/getInfo.php?workbook=16_08.xlsx&amp;sheet=U0&amp;row=781&amp;col=6&amp;number=4.7&amp;sourceID=14","4.7")</f>
        <v>4.7</v>
      </c>
      <c r="G781" s="4" t="str">
        <f>HYPERLINK("http://141.218.60.56/~jnz1568/getInfo.php?workbook=16_08.xlsx&amp;sheet=U0&amp;row=781&amp;col=7&amp;number=0.0275&amp;sourceID=14","0.0275")</f>
        <v>0.0275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HYPERLINK("http://141.218.60.56/~jnz1568/getInfo.php?workbook=16_08.xlsx&amp;sheet=U0&amp;row=782&amp;col=6&amp;number=4.8&amp;sourceID=14","4.8")</f>
        <v>4.8</v>
      </c>
      <c r="G782" s="4" t="str">
        <f>HYPERLINK("http://141.218.60.56/~jnz1568/getInfo.php?workbook=16_08.xlsx&amp;sheet=U0&amp;row=782&amp;col=7&amp;number=0.0273&amp;sourceID=14","0.0273")</f>
        <v>0.0273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HYPERLINK("http://141.218.60.56/~jnz1568/getInfo.php?workbook=16_08.xlsx&amp;sheet=U0&amp;row=783&amp;col=6&amp;number=4.9&amp;sourceID=14","4.9")</f>
        <v>4.9</v>
      </c>
      <c r="G783" s="4" t="str">
        <f>HYPERLINK("http://141.218.60.56/~jnz1568/getInfo.php?workbook=16_08.xlsx&amp;sheet=U0&amp;row=783&amp;col=7&amp;number=0.0271&amp;sourceID=14","0.0271")</f>
        <v>0.0271</v>
      </c>
    </row>
    <row r="784" spans="1:7">
      <c r="A784" s="3">
        <v>16</v>
      </c>
      <c r="B784" s="3">
        <v>8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HYPERLINK("http://141.218.60.56/~jnz1568/getInfo.php?workbook=16_08.xlsx&amp;sheet=U0&amp;row=784&amp;col=6&amp;number=3&amp;sourceID=14","3")</f>
        <v>3</v>
      </c>
      <c r="G784" s="4" t="str">
        <f>HYPERLINK("http://141.218.60.56/~jnz1568/getInfo.php?workbook=16_08.xlsx&amp;sheet=U0&amp;row=784&amp;col=7&amp;number=0.0444&amp;sourceID=14","0.0444")</f>
        <v>0.0444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HYPERLINK("http://141.218.60.56/~jnz1568/getInfo.php?workbook=16_08.xlsx&amp;sheet=U0&amp;row=785&amp;col=6&amp;number=3.1&amp;sourceID=14","3.1")</f>
        <v>3.1</v>
      </c>
      <c r="G785" s="4" t="str">
        <f>HYPERLINK("http://141.218.60.56/~jnz1568/getInfo.php?workbook=16_08.xlsx&amp;sheet=U0&amp;row=785&amp;col=7&amp;number=0.0444&amp;sourceID=14","0.0444")</f>
        <v>0.0444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HYPERLINK("http://141.218.60.56/~jnz1568/getInfo.php?workbook=16_08.xlsx&amp;sheet=U0&amp;row=786&amp;col=6&amp;number=3.2&amp;sourceID=14","3.2")</f>
        <v>3.2</v>
      </c>
      <c r="G786" s="4" t="str">
        <f>HYPERLINK("http://141.218.60.56/~jnz1568/getInfo.php?workbook=16_08.xlsx&amp;sheet=U0&amp;row=786&amp;col=7&amp;number=0.0443&amp;sourceID=14","0.0443")</f>
        <v>0.0443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HYPERLINK("http://141.218.60.56/~jnz1568/getInfo.php?workbook=16_08.xlsx&amp;sheet=U0&amp;row=787&amp;col=6&amp;number=3.3&amp;sourceID=14","3.3")</f>
        <v>3.3</v>
      </c>
      <c r="G787" s="4" t="str">
        <f>HYPERLINK("http://141.218.60.56/~jnz1568/getInfo.php?workbook=16_08.xlsx&amp;sheet=U0&amp;row=787&amp;col=7&amp;number=0.0443&amp;sourceID=14","0.0443")</f>
        <v>0.0443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HYPERLINK("http://141.218.60.56/~jnz1568/getInfo.php?workbook=16_08.xlsx&amp;sheet=U0&amp;row=788&amp;col=6&amp;number=3.4&amp;sourceID=14","3.4")</f>
        <v>3.4</v>
      </c>
      <c r="G788" s="4" t="str">
        <f>HYPERLINK("http://141.218.60.56/~jnz1568/getInfo.php?workbook=16_08.xlsx&amp;sheet=U0&amp;row=788&amp;col=7&amp;number=0.0443&amp;sourceID=14","0.0443")</f>
        <v>0.0443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HYPERLINK("http://141.218.60.56/~jnz1568/getInfo.php?workbook=16_08.xlsx&amp;sheet=U0&amp;row=789&amp;col=6&amp;number=3.5&amp;sourceID=14","3.5")</f>
        <v>3.5</v>
      </c>
      <c r="G789" s="4" t="str">
        <f>HYPERLINK("http://141.218.60.56/~jnz1568/getInfo.php?workbook=16_08.xlsx&amp;sheet=U0&amp;row=789&amp;col=7&amp;number=0.0443&amp;sourceID=14","0.0443")</f>
        <v>0.0443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HYPERLINK("http://141.218.60.56/~jnz1568/getInfo.php?workbook=16_08.xlsx&amp;sheet=U0&amp;row=790&amp;col=6&amp;number=3.6&amp;sourceID=14","3.6")</f>
        <v>3.6</v>
      </c>
      <c r="G790" s="4" t="str">
        <f>HYPERLINK("http://141.218.60.56/~jnz1568/getInfo.php?workbook=16_08.xlsx&amp;sheet=U0&amp;row=790&amp;col=7&amp;number=0.0443&amp;sourceID=14","0.0443")</f>
        <v>0.0443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HYPERLINK("http://141.218.60.56/~jnz1568/getInfo.php?workbook=16_08.xlsx&amp;sheet=U0&amp;row=791&amp;col=6&amp;number=3.7&amp;sourceID=14","3.7")</f>
        <v>3.7</v>
      </c>
      <c r="G791" s="4" t="str">
        <f>HYPERLINK("http://141.218.60.56/~jnz1568/getInfo.php?workbook=16_08.xlsx&amp;sheet=U0&amp;row=791&amp;col=7&amp;number=0.0443&amp;sourceID=14","0.0443")</f>
        <v>0.0443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HYPERLINK("http://141.218.60.56/~jnz1568/getInfo.php?workbook=16_08.xlsx&amp;sheet=U0&amp;row=792&amp;col=6&amp;number=3.8&amp;sourceID=14","3.8")</f>
        <v>3.8</v>
      </c>
      <c r="G792" s="4" t="str">
        <f>HYPERLINK("http://141.218.60.56/~jnz1568/getInfo.php?workbook=16_08.xlsx&amp;sheet=U0&amp;row=792&amp;col=7&amp;number=0.0442&amp;sourceID=14","0.0442")</f>
        <v>0.0442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HYPERLINK("http://141.218.60.56/~jnz1568/getInfo.php?workbook=16_08.xlsx&amp;sheet=U0&amp;row=793&amp;col=6&amp;number=3.9&amp;sourceID=14","3.9")</f>
        <v>3.9</v>
      </c>
      <c r="G793" s="4" t="str">
        <f>HYPERLINK("http://141.218.60.56/~jnz1568/getInfo.php?workbook=16_08.xlsx&amp;sheet=U0&amp;row=793&amp;col=7&amp;number=0.0442&amp;sourceID=14","0.0442")</f>
        <v>0.0442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HYPERLINK("http://141.218.60.56/~jnz1568/getInfo.php?workbook=16_08.xlsx&amp;sheet=U0&amp;row=794&amp;col=6&amp;number=4&amp;sourceID=14","4")</f>
        <v>4</v>
      </c>
      <c r="G794" s="4" t="str">
        <f>HYPERLINK("http://141.218.60.56/~jnz1568/getInfo.php?workbook=16_08.xlsx&amp;sheet=U0&amp;row=794&amp;col=7&amp;number=0.0442&amp;sourceID=14","0.0442")</f>
        <v>0.0442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HYPERLINK("http://141.218.60.56/~jnz1568/getInfo.php?workbook=16_08.xlsx&amp;sheet=U0&amp;row=795&amp;col=6&amp;number=4.1&amp;sourceID=14","4.1")</f>
        <v>4.1</v>
      </c>
      <c r="G795" s="4" t="str">
        <f>HYPERLINK("http://141.218.60.56/~jnz1568/getInfo.php?workbook=16_08.xlsx&amp;sheet=U0&amp;row=795&amp;col=7&amp;number=0.0441&amp;sourceID=14","0.0441")</f>
        <v>0.0441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HYPERLINK("http://141.218.60.56/~jnz1568/getInfo.php?workbook=16_08.xlsx&amp;sheet=U0&amp;row=796&amp;col=6&amp;number=4.2&amp;sourceID=14","4.2")</f>
        <v>4.2</v>
      </c>
      <c r="G796" s="4" t="str">
        <f>HYPERLINK("http://141.218.60.56/~jnz1568/getInfo.php?workbook=16_08.xlsx&amp;sheet=U0&amp;row=796&amp;col=7&amp;number=0.044&amp;sourceID=14","0.044")</f>
        <v>0.044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HYPERLINK("http://141.218.60.56/~jnz1568/getInfo.php?workbook=16_08.xlsx&amp;sheet=U0&amp;row=797&amp;col=6&amp;number=4.3&amp;sourceID=14","4.3")</f>
        <v>4.3</v>
      </c>
      <c r="G797" s="4" t="str">
        <f>HYPERLINK("http://141.218.60.56/~jnz1568/getInfo.php?workbook=16_08.xlsx&amp;sheet=U0&amp;row=797&amp;col=7&amp;number=0.0439&amp;sourceID=14","0.0439")</f>
        <v>0.0439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HYPERLINK("http://141.218.60.56/~jnz1568/getInfo.php?workbook=16_08.xlsx&amp;sheet=U0&amp;row=798&amp;col=6&amp;number=4.4&amp;sourceID=14","4.4")</f>
        <v>4.4</v>
      </c>
      <c r="G798" s="4" t="str">
        <f>HYPERLINK("http://141.218.60.56/~jnz1568/getInfo.php?workbook=16_08.xlsx&amp;sheet=U0&amp;row=798&amp;col=7&amp;number=0.0438&amp;sourceID=14","0.0438")</f>
        <v>0.0438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HYPERLINK("http://141.218.60.56/~jnz1568/getInfo.php?workbook=16_08.xlsx&amp;sheet=U0&amp;row=799&amp;col=6&amp;number=4.5&amp;sourceID=14","4.5")</f>
        <v>4.5</v>
      </c>
      <c r="G799" s="4" t="str">
        <f>HYPERLINK("http://141.218.60.56/~jnz1568/getInfo.php?workbook=16_08.xlsx&amp;sheet=U0&amp;row=799&amp;col=7&amp;number=0.0437&amp;sourceID=14","0.0437")</f>
        <v>0.0437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HYPERLINK("http://141.218.60.56/~jnz1568/getInfo.php?workbook=16_08.xlsx&amp;sheet=U0&amp;row=800&amp;col=6&amp;number=4.6&amp;sourceID=14","4.6")</f>
        <v>4.6</v>
      </c>
      <c r="G800" s="4" t="str">
        <f>HYPERLINK("http://141.218.60.56/~jnz1568/getInfo.php?workbook=16_08.xlsx&amp;sheet=U0&amp;row=800&amp;col=7&amp;number=0.0435&amp;sourceID=14","0.0435")</f>
        <v>0.0435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HYPERLINK("http://141.218.60.56/~jnz1568/getInfo.php?workbook=16_08.xlsx&amp;sheet=U0&amp;row=801&amp;col=6&amp;number=4.7&amp;sourceID=14","4.7")</f>
        <v>4.7</v>
      </c>
      <c r="G801" s="4" t="str">
        <f>HYPERLINK("http://141.218.60.56/~jnz1568/getInfo.php?workbook=16_08.xlsx&amp;sheet=U0&amp;row=801&amp;col=7&amp;number=0.0433&amp;sourceID=14","0.0433")</f>
        <v>0.0433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HYPERLINK("http://141.218.60.56/~jnz1568/getInfo.php?workbook=16_08.xlsx&amp;sheet=U0&amp;row=802&amp;col=6&amp;number=4.8&amp;sourceID=14","4.8")</f>
        <v>4.8</v>
      </c>
      <c r="G802" s="4" t="str">
        <f>HYPERLINK("http://141.218.60.56/~jnz1568/getInfo.php?workbook=16_08.xlsx&amp;sheet=U0&amp;row=802&amp;col=7&amp;number=0.043&amp;sourceID=14","0.043")</f>
        <v>0.043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HYPERLINK("http://141.218.60.56/~jnz1568/getInfo.php?workbook=16_08.xlsx&amp;sheet=U0&amp;row=803&amp;col=6&amp;number=4.9&amp;sourceID=14","4.9")</f>
        <v>4.9</v>
      </c>
      <c r="G803" s="4" t="str">
        <f>HYPERLINK("http://141.218.60.56/~jnz1568/getInfo.php?workbook=16_08.xlsx&amp;sheet=U0&amp;row=803&amp;col=7&amp;number=0.0427&amp;sourceID=14","0.0427")</f>
        <v>0.0427</v>
      </c>
    </row>
    <row r="804" spans="1:7">
      <c r="A804" s="3">
        <v>16</v>
      </c>
      <c r="B804" s="3">
        <v>8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HYPERLINK("http://141.218.60.56/~jnz1568/getInfo.php?workbook=16_08.xlsx&amp;sheet=U0&amp;row=804&amp;col=6&amp;number=3&amp;sourceID=14","3")</f>
        <v>3</v>
      </c>
      <c r="G804" s="4" t="str">
        <f>HYPERLINK("http://141.218.60.56/~jnz1568/getInfo.php?workbook=16_08.xlsx&amp;sheet=U0&amp;row=804&amp;col=7&amp;number=0.0682&amp;sourceID=14","0.0682")</f>
        <v>0.0682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HYPERLINK("http://141.218.60.56/~jnz1568/getInfo.php?workbook=16_08.xlsx&amp;sheet=U0&amp;row=805&amp;col=6&amp;number=3.1&amp;sourceID=14","3.1")</f>
        <v>3.1</v>
      </c>
      <c r="G805" s="4" t="str">
        <f>HYPERLINK("http://141.218.60.56/~jnz1568/getInfo.php?workbook=16_08.xlsx&amp;sheet=U0&amp;row=805&amp;col=7&amp;number=0.0682&amp;sourceID=14","0.0682")</f>
        <v>0.0682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HYPERLINK("http://141.218.60.56/~jnz1568/getInfo.php?workbook=16_08.xlsx&amp;sheet=U0&amp;row=806&amp;col=6&amp;number=3.2&amp;sourceID=14","3.2")</f>
        <v>3.2</v>
      </c>
      <c r="G806" s="4" t="str">
        <f>HYPERLINK("http://141.218.60.56/~jnz1568/getInfo.php?workbook=16_08.xlsx&amp;sheet=U0&amp;row=806&amp;col=7&amp;number=0.0682&amp;sourceID=14","0.0682")</f>
        <v>0.0682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HYPERLINK("http://141.218.60.56/~jnz1568/getInfo.php?workbook=16_08.xlsx&amp;sheet=U0&amp;row=807&amp;col=6&amp;number=3.3&amp;sourceID=14","3.3")</f>
        <v>3.3</v>
      </c>
      <c r="G807" s="4" t="str">
        <f>HYPERLINK("http://141.218.60.56/~jnz1568/getInfo.php?workbook=16_08.xlsx&amp;sheet=U0&amp;row=807&amp;col=7&amp;number=0.0682&amp;sourceID=14","0.0682")</f>
        <v>0.0682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HYPERLINK("http://141.218.60.56/~jnz1568/getInfo.php?workbook=16_08.xlsx&amp;sheet=U0&amp;row=808&amp;col=6&amp;number=3.4&amp;sourceID=14","3.4")</f>
        <v>3.4</v>
      </c>
      <c r="G808" s="4" t="str">
        <f>HYPERLINK("http://141.218.60.56/~jnz1568/getInfo.php?workbook=16_08.xlsx&amp;sheet=U0&amp;row=808&amp;col=7&amp;number=0.0682&amp;sourceID=14","0.0682")</f>
        <v>0.0682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HYPERLINK("http://141.218.60.56/~jnz1568/getInfo.php?workbook=16_08.xlsx&amp;sheet=U0&amp;row=809&amp;col=6&amp;number=3.5&amp;sourceID=14","3.5")</f>
        <v>3.5</v>
      </c>
      <c r="G809" s="4" t="str">
        <f>HYPERLINK("http://141.218.60.56/~jnz1568/getInfo.php?workbook=16_08.xlsx&amp;sheet=U0&amp;row=809&amp;col=7&amp;number=0.0682&amp;sourceID=14","0.0682")</f>
        <v>0.0682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HYPERLINK("http://141.218.60.56/~jnz1568/getInfo.php?workbook=16_08.xlsx&amp;sheet=U0&amp;row=810&amp;col=6&amp;number=3.6&amp;sourceID=14","3.6")</f>
        <v>3.6</v>
      </c>
      <c r="G810" s="4" t="str">
        <f>HYPERLINK("http://141.218.60.56/~jnz1568/getInfo.php?workbook=16_08.xlsx&amp;sheet=U0&amp;row=810&amp;col=7&amp;number=0.0681&amp;sourceID=14","0.0681")</f>
        <v>0.0681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HYPERLINK("http://141.218.60.56/~jnz1568/getInfo.php?workbook=16_08.xlsx&amp;sheet=U0&amp;row=811&amp;col=6&amp;number=3.7&amp;sourceID=14","3.7")</f>
        <v>3.7</v>
      </c>
      <c r="G811" s="4" t="str">
        <f>HYPERLINK("http://141.218.60.56/~jnz1568/getInfo.php?workbook=16_08.xlsx&amp;sheet=U0&amp;row=811&amp;col=7&amp;number=0.0681&amp;sourceID=14","0.0681")</f>
        <v>0.0681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HYPERLINK("http://141.218.60.56/~jnz1568/getInfo.php?workbook=16_08.xlsx&amp;sheet=U0&amp;row=812&amp;col=6&amp;number=3.8&amp;sourceID=14","3.8")</f>
        <v>3.8</v>
      </c>
      <c r="G812" s="4" t="str">
        <f>HYPERLINK("http://141.218.60.56/~jnz1568/getInfo.php?workbook=16_08.xlsx&amp;sheet=U0&amp;row=812&amp;col=7&amp;number=0.0681&amp;sourceID=14","0.0681")</f>
        <v>0.0681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HYPERLINK("http://141.218.60.56/~jnz1568/getInfo.php?workbook=16_08.xlsx&amp;sheet=U0&amp;row=813&amp;col=6&amp;number=3.9&amp;sourceID=14","3.9")</f>
        <v>3.9</v>
      </c>
      <c r="G813" s="4" t="str">
        <f>HYPERLINK("http://141.218.60.56/~jnz1568/getInfo.php?workbook=16_08.xlsx&amp;sheet=U0&amp;row=813&amp;col=7&amp;number=0.068&amp;sourceID=14","0.068")</f>
        <v>0.068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HYPERLINK("http://141.218.60.56/~jnz1568/getInfo.php?workbook=16_08.xlsx&amp;sheet=U0&amp;row=814&amp;col=6&amp;number=4&amp;sourceID=14","4")</f>
        <v>4</v>
      </c>
      <c r="G814" s="4" t="str">
        <f>HYPERLINK("http://141.218.60.56/~jnz1568/getInfo.php?workbook=16_08.xlsx&amp;sheet=U0&amp;row=814&amp;col=7&amp;number=0.0679&amp;sourceID=14","0.0679")</f>
        <v>0.0679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HYPERLINK("http://141.218.60.56/~jnz1568/getInfo.php?workbook=16_08.xlsx&amp;sheet=U0&amp;row=815&amp;col=6&amp;number=4.1&amp;sourceID=14","4.1")</f>
        <v>4.1</v>
      </c>
      <c r="G815" s="4" t="str">
        <f>HYPERLINK("http://141.218.60.56/~jnz1568/getInfo.php?workbook=16_08.xlsx&amp;sheet=U0&amp;row=815&amp;col=7&amp;number=0.0678&amp;sourceID=14","0.0678")</f>
        <v>0.0678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HYPERLINK("http://141.218.60.56/~jnz1568/getInfo.php?workbook=16_08.xlsx&amp;sheet=U0&amp;row=816&amp;col=6&amp;number=4.2&amp;sourceID=14","4.2")</f>
        <v>4.2</v>
      </c>
      <c r="G816" s="4" t="str">
        <f>HYPERLINK("http://141.218.60.56/~jnz1568/getInfo.php?workbook=16_08.xlsx&amp;sheet=U0&amp;row=816&amp;col=7&amp;number=0.0677&amp;sourceID=14","0.0677")</f>
        <v>0.0677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HYPERLINK("http://141.218.60.56/~jnz1568/getInfo.php?workbook=16_08.xlsx&amp;sheet=U0&amp;row=817&amp;col=6&amp;number=4.3&amp;sourceID=14","4.3")</f>
        <v>4.3</v>
      </c>
      <c r="G817" s="4" t="str">
        <f>HYPERLINK("http://141.218.60.56/~jnz1568/getInfo.php?workbook=16_08.xlsx&amp;sheet=U0&amp;row=817&amp;col=7&amp;number=0.0676&amp;sourceID=14","0.0676")</f>
        <v>0.0676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HYPERLINK("http://141.218.60.56/~jnz1568/getInfo.php?workbook=16_08.xlsx&amp;sheet=U0&amp;row=818&amp;col=6&amp;number=4.4&amp;sourceID=14","4.4")</f>
        <v>4.4</v>
      </c>
      <c r="G818" s="4" t="str">
        <f>HYPERLINK("http://141.218.60.56/~jnz1568/getInfo.php?workbook=16_08.xlsx&amp;sheet=U0&amp;row=818&amp;col=7&amp;number=0.0674&amp;sourceID=14","0.0674")</f>
        <v>0.0674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HYPERLINK("http://141.218.60.56/~jnz1568/getInfo.php?workbook=16_08.xlsx&amp;sheet=U0&amp;row=819&amp;col=6&amp;number=4.5&amp;sourceID=14","4.5")</f>
        <v>4.5</v>
      </c>
      <c r="G819" s="4" t="str">
        <f>HYPERLINK("http://141.218.60.56/~jnz1568/getInfo.php?workbook=16_08.xlsx&amp;sheet=U0&amp;row=819&amp;col=7&amp;number=0.0671&amp;sourceID=14","0.0671")</f>
        <v>0.0671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HYPERLINK("http://141.218.60.56/~jnz1568/getInfo.php?workbook=16_08.xlsx&amp;sheet=U0&amp;row=820&amp;col=6&amp;number=4.6&amp;sourceID=14","4.6")</f>
        <v>4.6</v>
      </c>
      <c r="G820" s="4" t="str">
        <f>HYPERLINK("http://141.218.60.56/~jnz1568/getInfo.php?workbook=16_08.xlsx&amp;sheet=U0&amp;row=820&amp;col=7&amp;number=0.0669&amp;sourceID=14","0.0669")</f>
        <v>0.0669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HYPERLINK("http://141.218.60.56/~jnz1568/getInfo.php?workbook=16_08.xlsx&amp;sheet=U0&amp;row=821&amp;col=6&amp;number=4.7&amp;sourceID=14","4.7")</f>
        <v>4.7</v>
      </c>
      <c r="G821" s="4" t="str">
        <f>HYPERLINK("http://141.218.60.56/~jnz1568/getInfo.php?workbook=16_08.xlsx&amp;sheet=U0&amp;row=821&amp;col=7&amp;number=0.0665&amp;sourceID=14","0.0665")</f>
        <v>0.0665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HYPERLINK("http://141.218.60.56/~jnz1568/getInfo.php?workbook=16_08.xlsx&amp;sheet=U0&amp;row=822&amp;col=6&amp;number=4.8&amp;sourceID=14","4.8")</f>
        <v>4.8</v>
      </c>
      <c r="G822" s="4" t="str">
        <f>HYPERLINK("http://141.218.60.56/~jnz1568/getInfo.php?workbook=16_08.xlsx&amp;sheet=U0&amp;row=822&amp;col=7&amp;number=0.0661&amp;sourceID=14","0.0661")</f>
        <v>0.0661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HYPERLINK("http://141.218.60.56/~jnz1568/getInfo.php?workbook=16_08.xlsx&amp;sheet=U0&amp;row=823&amp;col=6&amp;number=4.9&amp;sourceID=14","4.9")</f>
        <v>4.9</v>
      </c>
      <c r="G823" s="4" t="str">
        <f>HYPERLINK("http://141.218.60.56/~jnz1568/getInfo.php?workbook=16_08.xlsx&amp;sheet=U0&amp;row=823&amp;col=7&amp;number=0.0655&amp;sourceID=14","0.0655")</f>
        <v>0.0655</v>
      </c>
    </row>
    <row r="824" spans="1:7">
      <c r="A824" s="3">
        <v>16</v>
      </c>
      <c r="B824" s="3">
        <v>8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HYPERLINK("http://141.218.60.56/~jnz1568/getInfo.php?workbook=16_08.xlsx&amp;sheet=U0&amp;row=824&amp;col=6&amp;number=3&amp;sourceID=14","3")</f>
        <v>3</v>
      </c>
      <c r="G824" s="4" t="str">
        <f>HYPERLINK("http://141.218.60.56/~jnz1568/getInfo.php?workbook=16_08.xlsx&amp;sheet=U0&amp;row=824&amp;col=7&amp;number=0.0025&amp;sourceID=14","0.0025")</f>
        <v>0.0025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HYPERLINK("http://141.218.60.56/~jnz1568/getInfo.php?workbook=16_08.xlsx&amp;sheet=U0&amp;row=825&amp;col=6&amp;number=3.1&amp;sourceID=14","3.1")</f>
        <v>3.1</v>
      </c>
      <c r="G825" s="4" t="str">
        <f>HYPERLINK("http://141.218.60.56/~jnz1568/getInfo.php?workbook=16_08.xlsx&amp;sheet=U0&amp;row=825&amp;col=7&amp;number=0.0025&amp;sourceID=14","0.0025")</f>
        <v>0.0025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HYPERLINK("http://141.218.60.56/~jnz1568/getInfo.php?workbook=16_08.xlsx&amp;sheet=U0&amp;row=826&amp;col=6&amp;number=3.2&amp;sourceID=14","3.2")</f>
        <v>3.2</v>
      </c>
      <c r="G826" s="4" t="str">
        <f>HYPERLINK("http://141.218.60.56/~jnz1568/getInfo.php?workbook=16_08.xlsx&amp;sheet=U0&amp;row=826&amp;col=7&amp;number=0.0025&amp;sourceID=14","0.0025")</f>
        <v>0.0025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HYPERLINK("http://141.218.60.56/~jnz1568/getInfo.php?workbook=16_08.xlsx&amp;sheet=U0&amp;row=827&amp;col=6&amp;number=3.3&amp;sourceID=14","3.3")</f>
        <v>3.3</v>
      </c>
      <c r="G827" s="4" t="str">
        <f>HYPERLINK("http://141.218.60.56/~jnz1568/getInfo.php?workbook=16_08.xlsx&amp;sheet=U0&amp;row=827&amp;col=7&amp;number=0.0025&amp;sourceID=14","0.0025")</f>
        <v>0.0025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HYPERLINK("http://141.218.60.56/~jnz1568/getInfo.php?workbook=16_08.xlsx&amp;sheet=U0&amp;row=828&amp;col=6&amp;number=3.4&amp;sourceID=14","3.4")</f>
        <v>3.4</v>
      </c>
      <c r="G828" s="4" t="str">
        <f>HYPERLINK("http://141.218.60.56/~jnz1568/getInfo.php?workbook=16_08.xlsx&amp;sheet=U0&amp;row=828&amp;col=7&amp;number=0.0025&amp;sourceID=14","0.0025")</f>
        <v>0.0025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HYPERLINK("http://141.218.60.56/~jnz1568/getInfo.php?workbook=16_08.xlsx&amp;sheet=U0&amp;row=829&amp;col=6&amp;number=3.5&amp;sourceID=14","3.5")</f>
        <v>3.5</v>
      </c>
      <c r="G829" s="4" t="str">
        <f>HYPERLINK("http://141.218.60.56/~jnz1568/getInfo.php?workbook=16_08.xlsx&amp;sheet=U0&amp;row=829&amp;col=7&amp;number=0.0025&amp;sourceID=14","0.0025")</f>
        <v>0.0025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HYPERLINK("http://141.218.60.56/~jnz1568/getInfo.php?workbook=16_08.xlsx&amp;sheet=U0&amp;row=830&amp;col=6&amp;number=3.6&amp;sourceID=14","3.6")</f>
        <v>3.6</v>
      </c>
      <c r="G830" s="4" t="str">
        <f>HYPERLINK("http://141.218.60.56/~jnz1568/getInfo.php?workbook=16_08.xlsx&amp;sheet=U0&amp;row=830&amp;col=7&amp;number=0.0025&amp;sourceID=14","0.0025")</f>
        <v>0.0025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HYPERLINK("http://141.218.60.56/~jnz1568/getInfo.php?workbook=16_08.xlsx&amp;sheet=U0&amp;row=831&amp;col=6&amp;number=3.7&amp;sourceID=14","3.7")</f>
        <v>3.7</v>
      </c>
      <c r="G831" s="4" t="str">
        <f>HYPERLINK("http://141.218.60.56/~jnz1568/getInfo.php?workbook=16_08.xlsx&amp;sheet=U0&amp;row=831&amp;col=7&amp;number=0.0025&amp;sourceID=14","0.0025")</f>
        <v>0.0025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HYPERLINK("http://141.218.60.56/~jnz1568/getInfo.php?workbook=16_08.xlsx&amp;sheet=U0&amp;row=832&amp;col=6&amp;number=3.8&amp;sourceID=14","3.8")</f>
        <v>3.8</v>
      </c>
      <c r="G832" s="4" t="str">
        <f>HYPERLINK("http://141.218.60.56/~jnz1568/getInfo.php?workbook=16_08.xlsx&amp;sheet=U0&amp;row=832&amp;col=7&amp;number=0.0025&amp;sourceID=14","0.0025")</f>
        <v>0.0025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HYPERLINK("http://141.218.60.56/~jnz1568/getInfo.php?workbook=16_08.xlsx&amp;sheet=U0&amp;row=833&amp;col=6&amp;number=3.9&amp;sourceID=14","3.9")</f>
        <v>3.9</v>
      </c>
      <c r="G833" s="4" t="str">
        <f>HYPERLINK("http://141.218.60.56/~jnz1568/getInfo.php?workbook=16_08.xlsx&amp;sheet=U0&amp;row=833&amp;col=7&amp;number=0.0025&amp;sourceID=14","0.0025")</f>
        <v>0.0025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HYPERLINK("http://141.218.60.56/~jnz1568/getInfo.php?workbook=16_08.xlsx&amp;sheet=U0&amp;row=834&amp;col=6&amp;number=4&amp;sourceID=14","4")</f>
        <v>4</v>
      </c>
      <c r="G834" s="4" t="str">
        <f>HYPERLINK("http://141.218.60.56/~jnz1568/getInfo.php?workbook=16_08.xlsx&amp;sheet=U0&amp;row=834&amp;col=7&amp;number=0.0025&amp;sourceID=14","0.0025")</f>
        <v>0.0025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HYPERLINK("http://141.218.60.56/~jnz1568/getInfo.php?workbook=16_08.xlsx&amp;sheet=U0&amp;row=835&amp;col=6&amp;number=4.1&amp;sourceID=14","4.1")</f>
        <v>4.1</v>
      </c>
      <c r="G835" s="4" t="str">
        <f>HYPERLINK("http://141.218.60.56/~jnz1568/getInfo.php?workbook=16_08.xlsx&amp;sheet=U0&amp;row=835&amp;col=7&amp;number=0.0025&amp;sourceID=14","0.0025")</f>
        <v>0.0025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HYPERLINK("http://141.218.60.56/~jnz1568/getInfo.php?workbook=16_08.xlsx&amp;sheet=U0&amp;row=836&amp;col=6&amp;number=4.2&amp;sourceID=14","4.2")</f>
        <v>4.2</v>
      </c>
      <c r="G836" s="4" t="str">
        <f>HYPERLINK("http://141.218.60.56/~jnz1568/getInfo.php?workbook=16_08.xlsx&amp;sheet=U0&amp;row=836&amp;col=7&amp;number=0.0025&amp;sourceID=14","0.0025")</f>
        <v>0.0025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HYPERLINK("http://141.218.60.56/~jnz1568/getInfo.php?workbook=16_08.xlsx&amp;sheet=U0&amp;row=837&amp;col=6&amp;number=4.3&amp;sourceID=14","4.3")</f>
        <v>4.3</v>
      </c>
      <c r="G837" s="4" t="str">
        <f>HYPERLINK("http://141.218.60.56/~jnz1568/getInfo.php?workbook=16_08.xlsx&amp;sheet=U0&amp;row=837&amp;col=7&amp;number=0.00249&amp;sourceID=14","0.00249")</f>
        <v>0.00249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HYPERLINK("http://141.218.60.56/~jnz1568/getInfo.php?workbook=16_08.xlsx&amp;sheet=U0&amp;row=838&amp;col=6&amp;number=4.4&amp;sourceID=14","4.4")</f>
        <v>4.4</v>
      </c>
      <c r="G838" s="4" t="str">
        <f>HYPERLINK("http://141.218.60.56/~jnz1568/getInfo.php?workbook=16_08.xlsx&amp;sheet=U0&amp;row=838&amp;col=7&amp;number=0.00249&amp;sourceID=14","0.00249")</f>
        <v>0.00249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HYPERLINK("http://141.218.60.56/~jnz1568/getInfo.php?workbook=16_08.xlsx&amp;sheet=U0&amp;row=839&amp;col=6&amp;number=4.5&amp;sourceID=14","4.5")</f>
        <v>4.5</v>
      </c>
      <c r="G839" s="4" t="str">
        <f>HYPERLINK("http://141.218.60.56/~jnz1568/getInfo.php?workbook=16_08.xlsx&amp;sheet=U0&amp;row=839&amp;col=7&amp;number=0.00249&amp;sourceID=14","0.00249")</f>
        <v>0.00249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HYPERLINK("http://141.218.60.56/~jnz1568/getInfo.php?workbook=16_08.xlsx&amp;sheet=U0&amp;row=840&amp;col=6&amp;number=4.6&amp;sourceID=14","4.6")</f>
        <v>4.6</v>
      </c>
      <c r="G840" s="4" t="str">
        <f>HYPERLINK("http://141.218.60.56/~jnz1568/getInfo.php?workbook=16_08.xlsx&amp;sheet=U0&amp;row=840&amp;col=7&amp;number=0.00248&amp;sourceID=14","0.00248")</f>
        <v>0.00248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HYPERLINK("http://141.218.60.56/~jnz1568/getInfo.php?workbook=16_08.xlsx&amp;sheet=U0&amp;row=841&amp;col=6&amp;number=4.7&amp;sourceID=14","4.7")</f>
        <v>4.7</v>
      </c>
      <c r="G841" s="4" t="str">
        <f>HYPERLINK("http://141.218.60.56/~jnz1568/getInfo.php?workbook=16_08.xlsx&amp;sheet=U0&amp;row=841&amp;col=7&amp;number=0.00248&amp;sourceID=14","0.00248")</f>
        <v>0.00248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HYPERLINK("http://141.218.60.56/~jnz1568/getInfo.php?workbook=16_08.xlsx&amp;sheet=U0&amp;row=842&amp;col=6&amp;number=4.8&amp;sourceID=14","4.8")</f>
        <v>4.8</v>
      </c>
      <c r="G842" s="4" t="str">
        <f>HYPERLINK("http://141.218.60.56/~jnz1568/getInfo.php?workbook=16_08.xlsx&amp;sheet=U0&amp;row=842&amp;col=7&amp;number=0.00247&amp;sourceID=14","0.00247")</f>
        <v>0.00247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HYPERLINK("http://141.218.60.56/~jnz1568/getInfo.php?workbook=16_08.xlsx&amp;sheet=U0&amp;row=843&amp;col=6&amp;number=4.9&amp;sourceID=14","4.9")</f>
        <v>4.9</v>
      </c>
      <c r="G843" s="4" t="str">
        <f>HYPERLINK("http://141.218.60.56/~jnz1568/getInfo.php?workbook=16_08.xlsx&amp;sheet=U0&amp;row=843&amp;col=7&amp;number=0.00246&amp;sourceID=14","0.00246")</f>
        <v>0.00246</v>
      </c>
    </row>
    <row r="844" spans="1:7">
      <c r="A844" s="3">
        <v>16</v>
      </c>
      <c r="B844" s="3">
        <v>8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HYPERLINK("http://141.218.60.56/~jnz1568/getInfo.php?workbook=16_08.xlsx&amp;sheet=U0&amp;row=844&amp;col=6&amp;number=3&amp;sourceID=14","3")</f>
        <v>3</v>
      </c>
      <c r="G844" s="4" t="str">
        <f>HYPERLINK("http://141.218.60.56/~jnz1568/getInfo.php?workbook=16_08.xlsx&amp;sheet=U0&amp;row=844&amp;col=7&amp;number=0.028&amp;sourceID=14","0.028")</f>
        <v>0.028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HYPERLINK("http://141.218.60.56/~jnz1568/getInfo.php?workbook=16_08.xlsx&amp;sheet=U0&amp;row=845&amp;col=6&amp;number=3.1&amp;sourceID=14","3.1")</f>
        <v>3.1</v>
      </c>
      <c r="G845" s="4" t="str">
        <f>HYPERLINK("http://141.218.60.56/~jnz1568/getInfo.php?workbook=16_08.xlsx&amp;sheet=U0&amp;row=845&amp;col=7&amp;number=0.028&amp;sourceID=14","0.028")</f>
        <v>0.028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HYPERLINK("http://141.218.60.56/~jnz1568/getInfo.php?workbook=16_08.xlsx&amp;sheet=U0&amp;row=846&amp;col=6&amp;number=3.2&amp;sourceID=14","3.2")</f>
        <v>3.2</v>
      </c>
      <c r="G846" s="4" t="str">
        <f>HYPERLINK("http://141.218.60.56/~jnz1568/getInfo.php?workbook=16_08.xlsx&amp;sheet=U0&amp;row=846&amp;col=7&amp;number=0.028&amp;sourceID=14","0.028")</f>
        <v>0.028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HYPERLINK("http://141.218.60.56/~jnz1568/getInfo.php?workbook=16_08.xlsx&amp;sheet=U0&amp;row=847&amp;col=6&amp;number=3.3&amp;sourceID=14","3.3")</f>
        <v>3.3</v>
      </c>
      <c r="G847" s="4" t="str">
        <f>HYPERLINK("http://141.218.60.56/~jnz1568/getInfo.php?workbook=16_08.xlsx&amp;sheet=U0&amp;row=847&amp;col=7&amp;number=0.028&amp;sourceID=14","0.028")</f>
        <v>0.028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HYPERLINK("http://141.218.60.56/~jnz1568/getInfo.php?workbook=16_08.xlsx&amp;sheet=U0&amp;row=848&amp;col=6&amp;number=3.4&amp;sourceID=14","3.4")</f>
        <v>3.4</v>
      </c>
      <c r="G848" s="4" t="str">
        <f>HYPERLINK("http://141.218.60.56/~jnz1568/getInfo.php?workbook=16_08.xlsx&amp;sheet=U0&amp;row=848&amp;col=7&amp;number=0.028&amp;sourceID=14","0.028")</f>
        <v>0.028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HYPERLINK("http://141.218.60.56/~jnz1568/getInfo.php?workbook=16_08.xlsx&amp;sheet=U0&amp;row=849&amp;col=6&amp;number=3.5&amp;sourceID=14","3.5")</f>
        <v>3.5</v>
      </c>
      <c r="G849" s="4" t="str">
        <f>HYPERLINK("http://141.218.60.56/~jnz1568/getInfo.php?workbook=16_08.xlsx&amp;sheet=U0&amp;row=849&amp;col=7&amp;number=0.028&amp;sourceID=14","0.028")</f>
        <v>0.028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HYPERLINK("http://141.218.60.56/~jnz1568/getInfo.php?workbook=16_08.xlsx&amp;sheet=U0&amp;row=850&amp;col=6&amp;number=3.6&amp;sourceID=14","3.6")</f>
        <v>3.6</v>
      </c>
      <c r="G850" s="4" t="str">
        <f>HYPERLINK("http://141.218.60.56/~jnz1568/getInfo.php?workbook=16_08.xlsx&amp;sheet=U0&amp;row=850&amp;col=7&amp;number=0.028&amp;sourceID=14","0.028")</f>
        <v>0.028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HYPERLINK("http://141.218.60.56/~jnz1568/getInfo.php?workbook=16_08.xlsx&amp;sheet=U0&amp;row=851&amp;col=6&amp;number=3.7&amp;sourceID=14","3.7")</f>
        <v>3.7</v>
      </c>
      <c r="G851" s="4" t="str">
        <f>HYPERLINK("http://141.218.60.56/~jnz1568/getInfo.php?workbook=16_08.xlsx&amp;sheet=U0&amp;row=851&amp;col=7&amp;number=0.028&amp;sourceID=14","0.028")</f>
        <v>0.028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HYPERLINK("http://141.218.60.56/~jnz1568/getInfo.php?workbook=16_08.xlsx&amp;sheet=U0&amp;row=852&amp;col=6&amp;number=3.8&amp;sourceID=14","3.8")</f>
        <v>3.8</v>
      </c>
      <c r="G852" s="4" t="str">
        <f>HYPERLINK("http://141.218.60.56/~jnz1568/getInfo.php?workbook=16_08.xlsx&amp;sheet=U0&amp;row=852&amp;col=7&amp;number=0.028&amp;sourceID=14","0.028")</f>
        <v>0.028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HYPERLINK("http://141.218.60.56/~jnz1568/getInfo.php?workbook=16_08.xlsx&amp;sheet=U0&amp;row=853&amp;col=6&amp;number=3.9&amp;sourceID=14","3.9")</f>
        <v>3.9</v>
      </c>
      <c r="G853" s="4" t="str">
        <f>HYPERLINK("http://141.218.60.56/~jnz1568/getInfo.php?workbook=16_08.xlsx&amp;sheet=U0&amp;row=853&amp;col=7&amp;number=0.028&amp;sourceID=14","0.028")</f>
        <v>0.028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HYPERLINK("http://141.218.60.56/~jnz1568/getInfo.php?workbook=16_08.xlsx&amp;sheet=U0&amp;row=854&amp;col=6&amp;number=4&amp;sourceID=14","4")</f>
        <v>4</v>
      </c>
      <c r="G854" s="4" t="str">
        <f>HYPERLINK("http://141.218.60.56/~jnz1568/getInfo.php?workbook=16_08.xlsx&amp;sheet=U0&amp;row=854&amp;col=7&amp;number=0.028&amp;sourceID=14","0.028")</f>
        <v>0.028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HYPERLINK("http://141.218.60.56/~jnz1568/getInfo.php?workbook=16_08.xlsx&amp;sheet=U0&amp;row=855&amp;col=6&amp;number=4.1&amp;sourceID=14","4.1")</f>
        <v>4.1</v>
      </c>
      <c r="G855" s="4" t="str">
        <f>HYPERLINK("http://141.218.60.56/~jnz1568/getInfo.php?workbook=16_08.xlsx&amp;sheet=U0&amp;row=855&amp;col=7&amp;number=0.028&amp;sourceID=14","0.028")</f>
        <v>0.028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HYPERLINK("http://141.218.60.56/~jnz1568/getInfo.php?workbook=16_08.xlsx&amp;sheet=U0&amp;row=856&amp;col=6&amp;number=4.2&amp;sourceID=14","4.2")</f>
        <v>4.2</v>
      </c>
      <c r="G856" s="4" t="str">
        <f>HYPERLINK("http://141.218.60.56/~jnz1568/getInfo.php?workbook=16_08.xlsx&amp;sheet=U0&amp;row=856&amp;col=7&amp;number=0.028&amp;sourceID=14","0.028")</f>
        <v>0.028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HYPERLINK("http://141.218.60.56/~jnz1568/getInfo.php?workbook=16_08.xlsx&amp;sheet=U0&amp;row=857&amp;col=6&amp;number=4.3&amp;sourceID=14","4.3")</f>
        <v>4.3</v>
      </c>
      <c r="G857" s="4" t="str">
        <f>HYPERLINK("http://141.218.60.56/~jnz1568/getInfo.php?workbook=16_08.xlsx&amp;sheet=U0&amp;row=857&amp;col=7&amp;number=0.028&amp;sourceID=14","0.028")</f>
        <v>0.028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HYPERLINK("http://141.218.60.56/~jnz1568/getInfo.php?workbook=16_08.xlsx&amp;sheet=U0&amp;row=858&amp;col=6&amp;number=4.4&amp;sourceID=14","4.4")</f>
        <v>4.4</v>
      </c>
      <c r="G858" s="4" t="str">
        <f>HYPERLINK("http://141.218.60.56/~jnz1568/getInfo.php?workbook=16_08.xlsx&amp;sheet=U0&amp;row=858&amp;col=7&amp;number=0.028&amp;sourceID=14","0.028")</f>
        <v>0.028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HYPERLINK("http://141.218.60.56/~jnz1568/getInfo.php?workbook=16_08.xlsx&amp;sheet=U0&amp;row=859&amp;col=6&amp;number=4.5&amp;sourceID=14","4.5")</f>
        <v>4.5</v>
      </c>
      <c r="G859" s="4" t="str">
        <f>HYPERLINK("http://141.218.60.56/~jnz1568/getInfo.php?workbook=16_08.xlsx&amp;sheet=U0&amp;row=859&amp;col=7&amp;number=0.028&amp;sourceID=14","0.028")</f>
        <v>0.028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HYPERLINK("http://141.218.60.56/~jnz1568/getInfo.php?workbook=16_08.xlsx&amp;sheet=U0&amp;row=860&amp;col=6&amp;number=4.6&amp;sourceID=14","4.6")</f>
        <v>4.6</v>
      </c>
      <c r="G860" s="4" t="str">
        <f>HYPERLINK("http://141.218.60.56/~jnz1568/getInfo.php?workbook=16_08.xlsx&amp;sheet=U0&amp;row=860&amp;col=7&amp;number=0.028&amp;sourceID=14","0.028")</f>
        <v>0.028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HYPERLINK("http://141.218.60.56/~jnz1568/getInfo.php?workbook=16_08.xlsx&amp;sheet=U0&amp;row=861&amp;col=6&amp;number=4.7&amp;sourceID=14","4.7")</f>
        <v>4.7</v>
      </c>
      <c r="G861" s="4" t="str">
        <f>HYPERLINK("http://141.218.60.56/~jnz1568/getInfo.php?workbook=16_08.xlsx&amp;sheet=U0&amp;row=861&amp;col=7&amp;number=0.028&amp;sourceID=14","0.028")</f>
        <v>0.028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HYPERLINK("http://141.218.60.56/~jnz1568/getInfo.php?workbook=16_08.xlsx&amp;sheet=U0&amp;row=862&amp;col=6&amp;number=4.8&amp;sourceID=14","4.8")</f>
        <v>4.8</v>
      </c>
      <c r="G862" s="4" t="str">
        <f>HYPERLINK("http://141.218.60.56/~jnz1568/getInfo.php?workbook=16_08.xlsx&amp;sheet=U0&amp;row=862&amp;col=7&amp;number=0.028&amp;sourceID=14","0.028")</f>
        <v>0.028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HYPERLINK("http://141.218.60.56/~jnz1568/getInfo.php?workbook=16_08.xlsx&amp;sheet=U0&amp;row=863&amp;col=6&amp;number=4.9&amp;sourceID=14","4.9")</f>
        <v>4.9</v>
      </c>
      <c r="G863" s="4" t="str">
        <f>HYPERLINK("http://141.218.60.56/~jnz1568/getInfo.php?workbook=16_08.xlsx&amp;sheet=U0&amp;row=863&amp;col=7&amp;number=0.0279&amp;sourceID=14","0.0279")</f>
        <v>0.0279</v>
      </c>
    </row>
    <row r="864" spans="1:7">
      <c r="A864" s="3">
        <v>16</v>
      </c>
      <c r="B864" s="3">
        <v>8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HYPERLINK("http://141.218.60.56/~jnz1568/getInfo.php?workbook=16_08.xlsx&amp;sheet=U0&amp;row=864&amp;col=6&amp;number=3&amp;sourceID=14","3")</f>
        <v>3</v>
      </c>
      <c r="G864" s="4" t="str">
        <f>HYPERLINK("http://141.218.60.56/~jnz1568/getInfo.php?workbook=16_08.xlsx&amp;sheet=U0&amp;row=864&amp;col=7&amp;number=0.00194&amp;sourceID=14","0.00194")</f>
        <v>0.00194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HYPERLINK("http://141.218.60.56/~jnz1568/getInfo.php?workbook=16_08.xlsx&amp;sheet=U0&amp;row=865&amp;col=6&amp;number=3.1&amp;sourceID=14","3.1")</f>
        <v>3.1</v>
      </c>
      <c r="G865" s="4" t="str">
        <f>HYPERLINK("http://141.218.60.56/~jnz1568/getInfo.php?workbook=16_08.xlsx&amp;sheet=U0&amp;row=865&amp;col=7&amp;number=0.00194&amp;sourceID=14","0.00194")</f>
        <v>0.00194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HYPERLINK("http://141.218.60.56/~jnz1568/getInfo.php?workbook=16_08.xlsx&amp;sheet=U0&amp;row=866&amp;col=6&amp;number=3.2&amp;sourceID=14","3.2")</f>
        <v>3.2</v>
      </c>
      <c r="G866" s="4" t="str">
        <f>HYPERLINK("http://141.218.60.56/~jnz1568/getInfo.php?workbook=16_08.xlsx&amp;sheet=U0&amp;row=866&amp;col=7&amp;number=0.00194&amp;sourceID=14","0.00194")</f>
        <v>0.00194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HYPERLINK("http://141.218.60.56/~jnz1568/getInfo.php?workbook=16_08.xlsx&amp;sheet=U0&amp;row=867&amp;col=6&amp;number=3.3&amp;sourceID=14","3.3")</f>
        <v>3.3</v>
      </c>
      <c r="G867" s="4" t="str">
        <f>HYPERLINK("http://141.218.60.56/~jnz1568/getInfo.php?workbook=16_08.xlsx&amp;sheet=U0&amp;row=867&amp;col=7&amp;number=0.00194&amp;sourceID=14","0.00194")</f>
        <v>0.00194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HYPERLINK("http://141.218.60.56/~jnz1568/getInfo.php?workbook=16_08.xlsx&amp;sheet=U0&amp;row=868&amp;col=6&amp;number=3.4&amp;sourceID=14","3.4")</f>
        <v>3.4</v>
      </c>
      <c r="G868" s="4" t="str">
        <f>HYPERLINK("http://141.218.60.56/~jnz1568/getInfo.php?workbook=16_08.xlsx&amp;sheet=U0&amp;row=868&amp;col=7&amp;number=0.00194&amp;sourceID=14","0.00194")</f>
        <v>0.00194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HYPERLINK("http://141.218.60.56/~jnz1568/getInfo.php?workbook=16_08.xlsx&amp;sheet=U0&amp;row=869&amp;col=6&amp;number=3.5&amp;sourceID=14","3.5")</f>
        <v>3.5</v>
      </c>
      <c r="G869" s="4" t="str">
        <f>HYPERLINK("http://141.218.60.56/~jnz1568/getInfo.php?workbook=16_08.xlsx&amp;sheet=U0&amp;row=869&amp;col=7&amp;number=0.00194&amp;sourceID=14","0.00194")</f>
        <v>0.00194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HYPERLINK("http://141.218.60.56/~jnz1568/getInfo.php?workbook=16_08.xlsx&amp;sheet=U0&amp;row=870&amp;col=6&amp;number=3.6&amp;sourceID=14","3.6")</f>
        <v>3.6</v>
      </c>
      <c r="G870" s="4" t="str">
        <f>HYPERLINK("http://141.218.60.56/~jnz1568/getInfo.php?workbook=16_08.xlsx&amp;sheet=U0&amp;row=870&amp;col=7&amp;number=0.00194&amp;sourceID=14","0.00194")</f>
        <v>0.00194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HYPERLINK("http://141.218.60.56/~jnz1568/getInfo.php?workbook=16_08.xlsx&amp;sheet=U0&amp;row=871&amp;col=6&amp;number=3.7&amp;sourceID=14","3.7")</f>
        <v>3.7</v>
      </c>
      <c r="G871" s="4" t="str">
        <f>HYPERLINK("http://141.218.60.56/~jnz1568/getInfo.php?workbook=16_08.xlsx&amp;sheet=U0&amp;row=871&amp;col=7&amp;number=0.00194&amp;sourceID=14","0.00194")</f>
        <v>0.00194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HYPERLINK("http://141.218.60.56/~jnz1568/getInfo.php?workbook=16_08.xlsx&amp;sheet=U0&amp;row=872&amp;col=6&amp;number=3.8&amp;sourceID=14","3.8")</f>
        <v>3.8</v>
      </c>
      <c r="G872" s="4" t="str">
        <f>HYPERLINK("http://141.218.60.56/~jnz1568/getInfo.php?workbook=16_08.xlsx&amp;sheet=U0&amp;row=872&amp;col=7&amp;number=0.00194&amp;sourceID=14","0.00194")</f>
        <v>0.00194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HYPERLINK("http://141.218.60.56/~jnz1568/getInfo.php?workbook=16_08.xlsx&amp;sheet=U0&amp;row=873&amp;col=6&amp;number=3.9&amp;sourceID=14","3.9")</f>
        <v>3.9</v>
      </c>
      <c r="G873" s="4" t="str">
        <f>HYPERLINK("http://141.218.60.56/~jnz1568/getInfo.php?workbook=16_08.xlsx&amp;sheet=U0&amp;row=873&amp;col=7&amp;number=0.00194&amp;sourceID=14","0.00194")</f>
        <v>0.00194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HYPERLINK("http://141.218.60.56/~jnz1568/getInfo.php?workbook=16_08.xlsx&amp;sheet=U0&amp;row=874&amp;col=6&amp;number=4&amp;sourceID=14","4")</f>
        <v>4</v>
      </c>
      <c r="G874" s="4" t="str">
        <f>HYPERLINK("http://141.218.60.56/~jnz1568/getInfo.php?workbook=16_08.xlsx&amp;sheet=U0&amp;row=874&amp;col=7&amp;number=0.00194&amp;sourceID=14","0.00194")</f>
        <v>0.00194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HYPERLINK("http://141.218.60.56/~jnz1568/getInfo.php?workbook=16_08.xlsx&amp;sheet=U0&amp;row=875&amp;col=6&amp;number=4.1&amp;sourceID=14","4.1")</f>
        <v>4.1</v>
      </c>
      <c r="G875" s="4" t="str">
        <f>HYPERLINK("http://141.218.60.56/~jnz1568/getInfo.php?workbook=16_08.xlsx&amp;sheet=U0&amp;row=875&amp;col=7&amp;number=0.00194&amp;sourceID=14","0.00194")</f>
        <v>0.00194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HYPERLINK("http://141.218.60.56/~jnz1568/getInfo.php?workbook=16_08.xlsx&amp;sheet=U0&amp;row=876&amp;col=6&amp;number=4.2&amp;sourceID=14","4.2")</f>
        <v>4.2</v>
      </c>
      <c r="G876" s="4" t="str">
        <f>HYPERLINK("http://141.218.60.56/~jnz1568/getInfo.php?workbook=16_08.xlsx&amp;sheet=U0&amp;row=876&amp;col=7&amp;number=0.00194&amp;sourceID=14","0.00194")</f>
        <v>0.00194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HYPERLINK("http://141.218.60.56/~jnz1568/getInfo.php?workbook=16_08.xlsx&amp;sheet=U0&amp;row=877&amp;col=6&amp;number=4.3&amp;sourceID=14","4.3")</f>
        <v>4.3</v>
      </c>
      <c r="G877" s="4" t="str">
        <f>HYPERLINK("http://141.218.60.56/~jnz1568/getInfo.php?workbook=16_08.xlsx&amp;sheet=U0&amp;row=877&amp;col=7&amp;number=0.00193&amp;sourceID=14","0.00193")</f>
        <v>0.00193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HYPERLINK("http://141.218.60.56/~jnz1568/getInfo.php?workbook=16_08.xlsx&amp;sheet=U0&amp;row=878&amp;col=6&amp;number=4.4&amp;sourceID=14","4.4")</f>
        <v>4.4</v>
      </c>
      <c r="G878" s="4" t="str">
        <f>HYPERLINK("http://141.218.60.56/~jnz1568/getInfo.php?workbook=16_08.xlsx&amp;sheet=U0&amp;row=878&amp;col=7&amp;number=0.00193&amp;sourceID=14","0.00193")</f>
        <v>0.00193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HYPERLINK("http://141.218.60.56/~jnz1568/getInfo.php?workbook=16_08.xlsx&amp;sheet=U0&amp;row=879&amp;col=6&amp;number=4.5&amp;sourceID=14","4.5")</f>
        <v>4.5</v>
      </c>
      <c r="G879" s="4" t="str">
        <f>HYPERLINK("http://141.218.60.56/~jnz1568/getInfo.php?workbook=16_08.xlsx&amp;sheet=U0&amp;row=879&amp;col=7&amp;number=0.00193&amp;sourceID=14","0.00193")</f>
        <v>0.00193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HYPERLINK("http://141.218.60.56/~jnz1568/getInfo.php?workbook=16_08.xlsx&amp;sheet=U0&amp;row=880&amp;col=6&amp;number=4.6&amp;sourceID=14","4.6")</f>
        <v>4.6</v>
      </c>
      <c r="G880" s="4" t="str">
        <f>HYPERLINK("http://141.218.60.56/~jnz1568/getInfo.php?workbook=16_08.xlsx&amp;sheet=U0&amp;row=880&amp;col=7&amp;number=0.00193&amp;sourceID=14","0.00193")</f>
        <v>0.00193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HYPERLINK("http://141.218.60.56/~jnz1568/getInfo.php?workbook=16_08.xlsx&amp;sheet=U0&amp;row=881&amp;col=6&amp;number=4.7&amp;sourceID=14","4.7")</f>
        <v>4.7</v>
      </c>
      <c r="G881" s="4" t="str">
        <f>HYPERLINK("http://141.218.60.56/~jnz1568/getInfo.php?workbook=16_08.xlsx&amp;sheet=U0&amp;row=881&amp;col=7&amp;number=0.00193&amp;sourceID=14","0.00193")</f>
        <v>0.00193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HYPERLINK("http://141.218.60.56/~jnz1568/getInfo.php?workbook=16_08.xlsx&amp;sheet=U0&amp;row=882&amp;col=6&amp;number=4.8&amp;sourceID=14","4.8")</f>
        <v>4.8</v>
      </c>
      <c r="G882" s="4" t="str">
        <f>HYPERLINK("http://141.218.60.56/~jnz1568/getInfo.php?workbook=16_08.xlsx&amp;sheet=U0&amp;row=882&amp;col=7&amp;number=0.00192&amp;sourceID=14","0.00192")</f>
        <v>0.00192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HYPERLINK("http://141.218.60.56/~jnz1568/getInfo.php?workbook=16_08.xlsx&amp;sheet=U0&amp;row=883&amp;col=6&amp;number=4.9&amp;sourceID=14","4.9")</f>
        <v>4.9</v>
      </c>
      <c r="G883" s="4" t="str">
        <f>HYPERLINK("http://141.218.60.56/~jnz1568/getInfo.php?workbook=16_08.xlsx&amp;sheet=U0&amp;row=883&amp;col=7&amp;number=0.00192&amp;sourceID=14","0.00192")</f>
        <v>0.00192</v>
      </c>
    </row>
    <row r="884" spans="1:7">
      <c r="A884" s="3">
        <v>16</v>
      </c>
      <c r="B884" s="3">
        <v>8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HYPERLINK("http://141.218.60.56/~jnz1568/getInfo.php?workbook=16_08.xlsx&amp;sheet=U0&amp;row=884&amp;col=6&amp;number=3&amp;sourceID=14","3")</f>
        <v>3</v>
      </c>
      <c r="G884" s="4" t="str">
        <f>HYPERLINK("http://141.218.60.56/~jnz1568/getInfo.php?workbook=16_08.xlsx&amp;sheet=U0&amp;row=884&amp;col=7&amp;number=0.0122&amp;sourceID=14","0.0122")</f>
        <v>0.0122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HYPERLINK("http://141.218.60.56/~jnz1568/getInfo.php?workbook=16_08.xlsx&amp;sheet=U0&amp;row=885&amp;col=6&amp;number=3.1&amp;sourceID=14","3.1")</f>
        <v>3.1</v>
      </c>
      <c r="G885" s="4" t="str">
        <f>HYPERLINK("http://141.218.60.56/~jnz1568/getInfo.php?workbook=16_08.xlsx&amp;sheet=U0&amp;row=885&amp;col=7&amp;number=0.0122&amp;sourceID=14","0.0122")</f>
        <v>0.0122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HYPERLINK("http://141.218.60.56/~jnz1568/getInfo.php?workbook=16_08.xlsx&amp;sheet=U0&amp;row=886&amp;col=6&amp;number=3.2&amp;sourceID=14","3.2")</f>
        <v>3.2</v>
      </c>
      <c r="G886" s="4" t="str">
        <f>HYPERLINK("http://141.218.60.56/~jnz1568/getInfo.php?workbook=16_08.xlsx&amp;sheet=U0&amp;row=886&amp;col=7&amp;number=0.0122&amp;sourceID=14","0.0122")</f>
        <v>0.0122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HYPERLINK("http://141.218.60.56/~jnz1568/getInfo.php?workbook=16_08.xlsx&amp;sheet=U0&amp;row=887&amp;col=6&amp;number=3.3&amp;sourceID=14","3.3")</f>
        <v>3.3</v>
      </c>
      <c r="G887" s="4" t="str">
        <f>HYPERLINK("http://141.218.60.56/~jnz1568/getInfo.php?workbook=16_08.xlsx&amp;sheet=U0&amp;row=887&amp;col=7&amp;number=0.0122&amp;sourceID=14","0.0122")</f>
        <v>0.0122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HYPERLINK("http://141.218.60.56/~jnz1568/getInfo.php?workbook=16_08.xlsx&amp;sheet=U0&amp;row=888&amp;col=6&amp;number=3.4&amp;sourceID=14","3.4")</f>
        <v>3.4</v>
      </c>
      <c r="G888" s="4" t="str">
        <f>HYPERLINK("http://141.218.60.56/~jnz1568/getInfo.php?workbook=16_08.xlsx&amp;sheet=U0&amp;row=888&amp;col=7&amp;number=0.0122&amp;sourceID=14","0.0122")</f>
        <v>0.0122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HYPERLINK("http://141.218.60.56/~jnz1568/getInfo.php?workbook=16_08.xlsx&amp;sheet=U0&amp;row=889&amp;col=6&amp;number=3.5&amp;sourceID=14","3.5")</f>
        <v>3.5</v>
      </c>
      <c r="G889" s="4" t="str">
        <f>HYPERLINK("http://141.218.60.56/~jnz1568/getInfo.php?workbook=16_08.xlsx&amp;sheet=U0&amp;row=889&amp;col=7&amp;number=0.0122&amp;sourceID=14","0.0122")</f>
        <v>0.0122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HYPERLINK("http://141.218.60.56/~jnz1568/getInfo.php?workbook=16_08.xlsx&amp;sheet=U0&amp;row=890&amp;col=6&amp;number=3.6&amp;sourceID=14","3.6")</f>
        <v>3.6</v>
      </c>
      <c r="G890" s="4" t="str">
        <f>HYPERLINK("http://141.218.60.56/~jnz1568/getInfo.php?workbook=16_08.xlsx&amp;sheet=U0&amp;row=890&amp;col=7&amp;number=0.0122&amp;sourceID=14","0.0122")</f>
        <v>0.0122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HYPERLINK("http://141.218.60.56/~jnz1568/getInfo.php?workbook=16_08.xlsx&amp;sheet=U0&amp;row=891&amp;col=6&amp;number=3.7&amp;sourceID=14","3.7")</f>
        <v>3.7</v>
      </c>
      <c r="G891" s="4" t="str">
        <f>HYPERLINK("http://141.218.60.56/~jnz1568/getInfo.php?workbook=16_08.xlsx&amp;sheet=U0&amp;row=891&amp;col=7&amp;number=0.0122&amp;sourceID=14","0.0122")</f>
        <v>0.0122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HYPERLINK("http://141.218.60.56/~jnz1568/getInfo.php?workbook=16_08.xlsx&amp;sheet=U0&amp;row=892&amp;col=6&amp;number=3.8&amp;sourceID=14","3.8")</f>
        <v>3.8</v>
      </c>
      <c r="G892" s="4" t="str">
        <f>HYPERLINK("http://141.218.60.56/~jnz1568/getInfo.php?workbook=16_08.xlsx&amp;sheet=U0&amp;row=892&amp;col=7&amp;number=0.0122&amp;sourceID=14","0.0122")</f>
        <v>0.0122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HYPERLINK("http://141.218.60.56/~jnz1568/getInfo.php?workbook=16_08.xlsx&amp;sheet=U0&amp;row=893&amp;col=6&amp;number=3.9&amp;sourceID=14","3.9")</f>
        <v>3.9</v>
      </c>
      <c r="G893" s="4" t="str">
        <f>HYPERLINK("http://141.218.60.56/~jnz1568/getInfo.php?workbook=16_08.xlsx&amp;sheet=U0&amp;row=893&amp;col=7&amp;number=0.0122&amp;sourceID=14","0.0122")</f>
        <v>0.0122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HYPERLINK("http://141.218.60.56/~jnz1568/getInfo.php?workbook=16_08.xlsx&amp;sheet=U0&amp;row=894&amp;col=6&amp;number=4&amp;sourceID=14","4")</f>
        <v>4</v>
      </c>
      <c r="G894" s="4" t="str">
        <f>HYPERLINK("http://141.218.60.56/~jnz1568/getInfo.php?workbook=16_08.xlsx&amp;sheet=U0&amp;row=894&amp;col=7&amp;number=0.0122&amp;sourceID=14","0.0122")</f>
        <v>0.0122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HYPERLINK("http://141.218.60.56/~jnz1568/getInfo.php?workbook=16_08.xlsx&amp;sheet=U0&amp;row=895&amp;col=6&amp;number=4.1&amp;sourceID=14","4.1")</f>
        <v>4.1</v>
      </c>
      <c r="G895" s="4" t="str">
        <f>HYPERLINK("http://141.218.60.56/~jnz1568/getInfo.php?workbook=16_08.xlsx&amp;sheet=U0&amp;row=895&amp;col=7&amp;number=0.0122&amp;sourceID=14","0.0122")</f>
        <v>0.0122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HYPERLINK("http://141.218.60.56/~jnz1568/getInfo.php?workbook=16_08.xlsx&amp;sheet=U0&amp;row=896&amp;col=6&amp;number=4.2&amp;sourceID=14","4.2")</f>
        <v>4.2</v>
      </c>
      <c r="G896" s="4" t="str">
        <f>HYPERLINK("http://141.218.60.56/~jnz1568/getInfo.php?workbook=16_08.xlsx&amp;sheet=U0&amp;row=896&amp;col=7&amp;number=0.0122&amp;sourceID=14","0.0122")</f>
        <v>0.0122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HYPERLINK("http://141.218.60.56/~jnz1568/getInfo.php?workbook=16_08.xlsx&amp;sheet=U0&amp;row=897&amp;col=6&amp;number=4.3&amp;sourceID=14","4.3")</f>
        <v>4.3</v>
      </c>
      <c r="G897" s="4" t="str">
        <f>HYPERLINK("http://141.218.60.56/~jnz1568/getInfo.php?workbook=16_08.xlsx&amp;sheet=U0&amp;row=897&amp;col=7&amp;number=0.0122&amp;sourceID=14","0.0122")</f>
        <v>0.0122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HYPERLINK("http://141.218.60.56/~jnz1568/getInfo.php?workbook=16_08.xlsx&amp;sheet=U0&amp;row=898&amp;col=6&amp;number=4.4&amp;sourceID=14","4.4")</f>
        <v>4.4</v>
      </c>
      <c r="G898" s="4" t="str">
        <f>HYPERLINK("http://141.218.60.56/~jnz1568/getInfo.php?workbook=16_08.xlsx&amp;sheet=U0&amp;row=898&amp;col=7&amp;number=0.0122&amp;sourceID=14","0.0122")</f>
        <v>0.0122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HYPERLINK("http://141.218.60.56/~jnz1568/getInfo.php?workbook=16_08.xlsx&amp;sheet=U0&amp;row=899&amp;col=6&amp;number=4.5&amp;sourceID=14","4.5")</f>
        <v>4.5</v>
      </c>
      <c r="G899" s="4" t="str">
        <f>HYPERLINK("http://141.218.60.56/~jnz1568/getInfo.php?workbook=16_08.xlsx&amp;sheet=U0&amp;row=899&amp;col=7&amp;number=0.0122&amp;sourceID=14","0.0122")</f>
        <v>0.0122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HYPERLINK("http://141.218.60.56/~jnz1568/getInfo.php?workbook=16_08.xlsx&amp;sheet=U0&amp;row=900&amp;col=6&amp;number=4.6&amp;sourceID=14","4.6")</f>
        <v>4.6</v>
      </c>
      <c r="G900" s="4" t="str">
        <f>HYPERLINK("http://141.218.60.56/~jnz1568/getInfo.php?workbook=16_08.xlsx&amp;sheet=U0&amp;row=900&amp;col=7&amp;number=0.0122&amp;sourceID=14","0.0122")</f>
        <v>0.0122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HYPERLINK("http://141.218.60.56/~jnz1568/getInfo.php?workbook=16_08.xlsx&amp;sheet=U0&amp;row=901&amp;col=6&amp;number=4.7&amp;sourceID=14","4.7")</f>
        <v>4.7</v>
      </c>
      <c r="G901" s="4" t="str">
        <f>HYPERLINK("http://141.218.60.56/~jnz1568/getInfo.php?workbook=16_08.xlsx&amp;sheet=U0&amp;row=901&amp;col=7&amp;number=0.0122&amp;sourceID=14","0.0122")</f>
        <v>0.0122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HYPERLINK("http://141.218.60.56/~jnz1568/getInfo.php?workbook=16_08.xlsx&amp;sheet=U0&amp;row=902&amp;col=6&amp;number=4.8&amp;sourceID=14","4.8")</f>
        <v>4.8</v>
      </c>
      <c r="G902" s="4" t="str">
        <f>HYPERLINK("http://141.218.60.56/~jnz1568/getInfo.php?workbook=16_08.xlsx&amp;sheet=U0&amp;row=902&amp;col=7&amp;number=0.0122&amp;sourceID=14","0.0122")</f>
        <v>0.0122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HYPERLINK("http://141.218.60.56/~jnz1568/getInfo.php?workbook=16_08.xlsx&amp;sheet=U0&amp;row=903&amp;col=6&amp;number=4.9&amp;sourceID=14","4.9")</f>
        <v>4.9</v>
      </c>
      <c r="G903" s="4" t="str">
        <f>HYPERLINK("http://141.218.60.56/~jnz1568/getInfo.php?workbook=16_08.xlsx&amp;sheet=U0&amp;row=903&amp;col=7&amp;number=0.0121&amp;sourceID=14","0.0121")</f>
        <v>0.0121</v>
      </c>
    </row>
    <row r="904" spans="1:7">
      <c r="A904" s="3">
        <v>16</v>
      </c>
      <c r="B904" s="3">
        <v>8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HYPERLINK("http://141.218.60.56/~jnz1568/getInfo.php?workbook=16_08.xlsx&amp;sheet=U0&amp;row=904&amp;col=6&amp;number=3&amp;sourceID=14","3")</f>
        <v>3</v>
      </c>
      <c r="G904" s="4" t="str">
        <f>HYPERLINK("http://141.218.60.56/~jnz1568/getInfo.php?workbook=16_08.xlsx&amp;sheet=U0&amp;row=904&amp;col=7&amp;number=0.0132&amp;sourceID=14","0.0132")</f>
        <v>0.0132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HYPERLINK("http://141.218.60.56/~jnz1568/getInfo.php?workbook=16_08.xlsx&amp;sheet=U0&amp;row=905&amp;col=6&amp;number=3.1&amp;sourceID=14","3.1")</f>
        <v>3.1</v>
      </c>
      <c r="G905" s="4" t="str">
        <f>HYPERLINK("http://141.218.60.56/~jnz1568/getInfo.php?workbook=16_08.xlsx&amp;sheet=U0&amp;row=905&amp;col=7&amp;number=0.0132&amp;sourceID=14","0.0132")</f>
        <v>0.0132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HYPERLINK("http://141.218.60.56/~jnz1568/getInfo.php?workbook=16_08.xlsx&amp;sheet=U0&amp;row=906&amp;col=6&amp;number=3.2&amp;sourceID=14","3.2")</f>
        <v>3.2</v>
      </c>
      <c r="G906" s="4" t="str">
        <f>HYPERLINK("http://141.218.60.56/~jnz1568/getInfo.php?workbook=16_08.xlsx&amp;sheet=U0&amp;row=906&amp;col=7&amp;number=0.0132&amp;sourceID=14","0.0132")</f>
        <v>0.0132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HYPERLINK("http://141.218.60.56/~jnz1568/getInfo.php?workbook=16_08.xlsx&amp;sheet=U0&amp;row=907&amp;col=6&amp;number=3.3&amp;sourceID=14","3.3")</f>
        <v>3.3</v>
      </c>
      <c r="G907" s="4" t="str">
        <f>HYPERLINK("http://141.218.60.56/~jnz1568/getInfo.php?workbook=16_08.xlsx&amp;sheet=U0&amp;row=907&amp;col=7&amp;number=0.0132&amp;sourceID=14","0.0132")</f>
        <v>0.0132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HYPERLINK("http://141.218.60.56/~jnz1568/getInfo.php?workbook=16_08.xlsx&amp;sheet=U0&amp;row=908&amp;col=6&amp;number=3.4&amp;sourceID=14","3.4")</f>
        <v>3.4</v>
      </c>
      <c r="G908" s="4" t="str">
        <f>HYPERLINK("http://141.218.60.56/~jnz1568/getInfo.php?workbook=16_08.xlsx&amp;sheet=U0&amp;row=908&amp;col=7&amp;number=0.0132&amp;sourceID=14","0.0132")</f>
        <v>0.0132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HYPERLINK("http://141.218.60.56/~jnz1568/getInfo.php?workbook=16_08.xlsx&amp;sheet=U0&amp;row=909&amp;col=6&amp;number=3.5&amp;sourceID=14","3.5")</f>
        <v>3.5</v>
      </c>
      <c r="G909" s="4" t="str">
        <f>HYPERLINK("http://141.218.60.56/~jnz1568/getInfo.php?workbook=16_08.xlsx&amp;sheet=U0&amp;row=909&amp;col=7&amp;number=0.0132&amp;sourceID=14","0.0132")</f>
        <v>0.0132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HYPERLINK("http://141.218.60.56/~jnz1568/getInfo.php?workbook=16_08.xlsx&amp;sheet=U0&amp;row=910&amp;col=6&amp;number=3.6&amp;sourceID=14","3.6")</f>
        <v>3.6</v>
      </c>
      <c r="G910" s="4" t="str">
        <f>HYPERLINK("http://141.218.60.56/~jnz1568/getInfo.php?workbook=16_08.xlsx&amp;sheet=U0&amp;row=910&amp;col=7&amp;number=0.0132&amp;sourceID=14","0.0132")</f>
        <v>0.0132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HYPERLINK("http://141.218.60.56/~jnz1568/getInfo.php?workbook=16_08.xlsx&amp;sheet=U0&amp;row=911&amp;col=6&amp;number=3.7&amp;sourceID=14","3.7")</f>
        <v>3.7</v>
      </c>
      <c r="G911" s="4" t="str">
        <f>HYPERLINK("http://141.218.60.56/~jnz1568/getInfo.php?workbook=16_08.xlsx&amp;sheet=U0&amp;row=911&amp;col=7&amp;number=0.0132&amp;sourceID=14","0.0132")</f>
        <v>0.0132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HYPERLINK("http://141.218.60.56/~jnz1568/getInfo.php?workbook=16_08.xlsx&amp;sheet=U0&amp;row=912&amp;col=6&amp;number=3.8&amp;sourceID=14","3.8")</f>
        <v>3.8</v>
      </c>
      <c r="G912" s="4" t="str">
        <f>HYPERLINK("http://141.218.60.56/~jnz1568/getInfo.php?workbook=16_08.xlsx&amp;sheet=U0&amp;row=912&amp;col=7&amp;number=0.0132&amp;sourceID=14","0.0132")</f>
        <v>0.0132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HYPERLINK("http://141.218.60.56/~jnz1568/getInfo.php?workbook=16_08.xlsx&amp;sheet=U0&amp;row=913&amp;col=6&amp;number=3.9&amp;sourceID=14","3.9")</f>
        <v>3.9</v>
      </c>
      <c r="G913" s="4" t="str">
        <f>HYPERLINK("http://141.218.60.56/~jnz1568/getInfo.php?workbook=16_08.xlsx&amp;sheet=U0&amp;row=913&amp;col=7&amp;number=0.0132&amp;sourceID=14","0.0132")</f>
        <v>0.0132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HYPERLINK("http://141.218.60.56/~jnz1568/getInfo.php?workbook=16_08.xlsx&amp;sheet=U0&amp;row=914&amp;col=6&amp;number=4&amp;sourceID=14","4")</f>
        <v>4</v>
      </c>
      <c r="G914" s="4" t="str">
        <f>HYPERLINK("http://141.218.60.56/~jnz1568/getInfo.php?workbook=16_08.xlsx&amp;sheet=U0&amp;row=914&amp;col=7&amp;number=0.0132&amp;sourceID=14","0.0132")</f>
        <v>0.0132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HYPERLINK("http://141.218.60.56/~jnz1568/getInfo.php?workbook=16_08.xlsx&amp;sheet=U0&amp;row=915&amp;col=6&amp;number=4.1&amp;sourceID=14","4.1")</f>
        <v>4.1</v>
      </c>
      <c r="G915" s="4" t="str">
        <f>HYPERLINK("http://141.218.60.56/~jnz1568/getInfo.php?workbook=16_08.xlsx&amp;sheet=U0&amp;row=915&amp;col=7&amp;number=0.0132&amp;sourceID=14","0.0132")</f>
        <v>0.0132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HYPERLINK("http://141.218.60.56/~jnz1568/getInfo.php?workbook=16_08.xlsx&amp;sheet=U0&amp;row=916&amp;col=6&amp;number=4.2&amp;sourceID=14","4.2")</f>
        <v>4.2</v>
      </c>
      <c r="G916" s="4" t="str">
        <f>HYPERLINK("http://141.218.60.56/~jnz1568/getInfo.php?workbook=16_08.xlsx&amp;sheet=U0&amp;row=916&amp;col=7&amp;number=0.0132&amp;sourceID=14","0.0132")</f>
        <v>0.0132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HYPERLINK("http://141.218.60.56/~jnz1568/getInfo.php?workbook=16_08.xlsx&amp;sheet=U0&amp;row=917&amp;col=6&amp;number=4.3&amp;sourceID=14","4.3")</f>
        <v>4.3</v>
      </c>
      <c r="G917" s="4" t="str">
        <f>HYPERLINK("http://141.218.60.56/~jnz1568/getInfo.php?workbook=16_08.xlsx&amp;sheet=U0&amp;row=917&amp;col=7&amp;number=0.0132&amp;sourceID=14","0.0132")</f>
        <v>0.0132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HYPERLINK("http://141.218.60.56/~jnz1568/getInfo.php?workbook=16_08.xlsx&amp;sheet=U0&amp;row=918&amp;col=6&amp;number=4.4&amp;sourceID=14","4.4")</f>
        <v>4.4</v>
      </c>
      <c r="G918" s="4" t="str">
        <f>HYPERLINK("http://141.218.60.56/~jnz1568/getInfo.php?workbook=16_08.xlsx&amp;sheet=U0&amp;row=918&amp;col=7&amp;number=0.0132&amp;sourceID=14","0.0132")</f>
        <v>0.0132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HYPERLINK("http://141.218.60.56/~jnz1568/getInfo.php?workbook=16_08.xlsx&amp;sheet=U0&amp;row=919&amp;col=6&amp;number=4.5&amp;sourceID=14","4.5")</f>
        <v>4.5</v>
      </c>
      <c r="G919" s="4" t="str">
        <f>HYPERLINK("http://141.218.60.56/~jnz1568/getInfo.php?workbook=16_08.xlsx&amp;sheet=U0&amp;row=919&amp;col=7&amp;number=0.0132&amp;sourceID=14","0.0132")</f>
        <v>0.0132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HYPERLINK("http://141.218.60.56/~jnz1568/getInfo.php?workbook=16_08.xlsx&amp;sheet=U0&amp;row=920&amp;col=6&amp;number=4.6&amp;sourceID=14","4.6")</f>
        <v>4.6</v>
      </c>
      <c r="G920" s="4" t="str">
        <f>HYPERLINK("http://141.218.60.56/~jnz1568/getInfo.php?workbook=16_08.xlsx&amp;sheet=U0&amp;row=920&amp;col=7&amp;number=0.0132&amp;sourceID=14","0.0132")</f>
        <v>0.0132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HYPERLINK("http://141.218.60.56/~jnz1568/getInfo.php?workbook=16_08.xlsx&amp;sheet=U0&amp;row=921&amp;col=6&amp;number=4.7&amp;sourceID=14","4.7")</f>
        <v>4.7</v>
      </c>
      <c r="G921" s="4" t="str">
        <f>HYPERLINK("http://141.218.60.56/~jnz1568/getInfo.php?workbook=16_08.xlsx&amp;sheet=U0&amp;row=921&amp;col=7&amp;number=0.0132&amp;sourceID=14","0.0132")</f>
        <v>0.0132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HYPERLINK("http://141.218.60.56/~jnz1568/getInfo.php?workbook=16_08.xlsx&amp;sheet=U0&amp;row=922&amp;col=6&amp;number=4.8&amp;sourceID=14","4.8")</f>
        <v>4.8</v>
      </c>
      <c r="G922" s="4" t="str">
        <f>HYPERLINK("http://141.218.60.56/~jnz1568/getInfo.php?workbook=16_08.xlsx&amp;sheet=U0&amp;row=922&amp;col=7&amp;number=0.0132&amp;sourceID=14","0.0132")</f>
        <v>0.0132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HYPERLINK("http://141.218.60.56/~jnz1568/getInfo.php?workbook=16_08.xlsx&amp;sheet=U0&amp;row=923&amp;col=6&amp;number=4.9&amp;sourceID=14","4.9")</f>
        <v>4.9</v>
      </c>
      <c r="G923" s="4" t="str">
        <f>HYPERLINK("http://141.218.60.56/~jnz1568/getInfo.php?workbook=16_08.xlsx&amp;sheet=U0&amp;row=923&amp;col=7&amp;number=0.0132&amp;sourceID=14","0.0132")</f>
        <v>0.0132</v>
      </c>
    </row>
    <row r="924" spans="1:7">
      <c r="A924" s="3">
        <v>16</v>
      </c>
      <c r="B924" s="3">
        <v>8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HYPERLINK("http://141.218.60.56/~jnz1568/getInfo.php?workbook=16_08.xlsx&amp;sheet=U0&amp;row=924&amp;col=6&amp;number=3&amp;sourceID=14","3")</f>
        <v>3</v>
      </c>
      <c r="G924" s="4" t="str">
        <f>HYPERLINK("http://141.218.60.56/~jnz1568/getInfo.php?workbook=16_08.xlsx&amp;sheet=U0&amp;row=924&amp;col=7&amp;number=0.00468&amp;sourceID=14","0.00468")</f>
        <v>0.00468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HYPERLINK("http://141.218.60.56/~jnz1568/getInfo.php?workbook=16_08.xlsx&amp;sheet=U0&amp;row=925&amp;col=6&amp;number=3.1&amp;sourceID=14","3.1")</f>
        <v>3.1</v>
      </c>
      <c r="G925" s="4" t="str">
        <f>HYPERLINK("http://141.218.60.56/~jnz1568/getInfo.php?workbook=16_08.xlsx&amp;sheet=U0&amp;row=925&amp;col=7&amp;number=0.00468&amp;sourceID=14","0.00468")</f>
        <v>0.00468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HYPERLINK("http://141.218.60.56/~jnz1568/getInfo.php?workbook=16_08.xlsx&amp;sheet=U0&amp;row=926&amp;col=6&amp;number=3.2&amp;sourceID=14","3.2")</f>
        <v>3.2</v>
      </c>
      <c r="G926" s="4" t="str">
        <f>HYPERLINK("http://141.218.60.56/~jnz1568/getInfo.php?workbook=16_08.xlsx&amp;sheet=U0&amp;row=926&amp;col=7&amp;number=0.00468&amp;sourceID=14","0.00468")</f>
        <v>0.00468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HYPERLINK("http://141.218.60.56/~jnz1568/getInfo.php?workbook=16_08.xlsx&amp;sheet=U0&amp;row=927&amp;col=6&amp;number=3.3&amp;sourceID=14","3.3")</f>
        <v>3.3</v>
      </c>
      <c r="G927" s="4" t="str">
        <f>HYPERLINK("http://141.218.60.56/~jnz1568/getInfo.php?workbook=16_08.xlsx&amp;sheet=U0&amp;row=927&amp;col=7&amp;number=0.00468&amp;sourceID=14","0.00468")</f>
        <v>0.00468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HYPERLINK("http://141.218.60.56/~jnz1568/getInfo.php?workbook=16_08.xlsx&amp;sheet=U0&amp;row=928&amp;col=6&amp;number=3.4&amp;sourceID=14","3.4")</f>
        <v>3.4</v>
      </c>
      <c r="G928" s="4" t="str">
        <f>HYPERLINK("http://141.218.60.56/~jnz1568/getInfo.php?workbook=16_08.xlsx&amp;sheet=U0&amp;row=928&amp;col=7&amp;number=0.00468&amp;sourceID=14","0.00468")</f>
        <v>0.00468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HYPERLINK("http://141.218.60.56/~jnz1568/getInfo.php?workbook=16_08.xlsx&amp;sheet=U0&amp;row=929&amp;col=6&amp;number=3.5&amp;sourceID=14","3.5")</f>
        <v>3.5</v>
      </c>
      <c r="G929" s="4" t="str">
        <f>HYPERLINK("http://141.218.60.56/~jnz1568/getInfo.php?workbook=16_08.xlsx&amp;sheet=U0&amp;row=929&amp;col=7&amp;number=0.00468&amp;sourceID=14","0.00468")</f>
        <v>0.00468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HYPERLINK("http://141.218.60.56/~jnz1568/getInfo.php?workbook=16_08.xlsx&amp;sheet=U0&amp;row=930&amp;col=6&amp;number=3.6&amp;sourceID=14","3.6")</f>
        <v>3.6</v>
      </c>
      <c r="G930" s="4" t="str">
        <f>HYPERLINK("http://141.218.60.56/~jnz1568/getInfo.php?workbook=16_08.xlsx&amp;sheet=U0&amp;row=930&amp;col=7&amp;number=0.00468&amp;sourceID=14","0.00468")</f>
        <v>0.00468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HYPERLINK("http://141.218.60.56/~jnz1568/getInfo.php?workbook=16_08.xlsx&amp;sheet=U0&amp;row=931&amp;col=6&amp;number=3.7&amp;sourceID=14","3.7")</f>
        <v>3.7</v>
      </c>
      <c r="G931" s="4" t="str">
        <f>HYPERLINK("http://141.218.60.56/~jnz1568/getInfo.php?workbook=16_08.xlsx&amp;sheet=U0&amp;row=931&amp;col=7&amp;number=0.00468&amp;sourceID=14","0.00468")</f>
        <v>0.00468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HYPERLINK("http://141.218.60.56/~jnz1568/getInfo.php?workbook=16_08.xlsx&amp;sheet=U0&amp;row=932&amp;col=6&amp;number=3.8&amp;sourceID=14","3.8")</f>
        <v>3.8</v>
      </c>
      <c r="G932" s="4" t="str">
        <f>HYPERLINK("http://141.218.60.56/~jnz1568/getInfo.php?workbook=16_08.xlsx&amp;sheet=U0&amp;row=932&amp;col=7&amp;number=0.00467&amp;sourceID=14","0.00467")</f>
        <v>0.00467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HYPERLINK("http://141.218.60.56/~jnz1568/getInfo.php?workbook=16_08.xlsx&amp;sheet=U0&amp;row=933&amp;col=6&amp;number=3.9&amp;sourceID=14","3.9")</f>
        <v>3.9</v>
      </c>
      <c r="G933" s="4" t="str">
        <f>HYPERLINK("http://141.218.60.56/~jnz1568/getInfo.php?workbook=16_08.xlsx&amp;sheet=U0&amp;row=933&amp;col=7&amp;number=0.00467&amp;sourceID=14","0.00467")</f>
        <v>0.00467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HYPERLINK("http://141.218.60.56/~jnz1568/getInfo.php?workbook=16_08.xlsx&amp;sheet=U0&amp;row=934&amp;col=6&amp;number=4&amp;sourceID=14","4")</f>
        <v>4</v>
      </c>
      <c r="G934" s="4" t="str">
        <f>HYPERLINK("http://141.218.60.56/~jnz1568/getInfo.php?workbook=16_08.xlsx&amp;sheet=U0&amp;row=934&amp;col=7&amp;number=0.00467&amp;sourceID=14","0.00467")</f>
        <v>0.00467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HYPERLINK("http://141.218.60.56/~jnz1568/getInfo.php?workbook=16_08.xlsx&amp;sheet=U0&amp;row=935&amp;col=6&amp;number=4.1&amp;sourceID=14","4.1")</f>
        <v>4.1</v>
      </c>
      <c r="G935" s="4" t="str">
        <f>HYPERLINK("http://141.218.60.56/~jnz1568/getInfo.php?workbook=16_08.xlsx&amp;sheet=U0&amp;row=935&amp;col=7&amp;number=0.00467&amp;sourceID=14","0.00467")</f>
        <v>0.00467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HYPERLINK("http://141.218.60.56/~jnz1568/getInfo.php?workbook=16_08.xlsx&amp;sheet=U0&amp;row=936&amp;col=6&amp;number=4.2&amp;sourceID=14","4.2")</f>
        <v>4.2</v>
      </c>
      <c r="G936" s="4" t="str">
        <f>HYPERLINK("http://141.218.60.56/~jnz1568/getInfo.php?workbook=16_08.xlsx&amp;sheet=U0&amp;row=936&amp;col=7&amp;number=0.00466&amp;sourceID=14","0.00466")</f>
        <v>0.00466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HYPERLINK("http://141.218.60.56/~jnz1568/getInfo.php?workbook=16_08.xlsx&amp;sheet=U0&amp;row=937&amp;col=6&amp;number=4.3&amp;sourceID=14","4.3")</f>
        <v>4.3</v>
      </c>
      <c r="G937" s="4" t="str">
        <f>HYPERLINK("http://141.218.60.56/~jnz1568/getInfo.php?workbook=16_08.xlsx&amp;sheet=U0&amp;row=937&amp;col=7&amp;number=0.00466&amp;sourceID=14","0.00466")</f>
        <v>0.00466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HYPERLINK("http://141.218.60.56/~jnz1568/getInfo.php?workbook=16_08.xlsx&amp;sheet=U0&amp;row=938&amp;col=6&amp;number=4.4&amp;sourceID=14","4.4")</f>
        <v>4.4</v>
      </c>
      <c r="G938" s="4" t="str">
        <f>HYPERLINK("http://141.218.60.56/~jnz1568/getInfo.php?workbook=16_08.xlsx&amp;sheet=U0&amp;row=938&amp;col=7&amp;number=0.00466&amp;sourceID=14","0.00466")</f>
        <v>0.00466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HYPERLINK("http://141.218.60.56/~jnz1568/getInfo.php?workbook=16_08.xlsx&amp;sheet=U0&amp;row=939&amp;col=6&amp;number=4.5&amp;sourceID=14","4.5")</f>
        <v>4.5</v>
      </c>
      <c r="G939" s="4" t="str">
        <f>HYPERLINK("http://141.218.60.56/~jnz1568/getInfo.php?workbook=16_08.xlsx&amp;sheet=U0&amp;row=939&amp;col=7&amp;number=0.00465&amp;sourceID=14","0.00465")</f>
        <v>0.00465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HYPERLINK("http://141.218.60.56/~jnz1568/getInfo.php?workbook=16_08.xlsx&amp;sheet=U0&amp;row=940&amp;col=6&amp;number=4.6&amp;sourceID=14","4.6")</f>
        <v>4.6</v>
      </c>
      <c r="G940" s="4" t="str">
        <f>HYPERLINK("http://141.218.60.56/~jnz1568/getInfo.php?workbook=16_08.xlsx&amp;sheet=U0&amp;row=940&amp;col=7&amp;number=0.00464&amp;sourceID=14","0.00464")</f>
        <v>0.00464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HYPERLINK("http://141.218.60.56/~jnz1568/getInfo.php?workbook=16_08.xlsx&amp;sheet=U0&amp;row=941&amp;col=6&amp;number=4.7&amp;sourceID=14","4.7")</f>
        <v>4.7</v>
      </c>
      <c r="G941" s="4" t="str">
        <f>HYPERLINK("http://141.218.60.56/~jnz1568/getInfo.php?workbook=16_08.xlsx&amp;sheet=U0&amp;row=941&amp;col=7&amp;number=0.00463&amp;sourceID=14","0.00463")</f>
        <v>0.00463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HYPERLINK("http://141.218.60.56/~jnz1568/getInfo.php?workbook=16_08.xlsx&amp;sheet=U0&amp;row=942&amp;col=6&amp;number=4.8&amp;sourceID=14","4.8")</f>
        <v>4.8</v>
      </c>
      <c r="G942" s="4" t="str">
        <f>HYPERLINK("http://141.218.60.56/~jnz1568/getInfo.php?workbook=16_08.xlsx&amp;sheet=U0&amp;row=942&amp;col=7&amp;number=0.00462&amp;sourceID=14","0.00462")</f>
        <v>0.00462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HYPERLINK("http://141.218.60.56/~jnz1568/getInfo.php?workbook=16_08.xlsx&amp;sheet=U0&amp;row=943&amp;col=6&amp;number=4.9&amp;sourceID=14","4.9")</f>
        <v>4.9</v>
      </c>
      <c r="G943" s="4" t="str">
        <f>HYPERLINK("http://141.218.60.56/~jnz1568/getInfo.php?workbook=16_08.xlsx&amp;sheet=U0&amp;row=943&amp;col=7&amp;number=0.0046&amp;sourceID=14","0.0046")</f>
        <v>0.0046</v>
      </c>
    </row>
    <row r="944" spans="1:7">
      <c r="A944" s="3">
        <v>16</v>
      </c>
      <c r="B944" s="3">
        <v>8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HYPERLINK("http://141.218.60.56/~jnz1568/getInfo.php?workbook=16_08.xlsx&amp;sheet=U0&amp;row=944&amp;col=6&amp;number=3&amp;sourceID=14","3")</f>
        <v>3</v>
      </c>
      <c r="G944" s="4" t="str">
        <f>HYPERLINK("http://141.218.60.56/~jnz1568/getInfo.php?workbook=16_08.xlsx&amp;sheet=U0&amp;row=944&amp;col=7&amp;number=0.0392&amp;sourceID=14","0.0392")</f>
        <v>0.0392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HYPERLINK("http://141.218.60.56/~jnz1568/getInfo.php?workbook=16_08.xlsx&amp;sheet=U0&amp;row=945&amp;col=6&amp;number=3.1&amp;sourceID=14","3.1")</f>
        <v>3.1</v>
      </c>
      <c r="G945" s="4" t="str">
        <f>HYPERLINK("http://141.218.60.56/~jnz1568/getInfo.php?workbook=16_08.xlsx&amp;sheet=U0&amp;row=945&amp;col=7&amp;number=0.0392&amp;sourceID=14","0.0392")</f>
        <v>0.0392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HYPERLINK("http://141.218.60.56/~jnz1568/getInfo.php?workbook=16_08.xlsx&amp;sheet=U0&amp;row=946&amp;col=6&amp;number=3.2&amp;sourceID=14","3.2")</f>
        <v>3.2</v>
      </c>
      <c r="G946" s="4" t="str">
        <f>HYPERLINK("http://141.218.60.56/~jnz1568/getInfo.php?workbook=16_08.xlsx&amp;sheet=U0&amp;row=946&amp;col=7&amp;number=0.0392&amp;sourceID=14","0.0392")</f>
        <v>0.0392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HYPERLINK("http://141.218.60.56/~jnz1568/getInfo.php?workbook=16_08.xlsx&amp;sheet=U0&amp;row=947&amp;col=6&amp;number=3.3&amp;sourceID=14","3.3")</f>
        <v>3.3</v>
      </c>
      <c r="G947" s="4" t="str">
        <f>HYPERLINK("http://141.218.60.56/~jnz1568/getInfo.php?workbook=16_08.xlsx&amp;sheet=U0&amp;row=947&amp;col=7&amp;number=0.0392&amp;sourceID=14","0.0392")</f>
        <v>0.0392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HYPERLINK("http://141.218.60.56/~jnz1568/getInfo.php?workbook=16_08.xlsx&amp;sheet=U0&amp;row=948&amp;col=6&amp;number=3.4&amp;sourceID=14","3.4")</f>
        <v>3.4</v>
      </c>
      <c r="G948" s="4" t="str">
        <f>HYPERLINK("http://141.218.60.56/~jnz1568/getInfo.php?workbook=16_08.xlsx&amp;sheet=U0&amp;row=948&amp;col=7&amp;number=0.0392&amp;sourceID=14","0.0392")</f>
        <v>0.0392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HYPERLINK("http://141.218.60.56/~jnz1568/getInfo.php?workbook=16_08.xlsx&amp;sheet=U0&amp;row=949&amp;col=6&amp;number=3.5&amp;sourceID=14","3.5")</f>
        <v>3.5</v>
      </c>
      <c r="G949" s="4" t="str">
        <f>HYPERLINK("http://141.218.60.56/~jnz1568/getInfo.php?workbook=16_08.xlsx&amp;sheet=U0&amp;row=949&amp;col=7&amp;number=0.0392&amp;sourceID=14","0.0392")</f>
        <v>0.0392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HYPERLINK("http://141.218.60.56/~jnz1568/getInfo.php?workbook=16_08.xlsx&amp;sheet=U0&amp;row=950&amp;col=6&amp;number=3.6&amp;sourceID=14","3.6")</f>
        <v>3.6</v>
      </c>
      <c r="G950" s="4" t="str">
        <f>HYPERLINK("http://141.218.60.56/~jnz1568/getInfo.php?workbook=16_08.xlsx&amp;sheet=U0&amp;row=950&amp;col=7&amp;number=0.0392&amp;sourceID=14","0.0392")</f>
        <v>0.0392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HYPERLINK("http://141.218.60.56/~jnz1568/getInfo.php?workbook=16_08.xlsx&amp;sheet=U0&amp;row=951&amp;col=6&amp;number=3.7&amp;sourceID=14","3.7")</f>
        <v>3.7</v>
      </c>
      <c r="G951" s="4" t="str">
        <f>HYPERLINK("http://141.218.60.56/~jnz1568/getInfo.php?workbook=16_08.xlsx&amp;sheet=U0&amp;row=951&amp;col=7&amp;number=0.0392&amp;sourceID=14","0.0392")</f>
        <v>0.0392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HYPERLINK("http://141.218.60.56/~jnz1568/getInfo.php?workbook=16_08.xlsx&amp;sheet=U0&amp;row=952&amp;col=6&amp;number=3.8&amp;sourceID=14","3.8")</f>
        <v>3.8</v>
      </c>
      <c r="G952" s="4" t="str">
        <f>HYPERLINK("http://141.218.60.56/~jnz1568/getInfo.php?workbook=16_08.xlsx&amp;sheet=U0&amp;row=952&amp;col=7&amp;number=0.0392&amp;sourceID=14","0.0392")</f>
        <v>0.0392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HYPERLINK("http://141.218.60.56/~jnz1568/getInfo.php?workbook=16_08.xlsx&amp;sheet=U0&amp;row=953&amp;col=6&amp;number=3.9&amp;sourceID=14","3.9")</f>
        <v>3.9</v>
      </c>
      <c r="G953" s="4" t="str">
        <f>HYPERLINK("http://141.218.60.56/~jnz1568/getInfo.php?workbook=16_08.xlsx&amp;sheet=U0&amp;row=953&amp;col=7&amp;number=0.0392&amp;sourceID=14","0.0392")</f>
        <v>0.0392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HYPERLINK("http://141.218.60.56/~jnz1568/getInfo.php?workbook=16_08.xlsx&amp;sheet=U0&amp;row=954&amp;col=6&amp;number=4&amp;sourceID=14","4")</f>
        <v>4</v>
      </c>
      <c r="G954" s="4" t="str">
        <f>HYPERLINK("http://141.218.60.56/~jnz1568/getInfo.php?workbook=16_08.xlsx&amp;sheet=U0&amp;row=954&amp;col=7&amp;number=0.0392&amp;sourceID=14","0.0392")</f>
        <v>0.0392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HYPERLINK("http://141.218.60.56/~jnz1568/getInfo.php?workbook=16_08.xlsx&amp;sheet=U0&amp;row=955&amp;col=6&amp;number=4.1&amp;sourceID=14","4.1")</f>
        <v>4.1</v>
      </c>
      <c r="G955" s="4" t="str">
        <f>HYPERLINK("http://141.218.60.56/~jnz1568/getInfo.php?workbook=16_08.xlsx&amp;sheet=U0&amp;row=955&amp;col=7&amp;number=0.0392&amp;sourceID=14","0.0392")</f>
        <v>0.0392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HYPERLINK("http://141.218.60.56/~jnz1568/getInfo.php?workbook=16_08.xlsx&amp;sheet=U0&amp;row=956&amp;col=6&amp;number=4.2&amp;sourceID=14","4.2")</f>
        <v>4.2</v>
      </c>
      <c r="G956" s="4" t="str">
        <f>HYPERLINK("http://141.218.60.56/~jnz1568/getInfo.php?workbook=16_08.xlsx&amp;sheet=U0&amp;row=956&amp;col=7&amp;number=0.0392&amp;sourceID=14","0.0392")</f>
        <v>0.0392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HYPERLINK("http://141.218.60.56/~jnz1568/getInfo.php?workbook=16_08.xlsx&amp;sheet=U0&amp;row=957&amp;col=6&amp;number=4.3&amp;sourceID=14","4.3")</f>
        <v>4.3</v>
      </c>
      <c r="G957" s="4" t="str">
        <f>HYPERLINK("http://141.218.60.56/~jnz1568/getInfo.php?workbook=16_08.xlsx&amp;sheet=U0&amp;row=957&amp;col=7&amp;number=0.0393&amp;sourceID=14","0.0393")</f>
        <v>0.0393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HYPERLINK("http://141.218.60.56/~jnz1568/getInfo.php?workbook=16_08.xlsx&amp;sheet=U0&amp;row=958&amp;col=6&amp;number=4.4&amp;sourceID=14","4.4")</f>
        <v>4.4</v>
      </c>
      <c r="G958" s="4" t="str">
        <f>HYPERLINK("http://141.218.60.56/~jnz1568/getInfo.php?workbook=16_08.xlsx&amp;sheet=U0&amp;row=958&amp;col=7&amp;number=0.0393&amp;sourceID=14","0.0393")</f>
        <v>0.0393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HYPERLINK("http://141.218.60.56/~jnz1568/getInfo.php?workbook=16_08.xlsx&amp;sheet=U0&amp;row=959&amp;col=6&amp;number=4.5&amp;sourceID=14","4.5")</f>
        <v>4.5</v>
      </c>
      <c r="G959" s="4" t="str">
        <f>HYPERLINK("http://141.218.60.56/~jnz1568/getInfo.php?workbook=16_08.xlsx&amp;sheet=U0&amp;row=959&amp;col=7&amp;number=0.0393&amp;sourceID=14","0.0393")</f>
        <v>0.0393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HYPERLINK("http://141.218.60.56/~jnz1568/getInfo.php?workbook=16_08.xlsx&amp;sheet=U0&amp;row=960&amp;col=6&amp;number=4.6&amp;sourceID=14","4.6")</f>
        <v>4.6</v>
      </c>
      <c r="G960" s="4" t="str">
        <f>HYPERLINK("http://141.218.60.56/~jnz1568/getInfo.php?workbook=16_08.xlsx&amp;sheet=U0&amp;row=960&amp;col=7&amp;number=0.0394&amp;sourceID=14","0.0394")</f>
        <v>0.0394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HYPERLINK("http://141.218.60.56/~jnz1568/getInfo.php?workbook=16_08.xlsx&amp;sheet=U0&amp;row=961&amp;col=6&amp;number=4.7&amp;sourceID=14","4.7")</f>
        <v>4.7</v>
      </c>
      <c r="G961" s="4" t="str">
        <f>HYPERLINK("http://141.218.60.56/~jnz1568/getInfo.php?workbook=16_08.xlsx&amp;sheet=U0&amp;row=961&amp;col=7&amp;number=0.0395&amp;sourceID=14","0.0395")</f>
        <v>0.0395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HYPERLINK("http://141.218.60.56/~jnz1568/getInfo.php?workbook=16_08.xlsx&amp;sheet=U0&amp;row=962&amp;col=6&amp;number=4.8&amp;sourceID=14","4.8")</f>
        <v>4.8</v>
      </c>
      <c r="G962" s="4" t="str">
        <f>HYPERLINK("http://141.218.60.56/~jnz1568/getInfo.php?workbook=16_08.xlsx&amp;sheet=U0&amp;row=962&amp;col=7&amp;number=0.0395&amp;sourceID=14","0.0395")</f>
        <v>0.0395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HYPERLINK("http://141.218.60.56/~jnz1568/getInfo.php?workbook=16_08.xlsx&amp;sheet=U0&amp;row=963&amp;col=6&amp;number=4.9&amp;sourceID=14","4.9")</f>
        <v>4.9</v>
      </c>
      <c r="G963" s="4" t="str">
        <f>HYPERLINK("http://141.218.60.56/~jnz1568/getInfo.php?workbook=16_08.xlsx&amp;sheet=U0&amp;row=963&amp;col=7&amp;number=0.0396&amp;sourceID=14","0.0396")</f>
        <v>0.0396</v>
      </c>
    </row>
    <row r="964" spans="1:7">
      <c r="A964" s="3">
        <v>16</v>
      </c>
      <c r="B964" s="3">
        <v>8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HYPERLINK("http://141.218.60.56/~jnz1568/getInfo.php?workbook=16_08.xlsx&amp;sheet=U0&amp;row=964&amp;col=6&amp;number=3&amp;sourceID=14","3")</f>
        <v>3</v>
      </c>
      <c r="G964" s="4" t="str">
        <f>HYPERLINK("http://141.218.60.56/~jnz1568/getInfo.php?workbook=16_08.xlsx&amp;sheet=U0&amp;row=964&amp;col=7&amp;number=0.0106&amp;sourceID=14","0.0106")</f>
        <v>0.0106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HYPERLINK("http://141.218.60.56/~jnz1568/getInfo.php?workbook=16_08.xlsx&amp;sheet=U0&amp;row=965&amp;col=6&amp;number=3.1&amp;sourceID=14","3.1")</f>
        <v>3.1</v>
      </c>
      <c r="G965" s="4" t="str">
        <f>HYPERLINK("http://141.218.60.56/~jnz1568/getInfo.php?workbook=16_08.xlsx&amp;sheet=U0&amp;row=965&amp;col=7&amp;number=0.0106&amp;sourceID=14","0.0106")</f>
        <v>0.0106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HYPERLINK("http://141.218.60.56/~jnz1568/getInfo.php?workbook=16_08.xlsx&amp;sheet=U0&amp;row=966&amp;col=6&amp;number=3.2&amp;sourceID=14","3.2")</f>
        <v>3.2</v>
      </c>
      <c r="G966" s="4" t="str">
        <f>HYPERLINK("http://141.218.60.56/~jnz1568/getInfo.php?workbook=16_08.xlsx&amp;sheet=U0&amp;row=966&amp;col=7&amp;number=0.0106&amp;sourceID=14","0.0106")</f>
        <v>0.0106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HYPERLINK("http://141.218.60.56/~jnz1568/getInfo.php?workbook=16_08.xlsx&amp;sheet=U0&amp;row=967&amp;col=6&amp;number=3.3&amp;sourceID=14","3.3")</f>
        <v>3.3</v>
      </c>
      <c r="G967" s="4" t="str">
        <f>HYPERLINK("http://141.218.60.56/~jnz1568/getInfo.php?workbook=16_08.xlsx&amp;sheet=U0&amp;row=967&amp;col=7&amp;number=0.0106&amp;sourceID=14","0.0106")</f>
        <v>0.0106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HYPERLINK("http://141.218.60.56/~jnz1568/getInfo.php?workbook=16_08.xlsx&amp;sheet=U0&amp;row=968&amp;col=6&amp;number=3.4&amp;sourceID=14","3.4")</f>
        <v>3.4</v>
      </c>
      <c r="G968" s="4" t="str">
        <f>HYPERLINK("http://141.218.60.56/~jnz1568/getInfo.php?workbook=16_08.xlsx&amp;sheet=U0&amp;row=968&amp;col=7&amp;number=0.0106&amp;sourceID=14","0.0106")</f>
        <v>0.0106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HYPERLINK("http://141.218.60.56/~jnz1568/getInfo.php?workbook=16_08.xlsx&amp;sheet=U0&amp;row=969&amp;col=6&amp;number=3.5&amp;sourceID=14","3.5")</f>
        <v>3.5</v>
      </c>
      <c r="G969" s="4" t="str">
        <f>HYPERLINK("http://141.218.60.56/~jnz1568/getInfo.php?workbook=16_08.xlsx&amp;sheet=U0&amp;row=969&amp;col=7&amp;number=0.0106&amp;sourceID=14","0.0106")</f>
        <v>0.0106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HYPERLINK("http://141.218.60.56/~jnz1568/getInfo.php?workbook=16_08.xlsx&amp;sheet=U0&amp;row=970&amp;col=6&amp;number=3.6&amp;sourceID=14","3.6")</f>
        <v>3.6</v>
      </c>
      <c r="G970" s="4" t="str">
        <f>HYPERLINK("http://141.218.60.56/~jnz1568/getInfo.php?workbook=16_08.xlsx&amp;sheet=U0&amp;row=970&amp;col=7&amp;number=0.0106&amp;sourceID=14","0.0106")</f>
        <v>0.0106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HYPERLINK("http://141.218.60.56/~jnz1568/getInfo.php?workbook=16_08.xlsx&amp;sheet=U0&amp;row=971&amp;col=6&amp;number=3.7&amp;sourceID=14","3.7")</f>
        <v>3.7</v>
      </c>
      <c r="G971" s="4" t="str">
        <f>HYPERLINK("http://141.218.60.56/~jnz1568/getInfo.php?workbook=16_08.xlsx&amp;sheet=U0&amp;row=971&amp;col=7&amp;number=0.0106&amp;sourceID=14","0.0106")</f>
        <v>0.0106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HYPERLINK("http://141.218.60.56/~jnz1568/getInfo.php?workbook=16_08.xlsx&amp;sheet=U0&amp;row=972&amp;col=6&amp;number=3.8&amp;sourceID=14","3.8")</f>
        <v>3.8</v>
      </c>
      <c r="G972" s="4" t="str">
        <f>HYPERLINK("http://141.218.60.56/~jnz1568/getInfo.php?workbook=16_08.xlsx&amp;sheet=U0&amp;row=972&amp;col=7&amp;number=0.0106&amp;sourceID=14","0.0106")</f>
        <v>0.0106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HYPERLINK("http://141.218.60.56/~jnz1568/getInfo.php?workbook=16_08.xlsx&amp;sheet=U0&amp;row=973&amp;col=6&amp;number=3.9&amp;sourceID=14","3.9")</f>
        <v>3.9</v>
      </c>
      <c r="G973" s="4" t="str">
        <f>HYPERLINK("http://141.218.60.56/~jnz1568/getInfo.php?workbook=16_08.xlsx&amp;sheet=U0&amp;row=973&amp;col=7&amp;number=0.0106&amp;sourceID=14","0.0106")</f>
        <v>0.0106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HYPERLINK("http://141.218.60.56/~jnz1568/getInfo.php?workbook=16_08.xlsx&amp;sheet=U0&amp;row=974&amp;col=6&amp;number=4&amp;sourceID=14","4")</f>
        <v>4</v>
      </c>
      <c r="G974" s="4" t="str">
        <f>HYPERLINK("http://141.218.60.56/~jnz1568/getInfo.php?workbook=16_08.xlsx&amp;sheet=U0&amp;row=974&amp;col=7&amp;number=0.0106&amp;sourceID=14","0.0106")</f>
        <v>0.0106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HYPERLINK("http://141.218.60.56/~jnz1568/getInfo.php?workbook=16_08.xlsx&amp;sheet=U0&amp;row=975&amp;col=6&amp;number=4.1&amp;sourceID=14","4.1")</f>
        <v>4.1</v>
      </c>
      <c r="G975" s="4" t="str">
        <f>HYPERLINK("http://141.218.60.56/~jnz1568/getInfo.php?workbook=16_08.xlsx&amp;sheet=U0&amp;row=975&amp;col=7&amp;number=0.0106&amp;sourceID=14","0.0106")</f>
        <v>0.0106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HYPERLINK("http://141.218.60.56/~jnz1568/getInfo.php?workbook=16_08.xlsx&amp;sheet=U0&amp;row=976&amp;col=6&amp;number=4.2&amp;sourceID=14","4.2")</f>
        <v>4.2</v>
      </c>
      <c r="G976" s="4" t="str">
        <f>HYPERLINK("http://141.218.60.56/~jnz1568/getInfo.php?workbook=16_08.xlsx&amp;sheet=U0&amp;row=976&amp;col=7&amp;number=0.0106&amp;sourceID=14","0.0106")</f>
        <v>0.0106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HYPERLINK("http://141.218.60.56/~jnz1568/getInfo.php?workbook=16_08.xlsx&amp;sheet=U0&amp;row=977&amp;col=6&amp;number=4.3&amp;sourceID=14","4.3")</f>
        <v>4.3</v>
      </c>
      <c r="G977" s="4" t="str">
        <f>HYPERLINK("http://141.218.60.56/~jnz1568/getInfo.php?workbook=16_08.xlsx&amp;sheet=U0&amp;row=977&amp;col=7&amp;number=0.0106&amp;sourceID=14","0.0106")</f>
        <v>0.0106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HYPERLINK("http://141.218.60.56/~jnz1568/getInfo.php?workbook=16_08.xlsx&amp;sheet=U0&amp;row=978&amp;col=6&amp;number=4.4&amp;sourceID=14","4.4")</f>
        <v>4.4</v>
      </c>
      <c r="G978" s="4" t="str">
        <f>HYPERLINK("http://141.218.60.56/~jnz1568/getInfo.php?workbook=16_08.xlsx&amp;sheet=U0&amp;row=978&amp;col=7&amp;number=0.0106&amp;sourceID=14","0.0106")</f>
        <v>0.0106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HYPERLINK("http://141.218.60.56/~jnz1568/getInfo.php?workbook=16_08.xlsx&amp;sheet=U0&amp;row=979&amp;col=6&amp;number=4.5&amp;sourceID=14","4.5")</f>
        <v>4.5</v>
      </c>
      <c r="G979" s="4" t="str">
        <f>HYPERLINK("http://141.218.60.56/~jnz1568/getInfo.php?workbook=16_08.xlsx&amp;sheet=U0&amp;row=979&amp;col=7&amp;number=0.0106&amp;sourceID=14","0.0106")</f>
        <v>0.0106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HYPERLINK("http://141.218.60.56/~jnz1568/getInfo.php?workbook=16_08.xlsx&amp;sheet=U0&amp;row=980&amp;col=6&amp;number=4.6&amp;sourceID=14","4.6")</f>
        <v>4.6</v>
      </c>
      <c r="G980" s="4" t="str">
        <f>HYPERLINK("http://141.218.60.56/~jnz1568/getInfo.php?workbook=16_08.xlsx&amp;sheet=U0&amp;row=980&amp;col=7&amp;number=0.0106&amp;sourceID=14","0.0106")</f>
        <v>0.0106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HYPERLINK("http://141.218.60.56/~jnz1568/getInfo.php?workbook=16_08.xlsx&amp;sheet=U0&amp;row=981&amp;col=6&amp;number=4.7&amp;sourceID=14","4.7")</f>
        <v>4.7</v>
      </c>
      <c r="G981" s="4" t="str">
        <f>HYPERLINK("http://141.218.60.56/~jnz1568/getInfo.php?workbook=16_08.xlsx&amp;sheet=U0&amp;row=981&amp;col=7&amp;number=0.0106&amp;sourceID=14","0.0106")</f>
        <v>0.0106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HYPERLINK("http://141.218.60.56/~jnz1568/getInfo.php?workbook=16_08.xlsx&amp;sheet=U0&amp;row=982&amp;col=6&amp;number=4.8&amp;sourceID=14","4.8")</f>
        <v>4.8</v>
      </c>
      <c r="G982" s="4" t="str">
        <f>HYPERLINK("http://141.218.60.56/~jnz1568/getInfo.php?workbook=16_08.xlsx&amp;sheet=U0&amp;row=982&amp;col=7&amp;number=0.0106&amp;sourceID=14","0.0106")</f>
        <v>0.0106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HYPERLINK("http://141.218.60.56/~jnz1568/getInfo.php?workbook=16_08.xlsx&amp;sheet=U0&amp;row=983&amp;col=6&amp;number=4.9&amp;sourceID=14","4.9")</f>
        <v>4.9</v>
      </c>
      <c r="G983" s="4" t="str">
        <f>HYPERLINK("http://141.218.60.56/~jnz1568/getInfo.php?workbook=16_08.xlsx&amp;sheet=U0&amp;row=983&amp;col=7&amp;number=0.0106&amp;sourceID=14","0.0106")</f>
        <v>0.0106</v>
      </c>
    </row>
    <row r="984" spans="1:7">
      <c r="A984" s="3">
        <v>16</v>
      </c>
      <c r="B984" s="3">
        <v>8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HYPERLINK("http://141.218.60.56/~jnz1568/getInfo.php?workbook=16_08.xlsx&amp;sheet=U0&amp;row=984&amp;col=6&amp;number=3&amp;sourceID=14","3")</f>
        <v>3</v>
      </c>
      <c r="G984" s="4" t="str">
        <f>HYPERLINK("http://141.218.60.56/~jnz1568/getInfo.php?workbook=16_08.xlsx&amp;sheet=U0&amp;row=984&amp;col=7&amp;number=0.128&amp;sourceID=14","0.128")</f>
        <v>0.128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HYPERLINK("http://141.218.60.56/~jnz1568/getInfo.php?workbook=16_08.xlsx&amp;sheet=U0&amp;row=985&amp;col=6&amp;number=3.1&amp;sourceID=14","3.1")</f>
        <v>3.1</v>
      </c>
      <c r="G985" s="4" t="str">
        <f>HYPERLINK("http://141.218.60.56/~jnz1568/getInfo.php?workbook=16_08.xlsx&amp;sheet=U0&amp;row=985&amp;col=7&amp;number=0.128&amp;sourceID=14","0.128")</f>
        <v>0.128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HYPERLINK("http://141.218.60.56/~jnz1568/getInfo.php?workbook=16_08.xlsx&amp;sheet=U0&amp;row=986&amp;col=6&amp;number=3.2&amp;sourceID=14","3.2")</f>
        <v>3.2</v>
      </c>
      <c r="G986" s="4" t="str">
        <f>HYPERLINK("http://141.218.60.56/~jnz1568/getInfo.php?workbook=16_08.xlsx&amp;sheet=U0&amp;row=986&amp;col=7&amp;number=0.128&amp;sourceID=14","0.128")</f>
        <v>0.128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HYPERLINK("http://141.218.60.56/~jnz1568/getInfo.php?workbook=16_08.xlsx&amp;sheet=U0&amp;row=987&amp;col=6&amp;number=3.3&amp;sourceID=14","3.3")</f>
        <v>3.3</v>
      </c>
      <c r="G987" s="4" t="str">
        <f>HYPERLINK("http://141.218.60.56/~jnz1568/getInfo.php?workbook=16_08.xlsx&amp;sheet=U0&amp;row=987&amp;col=7&amp;number=0.128&amp;sourceID=14","0.128")</f>
        <v>0.128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HYPERLINK("http://141.218.60.56/~jnz1568/getInfo.php?workbook=16_08.xlsx&amp;sheet=U0&amp;row=988&amp;col=6&amp;number=3.4&amp;sourceID=14","3.4")</f>
        <v>3.4</v>
      </c>
      <c r="G988" s="4" t="str">
        <f>HYPERLINK("http://141.218.60.56/~jnz1568/getInfo.php?workbook=16_08.xlsx&amp;sheet=U0&amp;row=988&amp;col=7&amp;number=0.128&amp;sourceID=14","0.128")</f>
        <v>0.128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HYPERLINK("http://141.218.60.56/~jnz1568/getInfo.php?workbook=16_08.xlsx&amp;sheet=U0&amp;row=989&amp;col=6&amp;number=3.5&amp;sourceID=14","3.5")</f>
        <v>3.5</v>
      </c>
      <c r="G989" s="4" t="str">
        <f>HYPERLINK("http://141.218.60.56/~jnz1568/getInfo.php?workbook=16_08.xlsx&amp;sheet=U0&amp;row=989&amp;col=7&amp;number=0.128&amp;sourceID=14","0.128")</f>
        <v>0.128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HYPERLINK("http://141.218.60.56/~jnz1568/getInfo.php?workbook=16_08.xlsx&amp;sheet=U0&amp;row=990&amp;col=6&amp;number=3.6&amp;sourceID=14","3.6")</f>
        <v>3.6</v>
      </c>
      <c r="G990" s="4" t="str">
        <f>HYPERLINK("http://141.218.60.56/~jnz1568/getInfo.php?workbook=16_08.xlsx&amp;sheet=U0&amp;row=990&amp;col=7&amp;number=0.128&amp;sourceID=14","0.128")</f>
        <v>0.128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HYPERLINK("http://141.218.60.56/~jnz1568/getInfo.php?workbook=16_08.xlsx&amp;sheet=U0&amp;row=991&amp;col=6&amp;number=3.7&amp;sourceID=14","3.7")</f>
        <v>3.7</v>
      </c>
      <c r="G991" s="4" t="str">
        <f>HYPERLINK("http://141.218.60.56/~jnz1568/getInfo.php?workbook=16_08.xlsx&amp;sheet=U0&amp;row=991&amp;col=7&amp;number=0.128&amp;sourceID=14","0.128")</f>
        <v>0.128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HYPERLINK("http://141.218.60.56/~jnz1568/getInfo.php?workbook=16_08.xlsx&amp;sheet=U0&amp;row=992&amp;col=6&amp;number=3.8&amp;sourceID=14","3.8")</f>
        <v>3.8</v>
      </c>
      <c r="G992" s="4" t="str">
        <f>HYPERLINK("http://141.218.60.56/~jnz1568/getInfo.php?workbook=16_08.xlsx&amp;sheet=U0&amp;row=992&amp;col=7&amp;number=0.128&amp;sourceID=14","0.128")</f>
        <v>0.128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HYPERLINK("http://141.218.60.56/~jnz1568/getInfo.php?workbook=16_08.xlsx&amp;sheet=U0&amp;row=993&amp;col=6&amp;number=3.9&amp;sourceID=14","3.9")</f>
        <v>3.9</v>
      </c>
      <c r="G993" s="4" t="str">
        <f>HYPERLINK("http://141.218.60.56/~jnz1568/getInfo.php?workbook=16_08.xlsx&amp;sheet=U0&amp;row=993&amp;col=7&amp;number=0.128&amp;sourceID=14","0.128")</f>
        <v>0.128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HYPERLINK("http://141.218.60.56/~jnz1568/getInfo.php?workbook=16_08.xlsx&amp;sheet=U0&amp;row=994&amp;col=6&amp;number=4&amp;sourceID=14","4")</f>
        <v>4</v>
      </c>
      <c r="G994" s="4" t="str">
        <f>HYPERLINK("http://141.218.60.56/~jnz1568/getInfo.php?workbook=16_08.xlsx&amp;sheet=U0&amp;row=994&amp;col=7&amp;number=0.128&amp;sourceID=14","0.128")</f>
        <v>0.128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HYPERLINK("http://141.218.60.56/~jnz1568/getInfo.php?workbook=16_08.xlsx&amp;sheet=U0&amp;row=995&amp;col=6&amp;number=4.1&amp;sourceID=14","4.1")</f>
        <v>4.1</v>
      </c>
      <c r="G995" s="4" t="str">
        <f>HYPERLINK("http://141.218.60.56/~jnz1568/getInfo.php?workbook=16_08.xlsx&amp;sheet=U0&amp;row=995&amp;col=7&amp;number=0.129&amp;sourceID=14","0.129")</f>
        <v>0.129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HYPERLINK("http://141.218.60.56/~jnz1568/getInfo.php?workbook=16_08.xlsx&amp;sheet=U0&amp;row=996&amp;col=6&amp;number=4.2&amp;sourceID=14","4.2")</f>
        <v>4.2</v>
      </c>
      <c r="G996" s="4" t="str">
        <f>HYPERLINK("http://141.218.60.56/~jnz1568/getInfo.php?workbook=16_08.xlsx&amp;sheet=U0&amp;row=996&amp;col=7&amp;number=0.129&amp;sourceID=14","0.129")</f>
        <v>0.129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HYPERLINK("http://141.218.60.56/~jnz1568/getInfo.php?workbook=16_08.xlsx&amp;sheet=U0&amp;row=997&amp;col=6&amp;number=4.3&amp;sourceID=14","4.3")</f>
        <v>4.3</v>
      </c>
      <c r="G997" s="4" t="str">
        <f>HYPERLINK("http://141.218.60.56/~jnz1568/getInfo.php?workbook=16_08.xlsx&amp;sheet=U0&amp;row=997&amp;col=7&amp;number=0.129&amp;sourceID=14","0.129")</f>
        <v>0.129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HYPERLINK("http://141.218.60.56/~jnz1568/getInfo.php?workbook=16_08.xlsx&amp;sheet=U0&amp;row=998&amp;col=6&amp;number=4.4&amp;sourceID=14","4.4")</f>
        <v>4.4</v>
      </c>
      <c r="G998" s="4" t="str">
        <f>HYPERLINK("http://141.218.60.56/~jnz1568/getInfo.php?workbook=16_08.xlsx&amp;sheet=U0&amp;row=998&amp;col=7&amp;number=0.129&amp;sourceID=14","0.129")</f>
        <v>0.129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HYPERLINK("http://141.218.60.56/~jnz1568/getInfo.php?workbook=16_08.xlsx&amp;sheet=U0&amp;row=999&amp;col=6&amp;number=4.5&amp;sourceID=14","4.5")</f>
        <v>4.5</v>
      </c>
      <c r="G999" s="4" t="str">
        <f>HYPERLINK("http://141.218.60.56/~jnz1568/getInfo.php?workbook=16_08.xlsx&amp;sheet=U0&amp;row=999&amp;col=7&amp;number=0.129&amp;sourceID=14","0.129")</f>
        <v>0.129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HYPERLINK("http://141.218.60.56/~jnz1568/getInfo.php?workbook=16_08.xlsx&amp;sheet=U0&amp;row=1000&amp;col=6&amp;number=4.6&amp;sourceID=14","4.6")</f>
        <v>4.6</v>
      </c>
      <c r="G1000" s="4" t="str">
        <f>HYPERLINK("http://141.218.60.56/~jnz1568/getInfo.php?workbook=16_08.xlsx&amp;sheet=U0&amp;row=1000&amp;col=7&amp;number=0.13&amp;sourceID=14","0.13")</f>
        <v>0.13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HYPERLINK("http://141.218.60.56/~jnz1568/getInfo.php?workbook=16_08.xlsx&amp;sheet=U0&amp;row=1001&amp;col=6&amp;number=4.7&amp;sourceID=14","4.7")</f>
        <v>4.7</v>
      </c>
      <c r="G1001" s="4" t="str">
        <f>HYPERLINK("http://141.218.60.56/~jnz1568/getInfo.php?workbook=16_08.xlsx&amp;sheet=U0&amp;row=1001&amp;col=7&amp;number=0.13&amp;sourceID=14","0.13")</f>
        <v>0.13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HYPERLINK("http://141.218.60.56/~jnz1568/getInfo.php?workbook=16_08.xlsx&amp;sheet=U0&amp;row=1002&amp;col=6&amp;number=4.8&amp;sourceID=14","4.8")</f>
        <v>4.8</v>
      </c>
      <c r="G1002" s="4" t="str">
        <f>HYPERLINK("http://141.218.60.56/~jnz1568/getInfo.php?workbook=16_08.xlsx&amp;sheet=U0&amp;row=1002&amp;col=7&amp;number=0.131&amp;sourceID=14","0.131")</f>
        <v>0.131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HYPERLINK("http://141.218.60.56/~jnz1568/getInfo.php?workbook=16_08.xlsx&amp;sheet=U0&amp;row=1003&amp;col=6&amp;number=4.9&amp;sourceID=14","4.9")</f>
        <v>4.9</v>
      </c>
      <c r="G1003" s="4" t="str">
        <f>HYPERLINK("http://141.218.60.56/~jnz1568/getInfo.php?workbook=16_08.xlsx&amp;sheet=U0&amp;row=1003&amp;col=7&amp;number=0.131&amp;sourceID=14","0.131")</f>
        <v>0.131</v>
      </c>
    </row>
    <row r="1004" spans="1:7">
      <c r="A1004" s="3">
        <v>16</v>
      </c>
      <c r="B1004" s="3">
        <v>8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HYPERLINK("http://141.218.60.56/~jnz1568/getInfo.php?workbook=16_08.xlsx&amp;sheet=U0&amp;row=1004&amp;col=6&amp;number=3&amp;sourceID=14","3")</f>
        <v>3</v>
      </c>
      <c r="G1004" s="4" t="str">
        <f>HYPERLINK("http://141.218.60.56/~jnz1568/getInfo.php?workbook=16_08.xlsx&amp;sheet=U0&amp;row=1004&amp;col=7&amp;number=0.22&amp;sourceID=14","0.22")</f>
        <v>0.22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HYPERLINK("http://141.218.60.56/~jnz1568/getInfo.php?workbook=16_08.xlsx&amp;sheet=U0&amp;row=1005&amp;col=6&amp;number=3.1&amp;sourceID=14","3.1")</f>
        <v>3.1</v>
      </c>
      <c r="G1005" s="4" t="str">
        <f>HYPERLINK("http://141.218.60.56/~jnz1568/getInfo.php?workbook=16_08.xlsx&amp;sheet=U0&amp;row=1005&amp;col=7&amp;number=0.22&amp;sourceID=14","0.22")</f>
        <v>0.22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HYPERLINK("http://141.218.60.56/~jnz1568/getInfo.php?workbook=16_08.xlsx&amp;sheet=U0&amp;row=1006&amp;col=6&amp;number=3.2&amp;sourceID=14","3.2")</f>
        <v>3.2</v>
      </c>
      <c r="G1006" s="4" t="str">
        <f>HYPERLINK("http://141.218.60.56/~jnz1568/getInfo.php?workbook=16_08.xlsx&amp;sheet=U0&amp;row=1006&amp;col=7&amp;number=0.22&amp;sourceID=14","0.22")</f>
        <v>0.22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HYPERLINK("http://141.218.60.56/~jnz1568/getInfo.php?workbook=16_08.xlsx&amp;sheet=U0&amp;row=1007&amp;col=6&amp;number=3.3&amp;sourceID=14","3.3")</f>
        <v>3.3</v>
      </c>
      <c r="G1007" s="4" t="str">
        <f>HYPERLINK("http://141.218.60.56/~jnz1568/getInfo.php?workbook=16_08.xlsx&amp;sheet=U0&amp;row=1007&amp;col=7&amp;number=0.22&amp;sourceID=14","0.22")</f>
        <v>0.22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HYPERLINK("http://141.218.60.56/~jnz1568/getInfo.php?workbook=16_08.xlsx&amp;sheet=U0&amp;row=1008&amp;col=6&amp;number=3.4&amp;sourceID=14","3.4")</f>
        <v>3.4</v>
      </c>
      <c r="G1008" s="4" t="str">
        <f>HYPERLINK("http://141.218.60.56/~jnz1568/getInfo.php?workbook=16_08.xlsx&amp;sheet=U0&amp;row=1008&amp;col=7&amp;number=0.22&amp;sourceID=14","0.22")</f>
        <v>0.22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HYPERLINK("http://141.218.60.56/~jnz1568/getInfo.php?workbook=16_08.xlsx&amp;sheet=U0&amp;row=1009&amp;col=6&amp;number=3.5&amp;sourceID=14","3.5")</f>
        <v>3.5</v>
      </c>
      <c r="G1009" s="4" t="str">
        <f>HYPERLINK("http://141.218.60.56/~jnz1568/getInfo.php?workbook=16_08.xlsx&amp;sheet=U0&amp;row=1009&amp;col=7&amp;number=0.22&amp;sourceID=14","0.22")</f>
        <v>0.22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HYPERLINK("http://141.218.60.56/~jnz1568/getInfo.php?workbook=16_08.xlsx&amp;sheet=U0&amp;row=1010&amp;col=6&amp;number=3.6&amp;sourceID=14","3.6")</f>
        <v>3.6</v>
      </c>
      <c r="G1010" s="4" t="str">
        <f>HYPERLINK("http://141.218.60.56/~jnz1568/getInfo.php?workbook=16_08.xlsx&amp;sheet=U0&amp;row=1010&amp;col=7&amp;number=0.22&amp;sourceID=14","0.22")</f>
        <v>0.22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HYPERLINK("http://141.218.60.56/~jnz1568/getInfo.php?workbook=16_08.xlsx&amp;sheet=U0&amp;row=1011&amp;col=6&amp;number=3.7&amp;sourceID=14","3.7")</f>
        <v>3.7</v>
      </c>
      <c r="G1011" s="4" t="str">
        <f>HYPERLINK("http://141.218.60.56/~jnz1568/getInfo.php?workbook=16_08.xlsx&amp;sheet=U0&amp;row=1011&amp;col=7&amp;number=0.22&amp;sourceID=14","0.22")</f>
        <v>0.22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HYPERLINK("http://141.218.60.56/~jnz1568/getInfo.php?workbook=16_08.xlsx&amp;sheet=U0&amp;row=1012&amp;col=6&amp;number=3.8&amp;sourceID=14","3.8")</f>
        <v>3.8</v>
      </c>
      <c r="G1012" s="4" t="str">
        <f>HYPERLINK("http://141.218.60.56/~jnz1568/getInfo.php?workbook=16_08.xlsx&amp;sheet=U0&amp;row=1012&amp;col=7&amp;number=0.22&amp;sourceID=14","0.22")</f>
        <v>0.22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HYPERLINK("http://141.218.60.56/~jnz1568/getInfo.php?workbook=16_08.xlsx&amp;sheet=U0&amp;row=1013&amp;col=6&amp;number=3.9&amp;sourceID=14","3.9")</f>
        <v>3.9</v>
      </c>
      <c r="G1013" s="4" t="str">
        <f>HYPERLINK("http://141.218.60.56/~jnz1568/getInfo.php?workbook=16_08.xlsx&amp;sheet=U0&amp;row=1013&amp;col=7&amp;number=0.22&amp;sourceID=14","0.22")</f>
        <v>0.22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HYPERLINK("http://141.218.60.56/~jnz1568/getInfo.php?workbook=16_08.xlsx&amp;sheet=U0&amp;row=1014&amp;col=6&amp;number=4&amp;sourceID=14","4")</f>
        <v>4</v>
      </c>
      <c r="G1014" s="4" t="str">
        <f>HYPERLINK("http://141.218.60.56/~jnz1568/getInfo.php?workbook=16_08.xlsx&amp;sheet=U0&amp;row=1014&amp;col=7&amp;number=0.22&amp;sourceID=14","0.22")</f>
        <v>0.22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HYPERLINK("http://141.218.60.56/~jnz1568/getInfo.php?workbook=16_08.xlsx&amp;sheet=U0&amp;row=1015&amp;col=6&amp;number=4.1&amp;sourceID=14","4.1")</f>
        <v>4.1</v>
      </c>
      <c r="G1015" s="4" t="str">
        <f>HYPERLINK("http://141.218.60.56/~jnz1568/getInfo.php?workbook=16_08.xlsx&amp;sheet=U0&amp;row=1015&amp;col=7&amp;number=0.22&amp;sourceID=14","0.22")</f>
        <v>0.22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HYPERLINK("http://141.218.60.56/~jnz1568/getInfo.php?workbook=16_08.xlsx&amp;sheet=U0&amp;row=1016&amp;col=6&amp;number=4.2&amp;sourceID=14","4.2")</f>
        <v>4.2</v>
      </c>
      <c r="G1016" s="4" t="str">
        <f>HYPERLINK("http://141.218.60.56/~jnz1568/getInfo.php?workbook=16_08.xlsx&amp;sheet=U0&amp;row=1016&amp;col=7&amp;number=0.22&amp;sourceID=14","0.22")</f>
        <v>0.22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HYPERLINK("http://141.218.60.56/~jnz1568/getInfo.php?workbook=16_08.xlsx&amp;sheet=U0&amp;row=1017&amp;col=6&amp;number=4.3&amp;sourceID=14","4.3")</f>
        <v>4.3</v>
      </c>
      <c r="G1017" s="4" t="str">
        <f>HYPERLINK("http://141.218.60.56/~jnz1568/getInfo.php?workbook=16_08.xlsx&amp;sheet=U0&amp;row=1017&amp;col=7&amp;number=0.22&amp;sourceID=14","0.22")</f>
        <v>0.22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HYPERLINK("http://141.218.60.56/~jnz1568/getInfo.php?workbook=16_08.xlsx&amp;sheet=U0&amp;row=1018&amp;col=6&amp;number=4.4&amp;sourceID=14","4.4")</f>
        <v>4.4</v>
      </c>
      <c r="G1018" s="4" t="str">
        <f>HYPERLINK("http://141.218.60.56/~jnz1568/getInfo.php?workbook=16_08.xlsx&amp;sheet=U0&amp;row=1018&amp;col=7&amp;number=0.221&amp;sourceID=14","0.221")</f>
        <v>0.221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HYPERLINK("http://141.218.60.56/~jnz1568/getInfo.php?workbook=16_08.xlsx&amp;sheet=U0&amp;row=1019&amp;col=6&amp;number=4.5&amp;sourceID=14","4.5")</f>
        <v>4.5</v>
      </c>
      <c r="G1019" s="4" t="str">
        <f>HYPERLINK("http://141.218.60.56/~jnz1568/getInfo.php?workbook=16_08.xlsx&amp;sheet=U0&amp;row=1019&amp;col=7&amp;number=0.221&amp;sourceID=14","0.221")</f>
        <v>0.221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HYPERLINK("http://141.218.60.56/~jnz1568/getInfo.php?workbook=16_08.xlsx&amp;sheet=U0&amp;row=1020&amp;col=6&amp;number=4.6&amp;sourceID=14","4.6")</f>
        <v>4.6</v>
      </c>
      <c r="G1020" s="4" t="str">
        <f>HYPERLINK("http://141.218.60.56/~jnz1568/getInfo.php?workbook=16_08.xlsx&amp;sheet=U0&amp;row=1020&amp;col=7&amp;number=0.221&amp;sourceID=14","0.221")</f>
        <v>0.221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HYPERLINK("http://141.218.60.56/~jnz1568/getInfo.php?workbook=16_08.xlsx&amp;sheet=U0&amp;row=1021&amp;col=6&amp;number=4.7&amp;sourceID=14","4.7")</f>
        <v>4.7</v>
      </c>
      <c r="G1021" s="4" t="str">
        <f>HYPERLINK("http://141.218.60.56/~jnz1568/getInfo.php?workbook=16_08.xlsx&amp;sheet=U0&amp;row=1021&amp;col=7&amp;number=0.221&amp;sourceID=14","0.221")</f>
        <v>0.221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HYPERLINK("http://141.218.60.56/~jnz1568/getInfo.php?workbook=16_08.xlsx&amp;sheet=U0&amp;row=1022&amp;col=6&amp;number=4.8&amp;sourceID=14","4.8")</f>
        <v>4.8</v>
      </c>
      <c r="G1022" s="4" t="str">
        <f>HYPERLINK("http://141.218.60.56/~jnz1568/getInfo.php?workbook=16_08.xlsx&amp;sheet=U0&amp;row=1022&amp;col=7&amp;number=0.221&amp;sourceID=14","0.221")</f>
        <v>0.221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HYPERLINK("http://141.218.60.56/~jnz1568/getInfo.php?workbook=16_08.xlsx&amp;sheet=U0&amp;row=1023&amp;col=6&amp;number=4.9&amp;sourceID=14","4.9")</f>
        <v>4.9</v>
      </c>
      <c r="G1023" s="4" t="str">
        <f>HYPERLINK("http://141.218.60.56/~jnz1568/getInfo.php?workbook=16_08.xlsx&amp;sheet=U0&amp;row=1023&amp;col=7&amp;number=0.221&amp;sourceID=14","0.221")</f>
        <v>0.221</v>
      </c>
    </row>
    <row r="1024" spans="1:7">
      <c r="A1024" s="3">
        <v>16</v>
      </c>
      <c r="B1024" s="3">
        <v>8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HYPERLINK("http://141.218.60.56/~jnz1568/getInfo.php?workbook=16_08.xlsx&amp;sheet=U0&amp;row=1024&amp;col=6&amp;number=3&amp;sourceID=14","3")</f>
        <v>3</v>
      </c>
      <c r="G1024" s="4" t="str">
        <f>HYPERLINK("http://141.218.60.56/~jnz1568/getInfo.php?workbook=16_08.xlsx&amp;sheet=U0&amp;row=1024&amp;col=7&amp;number=0.00371&amp;sourceID=14","0.00371")</f>
        <v>0.00371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HYPERLINK("http://141.218.60.56/~jnz1568/getInfo.php?workbook=16_08.xlsx&amp;sheet=U0&amp;row=1025&amp;col=6&amp;number=3.1&amp;sourceID=14","3.1")</f>
        <v>3.1</v>
      </c>
      <c r="G1025" s="4" t="str">
        <f>HYPERLINK("http://141.218.60.56/~jnz1568/getInfo.php?workbook=16_08.xlsx&amp;sheet=U0&amp;row=1025&amp;col=7&amp;number=0.00371&amp;sourceID=14","0.00371")</f>
        <v>0.00371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HYPERLINK("http://141.218.60.56/~jnz1568/getInfo.php?workbook=16_08.xlsx&amp;sheet=U0&amp;row=1026&amp;col=6&amp;number=3.2&amp;sourceID=14","3.2")</f>
        <v>3.2</v>
      </c>
      <c r="G1026" s="4" t="str">
        <f>HYPERLINK("http://141.218.60.56/~jnz1568/getInfo.php?workbook=16_08.xlsx&amp;sheet=U0&amp;row=1026&amp;col=7&amp;number=0.00371&amp;sourceID=14","0.00371")</f>
        <v>0.00371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HYPERLINK("http://141.218.60.56/~jnz1568/getInfo.php?workbook=16_08.xlsx&amp;sheet=U0&amp;row=1027&amp;col=6&amp;number=3.3&amp;sourceID=14","3.3")</f>
        <v>3.3</v>
      </c>
      <c r="G1027" s="4" t="str">
        <f>HYPERLINK("http://141.218.60.56/~jnz1568/getInfo.php?workbook=16_08.xlsx&amp;sheet=U0&amp;row=1027&amp;col=7&amp;number=0.00371&amp;sourceID=14","0.00371")</f>
        <v>0.00371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HYPERLINK("http://141.218.60.56/~jnz1568/getInfo.php?workbook=16_08.xlsx&amp;sheet=U0&amp;row=1028&amp;col=6&amp;number=3.4&amp;sourceID=14","3.4")</f>
        <v>3.4</v>
      </c>
      <c r="G1028" s="4" t="str">
        <f>HYPERLINK("http://141.218.60.56/~jnz1568/getInfo.php?workbook=16_08.xlsx&amp;sheet=U0&amp;row=1028&amp;col=7&amp;number=0.00371&amp;sourceID=14","0.00371")</f>
        <v>0.00371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HYPERLINK("http://141.218.60.56/~jnz1568/getInfo.php?workbook=16_08.xlsx&amp;sheet=U0&amp;row=1029&amp;col=6&amp;number=3.5&amp;sourceID=14","3.5")</f>
        <v>3.5</v>
      </c>
      <c r="G1029" s="4" t="str">
        <f>HYPERLINK("http://141.218.60.56/~jnz1568/getInfo.php?workbook=16_08.xlsx&amp;sheet=U0&amp;row=1029&amp;col=7&amp;number=0.00371&amp;sourceID=14","0.00371")</f>
        <v>0.00371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HYPERLINK("http://141.218.60.56/~jnz1568/getInfo.php?workbook=16_08.xlsx&amp;sheet=U0&amp;row=1030&amp;col=6&amp;number=3.6&amp;sourceID=14","3.6")</f>
        <v>3.6</v>
      </c>
      <c r="G1030" s="4" t="str">
        <f>HYPERLINK("http://141.218.60.56/~jnz1568/getInfo.php?workbook=16_08.xlsx&amp;sheet=U0&amp;row=1030&amp;col=7&amp;number=0.00371&amp;sourceID=14","0.00371")</f>
        <v>0.00371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HYPERLINK("http://141.218.60.56/~jnz1568/getInfo.php?workbook=16_08.xlsx&amp;sheet=U0&amp;row=1031&amp;col=6&amp;number=3.7&amp;sourceID=14","3.7")</f>
        <v>3.7</v>
      </c>
      <c r="G1031" s="4" t="str">
        <f>HYPERLINK("http://141.218.60.56/~jnz1568/getInfo.php?workbook=16_08.xlsx&amp;sheet=U0&amp;row=1031&amp;col=7&amp;number=0.00371&amp;sourceID=14","0.00371")</f>
        <v>0.00371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HYPERLINK("http://141.218.60.56/~jnz1568/getInfo.php?workbook=16_08.xlsx&amp;sheet=U0&amp;row=1032&amp;col=6&amp;number=3.8&amp;sourceID=14","3.8")</f>
        <v>3.8</v>
      </c>
      <c r="G1032" s="4" t="str">
        <f>HYPERLINK("http://141.218.60.56/~jnz1568/getInfo.php?workbook=16_08.xlsx&amp;sheet=U0&amp;row=1032&amp;col=7&amp;number=0.00371&amp;sourceID=14","0.00371")</f>
        <v>0.00371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HYPERLINK("http://141.218.60.56/~jnz1568/getInfo.php?workbook=16_08.xlsx&amp;sheet=U0&amp;row=1033&amp;col=6&amp;number=3.9&amp;sourceID=14","3.9")</f>
        <v>3.9</v>
      </c>
      <c r="G1033" s="4" t="str">
        <f>HYPERLINK("http://141.218.60.56/~jnz1568/getInfo.php?workbook=16_08.xlsx&amp;sheet=U0&amp;row=1033&amp;col=7&amp;number=0.00371&amp;sourceID=14","0.00371")</f>
        <v>0.00371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HYPERLINK("http://141.218.60.56/~jnz1568/getInfo.php?workbook=16_08.xlsx&amp;sheet=U0&amp;row=1034&amp;col=6&amp;number=4&amp;sourceID=14","4")</f>
        <v>4</v>
      </c>
      <c r="G1034" s="4" t="str">
        <f>HYPERLINK("http://141.218.60.56/~jnz1568/getInfo.php?workbook=16_08.xlsx&amp;sheet=U0&amp;row=1034&amp;col=7&amp;number=0.00371&amp;sourceID=14","0.00371")</f>
        <v>0.00371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HYPERLINK("http://141.218.60.56/~jnz1568/getInfo.php?workbook=16_08.xlsx&amp;sheet=U0&amp;row=1035&amp;col=6&amp;number=4.1&amp;sourceID=14","4.1")</f>
        <v>4.1</v>
      </c>
      <c r="G1035" s="4" t="str">
        <f>HYPERLINK("http://141.218.60.56/~jnz1568/getInfo.php?workbook=16_08.xlsx&amp;sheet=U0&amp;row=1035&amp;col=7&amp;number=0.00371&amp;sourceID=14","0.00371")</f>
        <v>0.00371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HYPERLINK("http://141.218.60.56/~jnz1568/getInfo.php?workbook=16_08.xlsx&amp;sheet=U0&amp;row=1036&amp;col=6&amp;number=4.2&amp;sourceID=14","4.2")</f>
        <v>4.2</v>
      </c>
      <c r="G1036" s="4" t="str">
        <f>HYPERLINK("http://141.218.60.56/~jnz1568/getInfo.php?workbook=16_08.xlsx&amp;sheet=U0&amp;row=1036&amp;col=7&amp;number=0.0037&amp;sourceID=14","0.0037")</f>
        <v>0.0037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HYPERLINK("http://141.218.60.56/~jnz1568/getInfo.php?workbook=16_08.xlsx&amp;sheet=U0&amp;row=1037&amp;col=6&amp;number=4.3&amp;sourceID=14","4.3")</f>
        <v>4.3</v>
      </c>
      <c r="G1037" s="4" t="str">
        <f>HYPERLINK("http://141.218.60.56/~jnz1568/getInfo.php?workbook=16_08.xlsx&amp;sheet=U0&amp;row=1037&amp;col=7&amp;number=0.0037&amp;sourceID=14","0.0037")</f>
        <v>0.0037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HYPERLINK("http://141.218.60.56/~jnz1568/getInfo.php?workbook=16_08.xlsx&amp;sheet=U0&amp;row=1038&amp;col=6&amp;number=4.4&amp;sourceID=14","4.4")</f>
        <v>4.4</v>
      </c>
      <c r="G1038" s="4" t="str">
        <f>HYPERLINK("http://141.218.60.56/~jnz1568/getInfo.php?workbook=16_08.xlsx&amp;sheet=U0&amp;row=1038&amp;col=7&amp;number=0.0037&amp;sourceID=14","0.0037")</f>
        <v>0.0037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HYPERLINK("http://141.218.60.56/~jnz1568/getInfo.php?workbook=16_08.xlsx&amp;sheet=U0&amp;row=1039&amp;col=6&amp;number=4.5&amp;sourceID=14","4.5")</f>
        <v>4.5</v>
      </c>
      <c r="G1039" s="4" t="str">
        <f>HYPERLINK("http://141.218.60.56/~jnz1568/getInfo.php?workbook=16_08.xlsx&amp;sheet=U0&amp;row=1039&amp;col=7&amp;number=0.0037&amp;sourceID=14","0.0037")</f>
        <v>0.0037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HYPERLINK("http://141.218.60.56/~jnz1568/getInfo.php?workbook=16_08.xlsx&amp;sheet=U0&amp;row=1040&amp;col=6&amp;number=4.6&amp;sourceID=14","4.6")</f>
        <v>4.6</v>
      </c>
      <c r="G1040" s="4" t="str">
        <f>HYPERLINK("http://141.218.60.56/~jnz1568/getInfo.php?workbook=16_08.xlsx&amp;sheet=U0&amp;row=1040&amp;col=7&amp;number=0.00369&amp;sourceID=14","0.00369")</f>
        <v>0.00369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HYPERLINK("http://141.218.60.56/~jnz1568/getInfo.php?workbook=16_08.xlsx&amp;sheet=U0&amp;row=1041&amp;col=6&amp;number=4.7&amp;sourceID=14","4.7")</f>
        <v>4.7</v>
      </c>
      <c r="G1041" s="4" t="str">
        <f>HYPERLINK("http://141.218.60.56/~jnz1568/getInfo.php?workbook=16_08.xlsx&amp;sheet=U0&amp;row=1041&amp;col=7&amp;number=0.00368&amp;sourceID=14","0.00368")</f>
        <v>0.00368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HYPERLINK("http://141.218.60.56/~jnz1568/getInfo.php?workbook=16_08.xlsx&amp;sheet=U0&amp;row=1042&amp;col=6&amp;number=4.8&amp;sourceID=14","4.8")</f>
        <v>4.8</v>
      </c>
      <c r="G1042" s="4" t="str">
        <f>HYPERLINK("http://141.218.60.56/~jnz1568/getInfo.php?workbook=16_08.xlsx&amp;sheet=U0&amp;row=1042&amp;col=7&amp;number=0.00368&amp;sourceID=14","0.00368")</f>
        <v>0.00368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HYPERLINK("http://141.218.60.56/~jnz1568/getInfo.php?workbook=16_08.xlsx&amp;sheet=U0&amp;row=1043&amp;col=6&amp;number=4.9&amp;sourceID=14","4.9")</f>
        <v>4.9</v>
      </c>
      <c r="G1043" s="4" t="str">
        <f>HYPERLINK("http://141.218.60.56/~jnz1568/getInfo.php?workbook=16_08.xlsx&amp;sheet=U0&amp;row=1043&amp;col=7&amp;number=0.00367&amp;sourceID=14","0.00367")</f>
        <v>0.00367</v>
      </c>
    </row>
    <row r="1044" spans="1:7">
      <c r="A1044" s="3">
        <v>16</v>
      </c>
      <c r="B1044" s="3">
        <v>8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HYPERLINK("http://141.218.60.56/~jnz1568/getInfo.php?workbook=16_08.xlsx&amp;sheet=U0&amp;row=1044&amp;col=6&amp;number=3&amp;sourceID=14","3")</f>
        <v>3</v>
      </c>
      <c r="G1044" s="4" t="str">
        <f>HYPERLINK("http://141.218.60.56/~jnz1568/getInfo.php?workbook=16_08.xlsx&amp;sheet=U0&amp;row=1044&amp;col=7&amp;number=0.00056&amp;sourceID=14","0.00056")</f>
        <v>0.00056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HYPERLINK("http://141.218.60.56/~jnz1568/getInfo.php?workbook=16_08.xlsx&amp;sheet=U0&amp;row=1045&amp;col=6&amp;number=3.1&amp;sourceID=14","3.1")</f>
        <v>3.1</v>
      </c>
      <c r="G1045" s="4" t="str">
        <f>HYPERLINK("http://141.218.60.56/~jnz1568/getInfo.php?workbook=16_08.xlsx&amp;sheet=U0&amp;row=1045&amp;col=7&amp;number=0.00056&amp;sourceID=14","0.00056")</f>
        <v>0.00056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HYPERLINK("http://141.218.60.56/~jnz1568/getInfo.php?workbook=16_08.xlsx&amp;sheet=U0&amp;row=1046&amp;col=6&amp;number=3.2&amp;sourceID=14","3.2")</f>
        <v>3.2</v>
      </c>
      <c r="G1046" s="4" t="str">
        <f>HYPERLINK("http://141.218.60.56/~jnz1568/getInfo.php?workbook=16_08.xlsx&amp;sheet=U0&amp;row=1046&amp;col=7&amp;number=0.00056&amp;sourceID=14","0.00056")</f>
        <v>0.00056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HYPERLINK("http://141.218.60.56/~jnz1568/getInfo.php?workbook=16_08.xlsx&amp;sheet=U0&amp;row=1047&amp;col=6&amp;number=3.3&amp;sourceID=14","3.3")</f>
        <v>3.3</v>
      </c>
      <c r="G1047" s="4" t="str">
        <f>HYPERLINK("http://141.218.60.56/~jnz1568/getInfo.php?workbook=16_08.xlsx&amp;sheet=U0&amp;row=1047&amp;col=7&amp;number=0.00056&amp;sourceID=14","0.00056")</f>
        <v>0.00056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HYPERLINK("http://141.218.60.56/~jnz1568/getInfo.php?workbook=16_08.xlsx&amp;sheet=U0&amp;row=1048&amp;col=6&amp;number=3.4&amp;sourceID=14","3.4")</f>
        <v>3.4</v>
      </c>
      <c r="G1048" s="4" t="str">
        <f>HYPERLINK("http://141.218.60.56/~jnz1568/getInfo.php?workbook=16_08.xlsx&amp;sheet=U0&amp;row=1048&amp;col=7&amp;number=0.00056&amp;sourceID=14","0.00056")</f>
        <v>0.00056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HYPERLINK("http://141.218.60.56/~jnz1568/getInfo.php?workbook=16_08.xlsx&amp;sheet=U0&amp;row=1049&amp;col=6&amp;number=3.5&amp;sourceID=14","3.5")</f>
        <v>3.5</v>
      </c>
      <c r="G1049" s="4" t="str">
        <f>HYPERLINK("http://141.218.60.56/~jnz1568/getInfo.php?workbook=16_08.xlsx&amp;sheet=U0&amp;row=1049&amp;col=7&amp;number=0.00056&amp;sourceID=14","0.00056")</f>
        <v>0.00056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HYPERLINK("http://141.218.60.56/~jnz1568/getInfo.php?workbook=16_08.xlsx&amp;sheet=U0&amp;row=1050&amp;col=6&amp;number=3.6&amp;sourceID=14","3.6")</f>
        <v>3.6</v>
      </c>
      <c r="G1050" s="4" t="str">
        <f>HYPERLINK("http://141.218.60.56/~jnz1568/getInfo.php?workbook=16_08.xlsx&amp;sheet=U0&amp;row=1050&amp;col=7&amp;number=0.00056&amp;sourceID=14","0.00056")</f>
        <v>0.00056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HYPERLINK("http://141.218.60.56/~jnz1568/getInfo.php?workbook=16_08.xlsx&amp;sheet=U0&amp;row=1051&amp;col=6&amp;number=3.7&amp;sourceID=14","3.7")</f>
        <v>3.7</v>
      </c>
      <c r="G1051" s="4" t="str">
        <f>HYPERLINK("http://141.218.60.56/~jnz1568/getInfo.php?workbook=16_08.xlsx&amp;sheet=U0&amp;row=1051&amp;col=7&amp;number=0.00056&amp;sourceID=14","0.00056")</f>
        <v>0.00056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HYPERLINK("http://141.218.60.56/~jnz1568/getInfo.php?workbook=16_08.xlsx&amp;sheet=U0&amp;row=1052&amp;col=6&amp;number=3.8&amp;sourceID=14","3.8")</f>
        <v>3.8</v>
      </c>
      <c r="G1052" s="4" t="str">
        <f>HYPERLINK("http://141.218.60.56/~jnz1568/getInfo.php?workbook=16_08.xlsx&amp;sheet=U0&amp;row=1052&amp;col=7&amp;number=0.00056&amp;sourceID=14","0.00056")</f>
        <v>0.00056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HYPERLINK("http://141.218.60.56/~jnz1568/getInfo.php?workbook=16_08.xlsx&amp;sheet=U0&amp;row=1053&amp;col=6&amp;number=3.9&amp;sourceID=14","3.9")</f>
        <v>3.9</v>
      </c>
      <c r="G1053" s="4" t="str">
        <f>HYPERLINK("http://141.218.60.56/~jnz1568/getInfo.php?workbook=16_08.xlsx&amp;sheet=U0&amp;row=1053&amp;col=7&amp;number=0.000559&amp;sourceID=14","0.000559")</f>
        <v>0.000559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HYPERLINK("http://141.218.60.56/~jnz1568/getInfo.php?workbook=16_08.xlsx&amp;sheet=U0&amp;row=1054&amp;col=6&amp;number=4&amp;sourceID=14","4")</f>
        <v>4</v>
      </c>
      <c r="G1054" s="4" t="str">
        <f>HYPERLINK("http://141.218.60.56/~jnz1568/getInfo.php?workbook=16_08.xlsx&amp;sheet=U0&amp;row=1054&amp;col=7&amp;number=0.000559&amp;sourceID=14","0.000559")</f>
        <v>0.000559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HYPERLINK("http://141.218.60.56/~jnz1568/getInfo.php?workbook=16_08.xlsx&amp;sheet=U0&amp;row=1055&amp;col=6&amp;number=4.1&amp;sourceID=14","4.1")</f>
        <v>4.1</v>
      </c>
      <c r="G1055" s="4" t="str">
        <f>HYPERLINK("http://141.218.60.56/~jnz1568/getInfo.php?workbook=16_08.xlsx&amp;sheet=U0&amp;row=1055&amp;col=7&amp;number=0.000559&amp;sourceID=14","0.000559")</f>
        <v>0.000559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HYPERLINK("http://141.218.60.56/~jnz1568/getInfo.php?workbook=16_08.xlsx&amp;sheet=U0&amp;row=1056&amp;col=6&amp;number=4.2&amp;sourceID=14","4.2")</f>
        <v>4.2</v>
      </c>
      <c r="G1056" s="4" t="str">
        <f>HYPERLINK("http://141.218.60.56/~jnz1568/getInfo.php?workbook=16_08.xlsx&amp;sheet=U0&amp;row=1056&amp;col=7&amp;number=0.000559&amp;sourceID=14","0.000559")</f>
        <v>0.000559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HYPERLINK("http://141.218.60.56/~jnz1568/getInfo.php?workbook=16_08.xlsx&amp;sheet=U0&amp;row=1057&amp;col=6&amp;number=4.3&amp;sourceID=14","4.3")</f>
        <v>4.3</v>
      </c>
      <c r="G1057" s="4" t="str">
        <f>HYPERLINK("http://141.218.60.56/~jnz1568/getInfo.php?workbook=16_08.xlsx&amp;sheet=U0&amp;row=1057&amp;col=7&amp;number=0.000558&amp;sourceID=14","0.000558")</f>
        <v>0.000558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HYPERLINK("http://141.218.60.56/~jnz1568/getInfo.php?workbook=16_08.xlsx&amp;sheet=U0&amp;row=1058&amp;col=6&amp;number=4.4&amp;sourceID=14","4.4")</f>
        <v>4.4</v>
      </c>
      <c r="G1058" s="4" t="str">
        <f>HYPERLINK("http://141.218.60.56/~jnz1568/getInfo.php?workbook=16_08.xlsx&amp;sheet=U0&amp;row=1058&amp;col=7&amp;number=0.000558&amp;sourceID=14","0.000558")</f>
        <v>0.000558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HYPERLINK("http://141.218.60.56/~jnz1568/getInfo.php?workbook=16_08.xlsx&amp;sheet=U0&amp;row=1059&amp;col=6&amp;number=4.5&amp;sourceID=14","4.5")</f>
        <v>4.5</v>
      </c>
      <c r="G1059" s="4" t="str">
        <f>HYPERLINK("http://141.218.60.56/~jnz1568/getInfo.php?workbook=16_08.xlsx&amp;sheet=U0&amp;row=1059&amp;col=7&amp;number=0.000557&amp;sourceID=14","0.000557")</f>
        <v>0.000557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HYPERLINK("http://141.218.60.56/~jnz1568/getInfo.php?workbook=16_08.xlsx&amp;sheet=U0&amp;row=1060&amp;col=6&amp;number=4.6&amp;sourceID=14","4.6")</f>
        <v>4.6</v>
      </c>
      <c r="G1060" s="4" t="str">
        <f>HYPERLINK("http://141.218.60.56/~jnz1568/getInfo.php?workbook=16_08.xlsx&amp;sheet=U0&amp;row=1060&amp;col=7&amp;number=0.000557&amp;sourceID=14","0.000557")</f>
        <v>0.000557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HYPERLINK("http://141.218.60.56/~jnz1568/getInfo.php?workbook=16_08.xlsx&amp;sheet=U0&amp;row=1061&amp;col=6&amp;number=4.7&amp;sourceID=14","4.7")</f>
        <v>4.7</v>
      </c>
      <c r="G1061" s="4" t="str">
        <f>HYPERLINK("http://141.218.60.56/~jnz1568/getInfo.php?workbook=16_08.xlsx&amp;sheet=U0&amp;row=1061&amp;col=7&amp;number=0.000556&amp;sourceID=14","0.000556")</f>
        <v>0.000556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HYPERLINK("http://141.218.60.56/~jnz1568/getInfo.php?workbook=16_08.xlsx&amp;sheet=U0&amp;row=1062&amp;col=6&amp;number=4.8&amp;sourceID=14","4.8")</f>
        <v>4.8</v>
      </c>
      <c r="G1062" s="4" t="str">
        <f>HYPERLINK("http://141.218.60.56/~jnz1568/getInfo.php?workbook=16_08.xlsx&amp;sheet=U0&amp;row=1062&amp;col=7&amp;number=0.000555&amp;sourceID=14","0.000555")</f>
        <v>0.000555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HYPERLINK("http://141.218.60.56/~jnz1568/getInfo.php?workbook=16_08.xlsx&amp;sheet=U0&amp;row=1063&amp;col=6&amp;number=4.9&amp;sourceID=14","4.9")</f>
        <v>4.9</v>
      </c>
      <c r="G1063" s="4" t="str">
        <f>HYPERLINK("http://141.218.60.56/~jnz1568/getInfo.php?workbook=16_08.xlsx&amp;sheet=U0&amp;row=1063&amp;col=7&amp;number=0.000553&amp;sourceID=14","0.000553")</f>
        <v>0.000553</v>
      </c>
    </row>
    <row r="1064" spans="1:7">
      <c r="A1064" s="3">
        <v>16</v>
      </c>
      <c r="B1064" s="3">
        <v>8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HYPERLINK("http://141.218.60.56/~jnz1568/getInfo.php?workbook=16_08.xlsx&amp;sheet=U0&amp;row=1064&amp;col=6&amp;number=3&amp;sourceID=14","3")</f>
        <v>3</v>
      </c>
      <c r="G1064" s="4" t="str">
        <f>HYPERLINK("http://141.218.60.56/~jnz1568/getInfo.php?workbook=16_08.xlsx&amp;sheet=U0&amp;row=1064&amp;col=7&amp;number=0.00983&amp;sourceID=14","0.00983")</f>
        <v>0.00983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HYPERLINK("http://141.218.60.56/~jnz1568/getInfo.php?workbook=16_08.xlsx&amp;sheet=U0&amp;row=1065&amp;col=6&amp;number=3.1&amp;sourceID=14","3.1")</f>
        <v>3.1</v>
      </c>
      <c r="G1065" s="4" t="str">
        <f>HYPERLINK("http://141.218.60.56/~jnz1568/getInfo.php?workbook=16_08.xlsx&amp;sheet=U0&amp;row=1065&amp;col=7&amp;number=0.00983&amp;sourceID=14","0.00983")</f>
        <v>0.00983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HYPERLINK("http://141.218.60.56/~jnz1568/getInfo.php?workbook=16_08.xlsx&amp;sheet=U0&amp;row=1066&amp;col=6&amp;number=3.2&amp;sourceID=14","3.2")</f>
        <v>3.2</v>
      </c>
      <c r="G1066" s="4" t="str">
        <f>HYPERLINK("http://141.218.60.56/~jnz1568/getInfo.php?workbook=16_08.xlsx&amp;sheet=U0&amp;row=1066&amp;col=7&amp;number=0.00983&amp;sourceID=14","0.00983")</f>
        <v>0.00983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HYPERLINK("http://141.218.60.56/~jnz1568/getInfo.php?workbook=16_08.xlsx&amp;sheet=U0&amp;row=1067&amp;col=6&amp;number=3.3&amp;sourceID=14","3.3")</f>
        <v>3.3</v>
      </c>
      <c r="G1067" s="4" t="str">
        <f>HYPERLINK("http://141.218.60.56/~jnz1568/getInfo.php?workbook=16_08.xlsx&amp;sheet=U0&amp;row=1067&amp;col=7&amp;number=0.00983&amp;sourceID=14","0.00983")</f>
        <v>0.00983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HYPERLINK("http://141.218.60.56/~jnz1568/getInfo.php?workbook=16_08.xlsx&amp;sheet=U0&amp;row=1068&amp;col=6&amp;number=3.4&amp;sourceID=14","3.4")</f>
        <v>3.4</v>
      </c>
      <c r="G1068" s="4" t="str">
        <f>HYPERLINK("http://141.218.60.56/~jnz1568/getInfo.php?workbook=16_08.xlsx&amp;sheet=U0&amp;row=1068&amp;col=7&amp;number=0.00983&amp;sourceID=14","0.00983")</f>
        <v>0.00983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HYPERLINK("http://141.218.60.56/~jnz1568/getInfo.php?workbook=16_08.xlsx&amp;sheet=U0&amp;row=1069&amp;col=6&amp;number=3.5&amp;sourceID=14","3.5")</f>
        <v>3.5</v>
      </c>
      <c r="G1069" s="4" t="str">
        <f>HYPERLINK("http://141.218.60.56/~jnz1568/getInfo.php?workbook=16_08.xlsx&amp;sheet=U0&amp;row=1069&amp;col=7&amp;number=0.00983&amp;sourceID=14","0.00983")</f>
        <v>0.00983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HYPERLINK("http://141.218.60.56/~jnz1568/getInfo.php?workbook=16_08.xlsx&amp;sheet=U0&amp;row=1070&amp;col=6&amp;number=3.6&amp;sourceID=14","3.6")</f>
        <v>3.6</v>
      </c>
      <c r="G1070" s="4" t="str">
        <f>HYPERLINK("http://141.218.60.56/~jnz1568/getInfo.php?workbook=16_08.xlsx&amp;sheet=U0&amp;row=1070&amp;col=7&amp;number=0.00983&amp;sourceID=14","0.00983")</f>
        <v>0.00983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HYPERLINK("http://141.218.60.56/~jnz1568/getInfo.php?workbook=16_08.xlsx&amp;sheet=U0&amp;row=1071&amp;col=6&amp;number=3.7&amp;sourceID=14","3.7")</f>
        <v>3.7</v>
      </c>
      <c r="G1071" s="4" t="str">
        <f>HYPERLINK("http://141.218.60.56/~jnz1568/getInfo.php?workbook=16_08.xlsx&amp;sheet=U0&amp;row=1071&amp;col=7&amp;number=0.00983&amp;sourceID=14","0.00983")</f>
        <v>0.00983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HYPERLINK("http://141.218.60.56/~jnz1568/getInfo.php?workbook=16_08.xlsx&amp;sheet=U0&amp;row=1072&amp;col=6&amp;number=3.8&amp;sourceID=14","3.8")</f>
        <v>3.8</v>
      </c>
      <c r="G1072" s="4" t="str">
        <f>HYPERLINK("http://141.218.60.56/~jnz1568/getInfo.php?workbook=16_08.xlsx&amp;sheet=U0&amp;row=1072&amp;col=7&amp;number=0.00982&amp;sourceID=14","0.00982")</f>
        <v>0.00982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HYPERLINK("http://141.218.60.56/~jnz1568/getInfo.php?workbook=16_08.xlsx&amp;sheet=U0&amp;row=1073&amp;col=6&amp;number=3.9&amp;sourceID=14","3.9")</f>
        <v>3.9</v>
      </c>
      <c r="G1073" s="4" t="str">
        <f>HYPERLINK("http://141.218.60.56/~jnz1568/getInfo.php?workbook=16_08.xlsx&amp;sheet=U0&amp;row=1073&amp;col=7&amp;number=0.00982&amp;sourceID=14","0.00982")</f>
        <v>0.00982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HYPERLINK("http://141.218.60.56/~jnz1568/getInfo.php?workbook=16_08.xlsx&amp;sheet=U0&amp;row=1074&amp;col=6&amp;number=4&amp;sourceID=14","4")</f>
        <v>4</v>
      </c>
      <c r="G1074" s="4" t="str">
        <f>HYPERLINK("http://141.218.60.56/~jnz1568/getInfo.php?workbook=16_08.xlsx&amp;sheet=U0&amp;row=1074&amp;col=7&amp;number=0.00982&amp;sourceID=14","0.00982")</f>
        <v>0.00982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HYPERLINK("http://141.218.60.56/~jnz1568/getInfo.php?workbook=16_08.xlsx&amp;sheet=U0&amp;row=1075&amp;col=6&amp;number=4.1&amp;sourceID=14","4.1")</f>
        <v>4.1</v>
      </c>
      <c r="G1075" s="4" t="str">
        <f>HYPERLINK("http://141.218.60.56/~jnz1568/getInfo.php?workbook=16_08.xlsx&amp;sheet=U0&amp;row=1075&amp;col=7&amp;number=0.00981&amp;sourceID=14","0.00981")</f>
        <v>0.00981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HYPERLINK("http://141.218.60.56/~jnz1568/getInfo.php?workbook=16_08.xlsx&amp;sheet=U0&amp;row=1076&amp;col=6&amp;number=4.2&amp;sourceID=14","4.2")</f>
        <v>4.2</v>
      </c>
      <c r="G1076" s="4" t="str">
        <f>HYPERLINK("http://141.218.60.56/~jnz1568/getInfo.php?workbook=16_08.xlsx&amp;sheet=U0&amp;row=1076&amp;col=7&amp;number=0.00981&amp;sourceID=14","0.00981")</f>
        <v>0.00981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HYPERLINK("http://141.218.60.56/~jnz1568/getInfo.php?workbook=16_08.xlsx&amp;sheet=U0&amp;row=1077&amp;col=6&amp;number=4.3&amp;sourceID=14","4.3")</f>
        <v>4.3</v>
      </c>
      <c r="G1077" s="4" t="str">
        <f>HYPERLINK("http://141.218.60.56/~jnz1568/getInfo.php?workbook=16_08.xlsx&amp;sheet=U0&amp;row=1077&amp;col=7&amp;number=0.0098&amp;sourceID=14","0.0098")</f>
        <v>0.0098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HYPERLINK("http://141.218.60.56/~jnz1568/getInfo.php?workbook=16_08.xlsx&amp;sheet=U0&amp;row=1078&amp;col=6&amp;number=4.4&amp;sourceID=14","4.4")</f>
        <v>4.4</v>
      </c>
      <c r="G1078" s="4" t="str">
        <f>HYPERLINK("http://141.218.60.56/~jnz1568/getInfo.php?workbook=16_08.xlsx&amp;sheet=U0&amp;row=1078&amp;col=7&amp;number=0.00979&amp;sourceID=14","0.00979")</f>
        <v>0.00979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HYPERLINK("http://141.218.60.56/~jnz1568/getInfo.php?workbook=16_08.xlsx&amp;sheet=U0&amp;row=1079&amp;col=6&amp;number=4.5&amp;sourceID=14","4.5")</f>
        <v>4.5</v>
      </c>
      <c r="G1079" s="4" t="str">
        <f>HYPERLINK("http://141.218.60.56/~jnz1568/getInfo.php?workbook=16_08.xlsx&amp;sheet=U0&amp;row=1079&amp;col=7&amp;number=0.00978&amp;sourceID=14","0.00978")</f>
        <v>0.00978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HYPERLINK("http://141.218.60.56/~jnz1568/getInfo.php?workbook=16_08.xlsx&amp;sheet=U0&amp;row=1080&amp;col=6&amp;number=4.6&amp;sourceID=14","4.6")</f>
        <v>4.6</v>
      </c>
      <c r="G1080" s="4" t="str">
        <f>HYPERLINK("http://141.218.60.56/~jnz1568/getInfo.php?workbook=16_08.xlsx&amp;sheet=U0&amp;row=1080&amp;col=7&amp;number=0.00977&amp;sourceID=14","0.00977")</f>
        <v>0.00977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HYPERLINK("http://141.218.60.56/~jnz1568/getInfo.php?workbook=16_08.xlsx&amp;sheet=U0&amp;row=1081&amp;col=6&amp;number=4.7&amp;sourceID=14","4.7")</f>
        <v>4.7</v>
      </c>
      <c r="G1081" s="4" t="str">
        <f>HYPERLINK("http://141.218.60.56/~jnz1568/getInfo.php?workbook=16_08.xlsx&amp;sheet=U0&amp;row=1081&amp;col=7&amp;number=0.00975&amp;sourceID=14","0.00975")</f>
        <v>0.00975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HYPERLINK("http://141.218.60.56/~jnz1568/getInfo.php?workbook=16_08.xlsx&amp;sheet=U0&amp;row=1082&amp;col=6&amp;number=4.8&amp;sourceID=14","4.8")</f>
        <v>4.8</v>
      </c>
      <c r="G1082" s="4" t="str">
        <f>HYPERLINK("http://141.218.60.56/~jnz1568/getInfo.php?workbook=16_08.xlsx&amp;sheet=U0&amp;row=1082&amp;col=7&amp;number=0.00973&amp;sourceID=14","0.00973")</f>
        <v>0.00973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HYPERLINK("http://141.218.60.56/~jnz1568/getInfo.php?workbook=16_08.xlsx&amp;sheet=U0&amp;row=1083&amp;col=6&amp;number=4.9&amp;sourceID=14","4.9")</f>
        <v>4.9</v>
      </c>
      <c r="G1083" s="4" t="str">
        <f>HYPERLINK("http://141.218.60.56/~jnz1568/getInfo.php?workbook=16_08.xlsx&amp;sheet=U0&amp;row=1083&amp;col=7&amp;number=0.0097&amp;sourceID=14","0.0097")</f>
        <v>0.0097</v>
      </c>
    </row>
    <row r="1084" spans="1:7">
      <c r="A1084" s="3">
        <v>16</v>
      </c>
      <c r="B1084" s="3">
        <v>8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HYPERLINK("http://141.218.60.56/~jnz1568/getInfo.php?workbook=16_08.xlsx&amp;sheet=U0&amp;row=1084&amp;col=6&amp;number=3&amp;sourceID=14","3")</f>
        <v>3</v>
      </c>
      <c r="G1084" s="4" t="str">
        <f>HYPERLINK("http://141.218.60.56/~jnz1568/getInfo.php?workbook=16_08.xlsx&amp;sheet=U0&amp;row=1084&amp;col=7&amp;number=0.00777&amp;sourceID=14","0.00777")</f>
        <v>0.00777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HYPERLINK("http://141.218.60.56/~jnz1568/getInfo.php?workbook=16_08.xlsx&amp;sheet=U0&amp;row=1085&amp;col=6&amp;number=3.1&amp;sourceID=14","3.1")</f>
        <v>3.1</v>
      </c>
      <c r="G1085" s="4" t="str">
        <f>HYPERLINK("http://141.218.60.56/~jnz1568/getInfo.php?workbook=16_08.xlsx&amp;sheet=U0&amp;row=1085&amp;col=7&amp;number=0.00777&amp;sourceID=14","0.00777")</f>
        <v>0.00777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HYPERLINK("http://141.218.60.56/~jnz1568/getInfo.php?workbook=16_08.xlsx&amp;sheet=U0&amp;row=1086&amp;col=6&amp;number=3.2&amp;sourceID=14","3.2")</f>
        <v>3.2</v>
      </c>
      <c r="G1086" s="4" t="str">
        <f>HYPERLINK("http://141.218.60.56/~jnz1568/getInfo.php?workbook=16_08.xlsx&amp;sheet=U0&amp;row=1086&amp;col=7&amp;number=0.00777&amp;sourceID=14","0.00777")</f>
        <v>0.00777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HYPERLINK("http://141.218.60.56/~jnz1568/getInfo.php?workbook=16_08.xlsx&amp;sheet=U0&amp;row=1087&amp;col=6&amp;number=3.3&amp;sourceID=14","3.3")</f>
        <v>3.3</v>
      </c>
      <c r="G1087" s="4" t="str">
        <f>HYPERLINK("http://141.218.60.56/~jnz1568/getInfo.php?workbook=16_08.xlsx&amp;sheet=U0&amp;row=1087&amp;col=7&amp;number=0.00777&amp;sourceID=14","0.00777")</f>
        <v>0.00777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HYPERLINK("http://141.218.60.56/~jnz1568/getInfo.php?workbook=16_08.xlsx&amp;sheet=U0&amp;row=1088&amp;col=6&amp;number=3.4&amp;sourceID=14","3.4")</f>
        <v>3.4</v>
      </c>
      <c r="G1088" s="4" t="str">
        <f>HYPERLINK("http://141.218.60.56/~jnz1568/getInfo.php?workbook=16_08.xlsx&amp;sheet=U0&amp;row=1088&amp;col=7&amp;number=0.00776&amp;sourceID=14","0.00776")</f>
        <v>0.00776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HYPERLINK("http://141.218.60.56/~jnz1568/getInfo.php?workbook=16_08.xlsx&amp;sheet=U0&amp;row=1089&amp;col=6&amp;number=3.5&amp;sourceID=14","3.5")</f>
        <v>3.5</v>
      </c>
      <c r="G1089" s="4" t="str">
        <f>HYPERLINK("http://141.218.60.56/~jnz1568/getInfo.php?workbook=16_08.xlsx&amp;sheet=U0&amp;row=1089&amp;col=7&amp;number=0.00776&amp;sourceID=14","0.00776")</f>
        <v>0.00776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HYPERLINK("http://141.218.60.56/~jnz1568/getInfo.php?workbook=16_08.xlsx&amp;sheet=U0&amp;row=1090&amp;col=6&amp;number=3.6&amp;sourceID=14","3.6")</f>
        <v>3.6</v>
      </c>
      <c r="G1090" s="4" t="str">
        <f>HYPERLINK("http://141.218.60.56/~jnz1568/getInfo.php?workbook=16_08.xlsx&amp;sheet=U0&amp;row=1090&amp;col=7&amp;number=0.00776&amp;sourceID=14","0.00776")</f>
        <v>0.00776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HYPERLINK("http://141.218.60.56/~jnz1568/getInfo.php?workbook=16_08.xlsx&amp;sheet=U0&amp;row=1091&amp;col=6&amp;number=3.7&amp;sourceID=14","3.7")</f>
        <v>3.7</v>
      </c>
      <c r="G1091" s="4" t="str">
        <f>HYPERLINK("http://141.218.60.56/~jnz1568/getInfo.php?workbook=16_08.xlsx&amp;sheet=U0&amp;row=1091&amp;col=7&amp;number=0.00776&amp;sourceID=14","0.00776")</f>
        <v>0.00776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HYPERLINK("http://141.218.60.56/~jnz1568/getInfo.php?workbook=16_08.xlsx&amp;sheet=U0&amp;row=1092&amp;col=6&amp;number=3.8&amp;sourceID=14","3.8")</f>
        <v>3.8</v>
      </c>
      <c r="G1092" s="4" t="str">
        <f>HYPERLINK("http://141.218.60.56/~jnz1568/getInfo.php?workbook=16_08.xlsx&amp;sheet=U0&amp;row=1092&amp;col=7&amp;number=0.00776&amp;sourceID=14","0.00776")</f>
        <v>0.00776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HYPERLINK("http://141.218.60.56/~jnz1568/getInfo.php?workbook=16_08.xlsx&amp;sheet=U0&amp;row=1093&amp;col=6&amp;number=3.9&amp;sourceID=14","3.9")</f>
        <v>3.9</v>
      </c>
      <c r="G1093" s="4" t="str">
        <f>HYPERLINK("http://141.218.60.56/~jnz1568/getInfo.php?workbook=16_08.xlsx&amp;sheet=U0&amp;row=1093&amp;col=7&amp;number=0.00776&amp;sourceID=14","0.00776")</f>
        <v>0.00776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HYPERLINK("http://141.218.60.56/~jnz1568/getInfo.php?workbook=16_08.xlsx&amp;sheet=U0&amp;row=1094&amp;col=6&amp;number=4&amp;sourceID=14","4")</f>
        <v>4</v>
      </c>
      <c r="G1094" s="4" t="str">
        <f>HYPERLINK("http://141.218.60.56/~jnz1568/getInfo.php?workbook=16_08.xlsx&amp;sheet=U0&amp;row=1094&amp;col=7&amp;number=0.00775&amp;sourceID=14","0.00775")</f>
        <v>0.00775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HYPERLINK("http://141.218.60.56/~jnz1568/getInfo.php?workbook=16_08.xlsx&amp;sheet=U0&amp;row=1095&amp;col=6&amp;number=4.1&amp;sourceID=14","4.1")</f>
        <v>4.1</v>
      </c>
      <c r="G1095" s="4" t="str">
        <f>HYPERLINK("http://141.218.60.56/~jnz1568/getInfo.php?workbook=16_08.xlsx&amp;sheet=U0&amp;row=1095&amp;col=7&amp;number=0.00775&amp;sourceID=14","0.00775")</f>
        <v>0.00775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HYPERLINK("http://141.218.60.56/~jnz1568/getInfo.php?workbook=16_08.xlsx&amp;sheet=U0&amp;row=1096&amp;col=6&amp;number=4.2&amp;sourceID=14","4.2")</f>
        <v>4.2</v>
      </c>
      <c r="G1096" s="4" t="str">
        <f>HYPERLINK("http://141.218.60.56/~jnz1568/getInfo.php?workbook=16_08.xlsx&amp;sheet=U0&amp;row=1096&amp;col=7&amp;number=0.00774&amp;sourceID=14","0.00774")</f>
        <v>0.00774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HYPERLINK("http://141.218.60.56/~jnz1568/getInfo.php?workbook=16_08.xlsx&amp;sheet=U0&amp;row=1097&amp;col=6&amp;number=4.3&amp;sourceID=14","4.3")</f>
        <v>4.3</v>
      </c>
      <c r="G1097" s="4" t="str">
        <f>HYPERLINK("http://141.218.60.56/~jnz1568/getInfo.php?workbook=16_08.xlsx&amp;sheet=U0&amp;row=1097&amp;col=7&amp;number=0.00774&amp;sourceID=14","0.00774")</f>
        <v>0.00774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HYPERLINK("http://141.218.60.56/~jnz1568/getInfo.php?workbook=16_08.xlsx&amp;sheet=U0&amp;row=1098&amp;col=6&amp;number=4.4&amp;sourceID=14","4.4")</f>
        <v>4.4</v>
      </c>
      <c r="G1098" s="4" t="str">
        <f>HYPERLINK("http://141.218.60.56/~jnz1568/getInfo.php?workbook=16_08.xlsx&amp;sheet=U0&amp;row=1098&amp;col=7&amp;number=0.00773&amp;sourceID=14","0.00773")</f>
        <v>0.00773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HYPERLINK("http://141.218.60.56/~jnz1568/getInfo.php?workbook=16_08.xlsx&amp;sheet=U0&amp;row=1099&amp;col=6&amp;number=4.5&amp;sourceID=14","4.5")</f>
        <v>4.5</v>
      </c>
      <c r="G1099" s="4" t="str">
        <f>HYPERLINK("http://141.218.60.56/~jnz1568/getInfo.php?workbook=16_08.xlsx&amp;sheet=U0&amp;row=1099&amp;col=7&amp;number=0.00772&amp;sourceID=14","0.00772")</f>
        <v>0.00772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HYPERLINK("http://141.218.60.56/~jnz1568/getInfo.php?workbook=16_08.xlsx&amp;sheet=U0&amp;row=1100&amp;col=6&amp;number=4.6&amp;sourceID=14","4.6")</f>
        <v>4.6</v>
      </c>
      <c r="G1100" s="4" t="str">
        <f>HYPERLINK("http://141.218.60.56/~jnz1568/getInfo.php?workbook=16_08.xlsx&amp;sheet=U0&amp;row=1100&amp;col=7&amp;number=0.0077&amp;sourceID=14","0.0077")</f>
        <v>0.0077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HYPERLINK("http://141.218.60.56/~jnz1568/getInfo.php?workbook=16_08.xlsx&amp;sheet=U0&amp;row=1101&amp;col=6&amp;number=4.7&amp;sourceID=14","4.7")</f>
        <v>4.7</v>
      </c>
      <c r="G1101" s="4" t="str">
        <f>HYPERLINK("http://141.218.60.56/~jnz1568/getInfo.php?workbook=16_08.xlsx&amp;sheet=U0&amp;row=1101&amp;col=7&amp;number=0.00769&amp;sourceID=14","0.00769")</f>
        <v>0.00769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HYPERLINK("http://141.218.60.56/~jnz1568/getInfo.php?workbook=16_08.xlsx&amp;sheet=U0&amp;row=1102&amp;col=6&amp;number=4.8&amp;sourceID=14","4.8")</f>
        <v>4.8</v>
      </c>
      <c r="G1102" s="4" t="str">
        <f>HYPERLINK("http://141.218.60.56/~jnz1568/getInfo.php?workbook=16_08.xlsx&amp;sheet=U0&amp;row=1102&amp;col=7&amp;number=0.00767&amp;sourceID=14","0.00767")</f>
        <v>0.00767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HYPERLINK("http://141.218.60.56/~jnz1568/getInfo.php?workbook=16_08.xlsx&amp;sheet=U0&amp;row=1103&amp;col=6&amp;number=4.9&amp;sourceID=14","4.9")</f>
        <v>4.9</v>
      </c>
      <c r="G1103" s="4" t="str">
        <f>HYPERLINK("http://141.218.60.56/~jnz1568/getInfo.php?workbook=16_08.xlsx&amp;sheet=U0&amp;row=1103&amp;col=7&amp;number=0.00764&amp;sourceID=14","0.00764")</f>
        <v>0.00764</v>
      </c>
    </row>
    <row r="1104" spans="1:7">
      <c r="A1104" s="3">
        <v>16</v>
      </c>
      <c r="B1104" s="3">
        <v>8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HYPERLINK("http://141.218.60.56/~jnz1568/getInfo.php?workbook=16_08.xlsx&amp;sheet=U0&amp;row=1104&amp;col=6&amp;number=3&amp;sourceID=14","3")</f>
        <v>3</v>
      </c>
      <c r="G1104" s="4" t="str">
        <f>HYPERLINK("http://141.218.60.56/~jnz1568/getInfo.php?workbook=16_08.xlsx&amp;sheet=U0&amp;row=1104&amp;col=7&amp;number=0.0128&amp;sourceID=14","0.0128")</f>
        <v>0.0128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HYPERLINK("http://141.218.60.56/~jnz1568/getInfo.php?workbook=16_08.xlsx&amp;sheet=U0&amp;row=1105&amp;col=6&amp;number=3.1&amp;sourceID=14","3.1")</f>
        <v>3.1</v>
      </c>
      <c r="G1105" s="4" t="str">
        <f>HYPERLINK("http://141.218.60.56/~jnz1568/getInfo.php?workbook=16_08.xlsx&amp;sheet=U0&amp;row=1105&amp;col=7&amp;number=0.0128&amp;sourceID=14","0.0128")</f>
        <v>0.0128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HYPERLINK("http://141.218.60.56/~jnz1568/getInfo.php?workbook=16_08.xlsx&amp;sheet=U0&amp;row=1106&amp;col=6&amp;number=3.2&amp;sourceID=14","3.2")</f>
        <v>3.2</v>
      </c>
      <c r="G1106" s="4" t="str">
        <f>HYPERLINK("http://141.218.60.56/~jnz1568/getInfo.php?workbook=16_08.xlsx&amp;sheet=U0&amp;row=1106&amp;col=7&amp;number=0.0128&amp;sourceID=14","0.0128")</f>
        <v>0.0128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HYPERLINK("http://141.218.60.56/~jnz1568/getInfo.php?workbook=16_08.xlsx&amp;sheet=U0&amp;row=1107&amp;col=6&amp;number=3.3&amp;sourceID=14","3.3")</f>
        <v>3.3</v>
      </c>
      <c r="G1107" s="4" t="str">
        <f>HYPERLINK("http://141.218.60.56/~jnz1568/getInfo.php?workbook=16_08.xlsx&amp;sheet=U0&amp;row=1107&amp;col=7&amp;number=0.0128&amp;sourceID=14","0.0128")</f>
        <v>0.0128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HYPERLINK("http://141.218.60.56/~jnz1568/getInfo.php?workbook=16_08.xlsx&amp;sheet=U0&amp;row=1108&amp;col=6&amp;number=3.4&amp;sourceID=14","3.4")</f>
        <v>3.4</v>
      </c>
      <c r="G1108" s="4" t="str">
        <f>HYPERLINK("http://141.218.60.56/~jnz1568/getInfo.php?workbook=16_08.xlsx&amp;sheet=U0&amp;row=1108&amp;col=7&amp;number=0.0128&amp;sourceID=14","0.0128")</f>
        <v>0.0128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HYPERLINK("http://141.218.60.56/~jnz1568/getInfo.php?workbook=16_08.xlsx&amp;sheet=U0&amp;row=1109&amp;col=6&amp;number=3.5&amp;sourceID=14","3.5")</f>
        <v>3.5</v>
      </c>
      <c r="G1109" s="4" t="str">
        <f>HYPERLINK("http://141.218.60.56/~jnz1568/getInfo.php?workbook=16_08.xlsx&amp;sheet=U0&amp;row=1109&amp;col=7&amp;number=0.0128&amp;sourceID=14","0.0128")</f>
        <v>0.0128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HYPERLINK("http://141.218.60.56/~jnz1568/getInfo.php?workbook=16_08.xlsx&amp;sheet=U0&amp;row=1110&amp;col=6&amp;number=3.6&amp;sourceID=14","3.6")</f>
        <v>3.6</v>
      </c>
      <c r="G1110" s="4" t="str">
        <f>HYPERLINK("http://141.218.60.56/~jnz1568/getInfo.php?workbook=16_08.xlsx&amp;sheet=U0&amp;row=1110&amp;col=7&amp;number=0.0128&amp;sourceID=14","0.0128")</f>
        <v>0.0128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HYPERLINK("http://141.218.60.56/~jnz1568/getInfo.php?workbook=16_08.xlsx&amp;sheet=U0&amp;row=1111&amp;col=6&amp;number=3.7&amp;sourceID=14","3.7")</f>
        <v>3.7</v>
      </c>
      <c r="G1111" s="4" t="str">
        <f>HYPERLINK("http://141.218.60.56/~jnz1568/getInfo.php?workbook=16_08.xlsx&amp;sheet=U0&amp;row=1111&amp;col=7&amp;number=0.0128&amp;sourceID=14","0.0128")</f>
        <v>0.0128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HYPERLINK("http://141.218.60.56/~jnz1568/getInfo.php?workbook=16_08.xlsx&amp;sheet=U0&amp;row=1112&amp;col=6&amp;number=3.8&amp;sourceID=14","3.8")</f>
        <v>3.8</v>
      </c>
      <c r="G1112" s="4" t="str">
        <f>HYPERLINK("http://141.218.60.56/~jnz1568/getInfo.php?workbook=16_08.xlsx&amp;sheet=U0&amp;row=1112&amp;col=7&amp;number=0.0128&amp;sourceID=14","0.0128")</f>
        <v>0.0128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HYPERLINK("http://141.218.60.56/~jnz1568/getInfo.php?workbook=16_08.xlsx&amp;sheet=U0&amp;row=1113&amp;col=6&amp;number=3.9&amp;sourceID=14","3.9")</f>
        <v>3.9</v>
      </c>
      <c r="G1113" s="4" t="str">
        <f>HYPERLINK("http://141.218.60.56/~jnz1568/getInfo.php?workbook=16_08.xlsx&amp;sheet=U0&amp;row=1113&amp;col=7&amp;number=0.0128&amp;sourceID=14","0.0128")</f>
        <v>0.0128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HYPERLINK("http://141.218.60.56/~jnz1568/getInfo.php?workbook=16_08.xlsx&amp;sheet=U0&amp;row=1114&amp;col=6&amp;number=4&amp;sourceID=14","4")</f>
        <v>4</v>
      </c>
      <c r="G1114" s="4" t="str">
        <f>HYPERLINK("http://141.218.60.56/~jnz1568/getInfo.php?workbook=16_08.xlsx&amp;sheet=U0&amp;row=1114&amp;col=7&amp;number=0.0128&amp;sourceID=14","0.0128")</f>
        <v>0.0128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HYPERLINK("http://141.218.60.56/~jnz1568/getInfo.php?workbook=16_08.xlsx&amp;sheet=U0&amp;row=1115&amp;col=6&amp;number=4.1&amp;sourceID=14","4.1")</f>
        <v>4.1</v>
      </c>
      <c r="G1115" s="4" t="str">
        <f>HYPERLINK("http://141.218.60.56/~jnz1568/getInfo.php?workbook=16_08.xlsx&amp;sheet=U0&amp;row=1115&amp;col=7&amp;number=0.0128&amp;sourceID=14","0.0128")</f>
        <v>0.0128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HYPERLINK("http://141.218.60.56/~jnz1568/getInfo.php?workbook=16_08.xlsx&amp;sheet=U0&amp;row=1116&amp;col=6&amp;number=4.2&amp;sourceID=14","4.2")</f>
        <v>4.2</v>
      </c>
      <c r="G1116" s="4" t="str">
        <f>HYPERLINK("http://141.218.60.56/~jnz1568/getInfo.php?workbook=16_08.xlsx&amp;sheet=U0&amp;row=1116&amp;col=7&amp;number=0.0128&amp;sourceID=14","0.0128")</f>
        <v>0.0128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HYPERLINK("http://141.218.60.56/~jnz1568/getInfo.php?workbook=16_08.xlsx&amp;sheet=U0&amp;row=1117&amp;col=6&amp;number=4.3&amp;sourceID=14","4.3")</f>
        <v>4.3</v>
      </c>
      <c r="G1117" s="4" t="str">
        <f>HYPERLINK("http://141.218.60.56/~jnz1568/getInfo.php?workbook=16_08.xlsx&amp;sheet=U0&amp;row=1117&amp;col=7&amp;number=0.0127&amp;sourceID=14","0.0127")</f>
        <v>0.0127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HYPERLINK("http://141.218.60.56/~jnz1568/getInfo.php?workbook=16_08.xlsx&amp;sheet=U0&amp;row=1118&amp;col=6&amp;number=4.4&amp;sourceID=14","4.4")</f>
        <v>4.4</v>
      </c>
      <c r="G1118" s="4" t="str">
        <f>HYPERLINK("http://141.218.60.56/~jnz1568/getInfo.php?workbook=16_08.xlsx&amp;sheet=U0&amp;row=1118&amp;col=7&amp;number=0.0127&amp;sourceID=14","0.0127")</f>
        <v>0.0127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HYPERLINK("http://141.218.60.56/~jnz1568/getInfo.php?workbook=16_08.xlsx&amp;sheet=U0&amp;row=1119&amp;col=6&amp;number=4.5&amp;sourceID=14","4.5")</f>
        <v>4.5</v>
      </c>
      <c r="G1119" s="4" t="str">
        <f>HYPERLINK("http://141.218.60.56/~jnz1568/getInfo.php?workbook=16_08.xlsx&amp;sheet=U0&amp;row=1119&amp;col=7&amp;number=0.0127&amp;sourceID=14","0.0127")</f>
        <v>0.0127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HYPERLINK("http://141.218.60.56/~jnz1568/getInfo.php?workbook=16_08.xlsx&amp;sheet=U0&amp;row=1120&amp;col=6&amp;number=4.6&amp;sourceID=14","4.6")</f>
        <v>4.6</v>
      </c>
      <c r="G1120" s="4" t="str">
        <f>HYPERLINK("http://141.218.60.56/~jnz1568/getInfo.php?workbook=16_08.xlsx&amp;sheet=U0&amp;row=1120&amp;col=7&amp;number=0.0127&amp;sourceID=14","0.0127")</f>
        <v>0.0127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HYPERLINK("http://141.218.60.56/~jnz1568/getInfo.php?workbook=16_08.xlsx&amp;sheet=U0&amp;row=1121&amp;col=6&amp;number=4.7&amp;sourceID=14","4.7")</f>
        <v>4.7</v>
      </c>
      <c r="G1121" s="4" t="str">
        <f>HYPERLINK("http://141.218.60.56/~jnz1568/getInfo.php?workbook=16_08.xlsx&amp;sheet=U0&amp;row=1121&amp;col=7&amp;number=0.0127&amp;sourceID=14","0.0127")</f>
        <v>0.0127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HYPERLINK("http://141.218.60.56/~jnz1568/getInfo.php?workbook=16_08.xlsx&amp;sheet=U0&amp;row=1122&amp;col=6&amp;number=4.8&amp;sourceID=14","4.8")</f>
        <v>4.8</v>
      </c>
      <c r="G1122" s="4" t="str">
        <f>HYPERLINK("http://141.218.60.56/~jnz1568/getInfo.php?workbook=16_08.xlsx&amp;sheet=U0&amp;row=1122&amp;col=7&amp;number=0.0127&amp;sourceID=14","0.0127")</f>
        <v>0.0127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HYPERLINK("http://141.218.60.56/~jnz1568/getInfo.php?workbook=16_08.xlsx&amp;sheet=U0&amp;row=1123&amp;col=6&amp;number=4.9&amp;sourceID=14","4.9")</f>
        <v>4.9</v>
      </c>
      <c r="G1123" s="4" t="str">
        <f>HYPERLINK("http://141.218.60.56/~jnz1568/getInfo.php?workbook=16_08.xlsx&amp;sheet=U0&amp;row=1123&amp;col=7&amp;number=0.0126&amp;sourceID=14","0.0126")</f>
        <v>0.0126</v>
      </c>
    </row>
    <row r="1124" spans="1:7">
      <c r="A1124" s="3">
        <v>16</v>
      </c>
      <c r="B1124" s="3">
        <v>8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HYPERLINK("http://141.218.60.56/~jnz1568/getInfo.php?workbook=16_08.xlsx&amp;sheet=U0&amp;row=1124&amp;col=6&amp;number=3&amp;sourceID=14","3")</f>
        <v>3</v>
      </c>
      <c r="G1124" s="4" t="str">
        <f>HYPERLINK("http://141.218.60.56/~jnz1568/getInfo.php?workbook=16_08.xlsx&amp;sheet=U0&amp;row=1124&amp;col=7&amp;number=0.00627&amp;sourceID=14","0.00627")</f>
        <v>0.00627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HYPERLINK("http://141.218.60.56/~jnz1568/getInfo.php?workbook=16_08.xlsx&amp;sheet=U0&amp;row=1125&amp;col=6&amp;number=3.1&amp;sourceID=14","3.1")</f>
        <v>3.1</v>
      </c>
      <c r="G1125" s="4" t="str">
        <f>HYPERLINK("http://141.218.60.56/~jnz1568/getInfo.php?workbook=16_08.xlsx&amp;sheet=U0&amp;row=1125&amp;col=7&amp;number=0.00627&amp;sourceID=14","0.00627")</f>
        <v>0.00627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HYPERLINK("http://141.218.60.56/~jnz1568/getInfo.php?workbook=16_08.xlsx&amp;sheet=U0&amp;row=1126&amp;col=6&amp;number=3.2&amp;sourceID=14","3.2")</f>
        <v>3.2</v>
      </c>
      <c r="G1126" s="4" t="str">
        <f>HYPERLINK("http://141.218.60.56/~jnz1568/getInfo.php?workbook=16_08.xlsx&amp;sheet=U0&amp;row=1126&amp;col=7&amp;number=0.00627&amp;sourceID=14","0.00627")</f>
        <v>0.00627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HYPERLINK("http://141.218.60.56/~jnz1568/getInfo.php?workbook=16_08.xlsx&amp;sheet=U0&amp;row=1127&amp;col=6&amp;number=3.3&amp;sourceID=14","3.3")</f>
        <v>3.3</v>
      </c>
      <c r="G1127" s="4" t="str">
        <f>HYPERLINK("http://141.218.60.56/~jnz1568/getInfo.php?workbook=16_08.xlsx&amp;sheet=U0&amp;row=1127&amp;col=7&amp;number=0.00627&amp;sourceID=14","0.00627")</f>
        <v>0.00627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HYPERLINK("http://141.218.60.56/~jnz1568/getInfo.php?workbook=16_08.xlsx&amp;sheet=U0&amp;row=1128&amp;col=6&amp;number=3.4&amp;sourceID=14","3.4")</f>
        <v>3.4</v>
      </c>
      <c r="G1128" s="4" t="str">
        <f>HYPERLINK("http://141.218.60.56/~jnz1568/getInfo.php?workbook=16_08.xlsx&amp;sheet=U0&amp;row=1128&amp;col=7&amp;number=0.00626&amp;sourceID=14","0.00626")</f>
        <v>0.00626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HYPERLINK("http://141.218.60.56/~jnz1568/getInfo.php?workbook=16_08.xlsx&amp;sheet=U0&amp;row=1129&amp;col=6&amp;number=3.5&amp;sourceID=14","3.5")</f>
        <v>3.5</v>
      </c>
      <c r="G1129" s="4" t="str">
        <f>HYPERLINK("http://141.218.60.56/~jnz1568/getInfo.php?workbook=16_08.xlsx&amp;sheet=U0&amp;row=1129&amp;col=7&amp;number=0.00626&amp;sourceID=14","0.00626")</f>
        <v>0.00626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HYPERLINK("http://141.218.60.56/~jnz1568/getInfo.php?workbook=16_08.xlsx&amp;sheet=U0&amp;row=1130&amp;col=6&amp;number=3.6&amp;sourceID=14","3.6")</f>
        <v>3.6</v>
      </c>
      <c r="G1130" s="4" t="str">
        <f>HYPERLINK("http://141.218.60.56/~jnz1568/getInfo.php?workbook=16_08.xlsx&amp;sheet=U0&amp;row=1130&amp;col=7&amp;number=0.00626&amp;sourceID=14","0.00626")</f>
        <v>0.00626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HYPERLINK("http://141.218.60.56/~jnz1568/getInfo.php?workbook=16_08.xlsx&amp;sheet=U0&amp;row=1131&amp;col=6&amp;number=3.7&amp;sourceID=14","3.7")</f>
        <v>3.7</v>
      </c>
      <c r="G1131" s="4" t="str">
        <f>HYPERLINK("http://141.218.60.56/~jnz1568/getInfo.php?workbook=16_08.xlsx&amp;sheet=U0&amp;row=1131&amp;col=7&amp;number=0.00626&amp;sourceID=14","0.00626")</f>
        <v>0.00626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HYPERLINK("http://141.218.60.56/~jnz1568/getInfo.php?workbook=16_08.xlsx&amp;sheet=U0&amp;row=1132&amp;col=6&amp;number=3.8&amp;sourceID=14","3.8")</f>
        <v>3.8</v>
      </c>
      <c r="G1132" s="4" t="str">
        <f>HYPERLINK("http://141.218.60.56/~jnz1568/getInfo.php?workbook=16_08.xlsx&amp;sheet=U0&amp;row=1132&amp;col=7&amp;number=0.00625&amp;sourceID=14","0.00625")</f>
        <v>0.00625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HYPERLINK("http://141.218.60.56/~jnz1568/getInfo.php?workbook=16_08.xlsx&amp;sheet=U0&amp;row=1133&amp;col=6&amp;number=3.9&amp;sourceID=14","3.9")</f>
        <v>3.9</v>
      </c>
      <c r="G1133" s="4" t="str">
        <f>HYPERLINK("http://141.218.60.56/~jnz1568/getInfo.php?workbook=16_08.xlsx&amp;sheet=U0&amp;row=1133&amp;col=7&amp;number=0.00625&amp;sourceID=14","0.00625")</f>
        <v>0.00625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HYPERLINK("http://141.218.60.56/~jnz1568/getInfo.php?workbook=16_08.xlsx&amp;sheet=U0&amp;row=1134&amp;col=6&amp;number=4&amp;sourceID=14","4")</f>
        <v>4</v>
      </c>
      <c r="G1134" s="4" t="str">
        <f>HYPERLINK("http://141.218.60.56/~jnz1568/getInfo.php?workbook=16_08.xlsx&amp;sheet=U0&amp;row=1134&amp;col=7&amp;number=0.00624&amp;sourceID=14","0.00624")</f>
        <v>0.00624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HYPERLINK("http://141.218.60.56/~jnz1568/getInfo.php?workbook=16_08.xlsx&amp;sheet=U0&amp;row=1135&amp;col=6&amp;number=4.1&amp;sourceID=14","4.1")</f>
        <v>4.1</v>
      </c>
      <c r="G1135" s="4" t="str">
        <f>HYPERLINK("http://141.218.60.56/~jnz1568/getInfo.php?workbook=16_08.xlsx&amp;sheet=U0&amp;row=1135&amp;col=7&amp;number=0.00624&amp;sourceID=14","0.00624")</f>
        <v>0.00624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HYPERLINK("http://141.218.60.56/~jnz1568/getInfo.php?workbook=16_08.xlsx&amp;sheet=U0&amp;row=1136&amp;col=6&amp;number=4.2&amp;sourceID=14","4.2")</f>
        <v>4.2</v>
      </c>
      <c r="G1136" s="4" t="str">
        <f>HYPERLINK("http://141.218.60.56/~jnz1568/getInfo.php?workbook=16_08.xlsx&amp;sheet=U0&amp;row=1136&amp;col=7&amp;number=0.00623&amp;sourceID=14","0.00623")</f>
        <v>0.00623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HYPERLINK("http://141.218.60.56/~jnz1568/getInfo.php?workbook=16_08.xlsx&amp;sheet=U0&amp;row=1137&amp;col=6&amp;number=4.3&amp;sourceID=14","4.3")</f>
        <v>4.3</v>
      </c>
      <c r="G1137" s="4" t="str">
        <f>HYPERLINK("http://141.218.60.56/~jnz1568/getInfo.php?workbook=16_08.xlsx&amp;sheet=U0&amp;row=1137&amp;col=7&amp;number=0.00622&amp;sourceID=14","0.00622")</f>
        <v>0.00622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HYPERLINK("http://141.218.60.56/~jnz1568/getInfo.php?workbook=16_08.xlsx&amp;sheet=U0&amp;row=1138&amp;col=6&amp;number=4.4&amp;sourceID=14","4.4")</f>
        <v>4.4</v>
      </c>
      <c r="G1138" s="4" t="str">
        <f>HYPERLINK("http://141.218.60.56/~jnz1568/getInfo.php?workbook=16_08.xlsx&amp;sheet=U0&amp;row=1138&amp;col=7&amp;number=0.0062&amp;sourceID=14","0.0062")</f>
        <v>0.0062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HYPERLINK("http://141.218.60.56/~jnz1568/getInfo.php?workbook=16_08.xlsx&amp;sheet=U0&amp;row=1139&amp;col=6&amp;number=4.5&amp;sourceID=14","4.5")</f>
        <v>4.5</v>
      </c>
      <c r="G1139" s="4" t="str">
        <f>HYPERLINK("http://141.218.60.56/~jnz1568/getInfo.php?workbook=16_08.xlsx&amp;sheet=U0&amp;row=1139&amp;col=7&amp;number=0.00619&amp;sourceID=14","0.00619")</f>
        <v>0.00619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HYPERLINK("http://141.218.60.56/~jnz1568/getInfo.php?workbook=16_08.xlsx&amp;sheet=U0&amp;row=1140&amp;col=6&amp;number=4.6&amp;sourceID=14","4.6")</f>
        <v>4.6</v>
      </c>
      <c r="G1140" s="4" t="str">
        <f>HYPERLINK("http://141.218.60.56/~jnz1568/getInfo.php?workbook=16_08.xlsx&amp;sheet=U0&amp;row=1140&amp;col=7&amp;number=0.00616&amp;sourceID=14","0.00616")</f>
        <v>0.00616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HYPERLINK("http://141.218.60.56/~jnz1568/getInfo.php?workbook=16_08.xlsx&amp;sheet=U0&amp;row=1141&amp;col=6&amp;number=4.7&amp;sourceID=14","4.7")</f>
        <v>4.7</v>
      </c>
      <c r="G1141" s="4" t="str">
        <f>HYPERLINK("http://141.218.60.56/~jnz1568/getInfo.php?workbook=16_08.xlsx&amp;sheet=U0&amp;row=1141&amp;col=7&amp;number=0.00614&amp;sourceID=14","0.00614")</f>
        <v>0.00614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HYPERLINK("http://141.218.60.56/~jnz1568/getInfo.php?workbook=16_08.xlsx&amp;sheet=U0&amp;row=1142&amp;col=6&amp;number=4.8&amp;sourceID=14","4.8")</f>
        <v>4.8</v>
      </c>
      <c r="G1142" s="4" t="str">
        <f>HYPERLINK("http://141.218.60.56/~jnz1568/getInfo.php?workbook=16_08.xlsx&amp;sheet=U0&amp;row=1142&amp;col=7&amp;number=0.0061&amp;sourceID=14","0.0061")</f>
        <v>0.0061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HYPERLINK("http://141.218.60.56/~jnz1568/getInfo.php?workbook=16_08.xlsx&amp;sheet=U0&amp;row=1143&amp;col=6&amp;number=4.9&amp;sourceID=14","4.9")</f>
        <v>4.9</v>
      </c>
      <c r="G1143" s="4" t="str">
        <f>HYPERLINK("http://141.218.60.56/~jnz1568/getInfo.php?workbook=16_08.xlsx&amp;sheet=U0&amp;row=1143&amp;col=7&amp;number=0.00606&amp;sourceID=14","0.00606")</f>
        <v>0.00606</v>
      </c>
    </row>
    <row r="1144" spans="1:7">
      <c r="A1144" s="3">
        <v>16</v>
      </c>
      <c r="B1144" s="3">
        <v>8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HYPERLINK("http://141.218.60.56/~jnz1568/getInfo.php?workbook=16_08.xlsx&amp;sheet=U0&amp;row=1144&amp;col=6&amp;number=3&amp;sourceID=14","3")</f>
        <v>3</v>
      </c>
      <c r="G1144" s="4" t="str">
        <f>HYPERLINK("http://141.218.60.56/~jnz1568/getInfo.php?workbook=16_08.xlsx&amp;sheet=U0&amp;row=1144&amp;col=7&amp;number=0.0185&amp;sourceID=14","0.0185")</f>
        <v>0.0185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HYPERLINK("http://141.218.60.56/~jnz1568/getInfo.php?workbook=16_08.xlsx&amp;sheet=U0&amp;row=1145&amp;col=6&amp;number=3.1&amp;sourceID=14","3.1")</f>
        <v>3.1</v>
      </c>
      <c r="G1145" s="4" t="str">
        <f>HYPERLINK("http://141.218.60.56/~jnz1568/getInfo.php?workbook=16_08.xlsx&amp;sheet=U0&amp;row=1145&amp;col=7&amp;number=0.0185&amp;sourceID=14","0.0185")</f>
        <v>0.0185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HYPERLINK("http://141.218.60.56/~jnz1568/getInfo.php?workbook=16_08.xlsx&amp;sheet=U0&amp;row=1146&amp;col=6&amp;number=3.2&amp;sourceID=14","3.2")</f>
        <v>3.2</v>
      </c>
      <c r="G1146" s="4" t="str">
        <f>HYPERLINK("http://141.218.60.56/~jnz1568/getInfo.php?workbook=16_08.xlsx&amp;sheet=U0&amp;row=1146&amp;col=7&amp;number=0.0185&amp;sourceID=14","0.0185")</f>
        <v>0.0185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HYPERLINK("http://141.218.60.56/~jnz1568/getInfo.php?workbook=16_08.xlsx&amp;sheet=U0&amp;row=1147&amp;col=6&amp;number=3.3&amp;sourceID=14","3.3")</f>
        <v>3.3</v>
      </c>
      <c r="G1147" s="4" t="str">
        <f>HYPERLINK("http://141.218.60.56/~jnz1568/getInfo.php?workbook=16_08.xlsx&amp;sheet=U0&amp;row=1147&amp;col=7&amp;number=0.0185&amp;sourceID=14","0.0185")</f>
        <v>0.0185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HYPERLINK("http://141.218.60.56/~jnz1568/getInfo.php?workbook=16_08.xlsx&amp;sheet=U0&amp;row=1148&amp;col=6&amp;number=3.4&amp;sourceID=14","3.4")</f>
        <v>3.4</v>
      </c>
      <c r="G1148" s="4" t="str">
        <f>HYPERLINK("http://141.218.60.56/~jnz1568/getInfo.php?workbook=16_08.xlsx&amp;sheet=U0&amp;row=1148&amp;col=7&amp;number=0.0185&amp;sourceID=14","0.0185")</f>
        <v>0.0185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HYPERLINK("http://141.218.60.56/~jnz1568/getInfo.php?workbook=16_08.xlsx&amp;sheet=U0&amp;row=1149&amp;col=6&amp;number=3.5&amp;sourceID=14","3.5")</f>
        <v>3.5</v>
      </c>
      <c r="G1149" s="4" t="str">
        <f>HYPERLINK("http://141.218.60.56/~jnz1568/getInfo.php?workbook=16_08.xlsx&amp;sheet=U0&amp;row=1149&amp;col=7&amp;number=0.0185&amp;sourceID=14","0.0185")</f>
        <v>0.0185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HYPERLINK("http://141.218.60.56/~jnz1568/getInfo.php?workbook=16_08.xlsx&amp;sheet=U0&amp;row=1150&amp;col=6&amp;number=3.6&amp;sourceID=14","3.6")</f>
        <v>3.6</v>
      </c>
      <c r="G1150" s="4" t="str">
        <f>HYPERLINK("http://141.218.60.56/~jnz1568/getInfo.php?workbook=16_08.xlsx&amp;sheet=U0&amp;row=1150&amp;col=7&amp;number=0.0185&amp;sourceID=14","0.0185")</f>
        <v>0.0185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HYPERLINK("http://141.218.60.56/~jnz1568/getInfo.php?workbook=16_08.xlsx&amp;sheet=U0&amp;row=1151&amp;col=6&amp;number=3.7&amp;sourceID=14","3.7")</f>
        <v>3.7</v>
      </c>
      <c r="G1151" s="4" t="str">
        <f>HYPERLINK("http://141.218.60.56/~jnz1568/getInfo.php?workbook=16_08.xlsx&amp;sheet=U0&amp;row=1151&amp;col=7&amp;number=0.0185&amp;sourceID=14","0.0185")</f>
        <v>0.0185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HYPERLINK("http://141.218.60.56/~jnz1568/getInfo.php?workbook=16_08.xlsx&amp;sheet=U0&amp;row=1152&amp;col=6&amp;number=3.8&amp;sourceID=14","3.8")</f>
        <v>3.8</v>
      </c>
      <c r="G1152" s="4" t="str">
        <f>HYPERLINK("http://141.218.60.56/~jnz1568/getInfo.php?workbook=16_08.xlsx&amp;sheet=U0&amp;row=1152&amp;col=7&amp;number=0.0185&amp;sourceID=14","0.0185")</f>
        <v>0.0185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HYPERLINK("http://141.218.60.56/~jnz1568/getInfo.php?workbook=16_08.xlsx&amp;sheet=U0&amp;row=1153&amp;col=6&amp;number=3.9&amp;sourceID=14","3.9")</f>
        <v>3.9</v>
      </c>
      <c r="G1153" s="4" t="str">
        <f>HYPERLINK("http://141.218.60.56/~jnz1568/getInfo.php?workbook=16_08.xlsx&amp;sheet=U0&amp;row=1153&amp;col=7&amp;number=0.0185&amp;sourceID=14","0.0185")</f>
        <v>0.0185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HYPERLINK("http://141.218.60.56/~jnz1568/getInfo.php?workbook=16_08.xlsx&amp;sheet=U0&amp;row=1154&amp;col=6&amp;number=4&amp;sourceID=14","4")</f>
        <v>4</v>
      </c>
      <c r="G1154" s="4" t="str">
        <f>HYPERLINK("http://141.218.60.56/~jnz1568/getInfo.php?workbook=16_08.xlsx&amp;sheet=U0&amp;row=1154&amp;col=7&amp;number=0.0185&amp;sourceID=14","0.0185")</f>
        <v>0.0185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HYPERLINK("http://141.218.60.56/~jnz1568/getInfo.php?workbook=16_08.xlsx&amp;sheet=U0&amp;row=1155&amp;col=6&amp;number=4.1&amp;sourceID=14","4.1")</f>
        <v>4.1</v>
      </c>
      <c r="G1155" s="4" t="str">
        <f>HYPERLINK("http://141.218.60.56/~jnz1568/getInfo.php?workbook=16_08.xlsx&amp;sheet=U0&amp;row=1155&amp;col=7&amp;number=0.0185&amp;sourceID=14","0.0185")</f>
        <v>0.0185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HYPERLINK("http://141.218.60.56/~jnz1568/getInfo.php?workbook=16_08.xlsx&amp;sheet=U0&amp;row=1156&amp;col=6&amp;number=4.2&amp;sourceID=14","4.2")</f>
        <v>4.2</v>
      </c>
      <c r="G1156" s="4" t="str">
        <f>HYPERLINK("http://141.218.60.56/~jnz1568/getInfo.php?workbook=16_08.xlsx&amp;sheet=U0&amp;row=1156&amp;col=7&amp;number=0.0185&amp;sourceID=14","0.0185")</f>
        <v>0.0185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HYPERLINK("http://141.218.60.56/~jnz1568/getInfo.php?workbook=16_08.xlsx&amp;sheet=U0&amp;row=1157&amp;col=6&amp;number=4.3&amp;sourceID=14","4.3")</f>
        <v>4.3</v>
      </c>
      <c r="G1157" s="4" t="str">
        <f>HYPERLINK("http://141.218.60.56/~jnz1568/getInfo.php?workbook=16_08.xlsx&amp;sheet=U0&amp;row=1157&amp;col=7&amp;number=0.0185&amp;sourceID=14","0.0185")</f>
        <v>0.0185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HYPERLINK("http://141.218.60.56/~jnz1568/getInfo.php?workbook=16_08.xlsx&amp;sheet=U0&amp;row=1158&amp;col=6&amp;number=4.4&amp;sourceID=14","4.4")</f>
        <v>4.4</v>
      </c>
      <c r="G1158" s="4" t="str">
        <f>HYPERLINK("http://141.218.60.56/~jnz1568/getInfo.php?workbook=16_08.xlsx&amp;sheet=U0&amp;row=1158&amp;col=7&amp;number=0.0185&amp;sourceID=14","0.0185")</f>
        <v>0.0185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HYPERLINK("http://141.218.60.56/~jnz1568/getInfo.php?workbook=16_08.xlsx&amp;sheet=U0&amp;row=1159&amp;col=6&amp;number=4.5&amp;sourceID=14","4.5")</f>
        <v>4.5</v>
      </c>
      <c r="G1159" s="4" t="str">
        <f>HYPERLINK("http://141.218.60.56/~jnz1568/getInfo.php?workbook=16_08.xlsx&amp;sheet=U0&amp;row=1159&amp;col=7&amp;number=0.0184&amp;sourceID=14","0.0184")</f>
        <v>0.0184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HYPERLINK("http://141.218.60.56/~jnz1568/getInfo.php?workbook=16_08.xlsx&amp;sheet=U0&amp;row=1160&amp;col=6&amp;number=4.6&amp;sourceID=14","4.6")</f>
        <v>4.6</v>
      </c>
      <c r="G1160" s="4" t="str">
        <f>HYPERLINK("http://141.218.60.56/~jnz1568/getInfo.php?workbook=16_08.xlsx&amp;sheet=U0&amp;row=1160&amp;col=7&amp;number=0.0184&amp;sourceID=14","0.0184")</f>
        <v>0.0184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HYPERLINK("http://141.218.60.56/~jnz1568/getInfo.php?workbook=16_08.xlsx&amp;sheet=U0&amp;row=1161&amp;col=6&amp;number=4.7&amp;sourceID=14","4.7")</f>
        <v>4.7</v>
      </c>
      <c r="G1161" s="4" t="str">
        <f>HYPERLINK("http://141.218.60.56/~jnz1568/getInfo.php?workbook=16_08.xlsx&amp;sheet=U0&amp;row=1161&amp;col=7&amp;number=0.0184&amp;sourceID=14","0.0184")</f>
        <v>0.0184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HYPERLINK("http://141.218.60.56/~jnz1568/getInfo.php?workbook=16_08.xlsx&amp;sheet=U0&amp;row=1162&amp;col=6&amp;number=4.8&amp;sourceID=14","4.8")</f>
        <v>4.8</v>
      </c>
      <c r="G1162" s="4" t="str">
        <f>HYPERLINK("http://141.218.60.56/~jnz1568/getInfo.php?workbook=16_08.xlsx&amp;sheet=U0&amp;row=1162&amp;col=7&amp;number=0.0183&amp;sourceID=14","0.0183")</f>
        <v>0.0183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HYPERLINK("http://141.218.60.56/~jnz1568/getInfo.php?workbook=16_08.xlsx&amp;sheet=U0&amp;row=1163&amp;col=6&amp;number=4.9&amp;sourceID=14","4.9")</f>
        <v>4.9</v>
      </c>
      <c r="G1163" s="4" t="str">
        <f>HYPERLINK("http://141.218.60.56/~jnz1568/getInfo.php?workbook=16_08.xlsx&amp;sheet=U0&amp;row=1163&amp;col=7&amp;number=0.0183&amp;sourceID=14","0.0183")</f>
        <v>0.0183</v>
      </c>
    </row>
    <row r="1164" spans="1:7">
      <c r="A1164" s="3">
        <v>16</v>
      </c>
      <c r="B1164" s="3">
        <v>8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HYPERLINK("http://141.218.60.56/~jnz1568/getInfo.php?workbook=16_08.xlsx&amp;sheet=U0&amp;row=1164&amp;col=6&amp;number=3&amp;sourceID=14","3")</f>
        <v>3</v>
      </c>
      <c r="G1164" s="4" t="str">
        <f>HYPERLINK("http://141.218.60.56/~jnz1568/getInfo.php?workbook=16_08.xlsx&amp;sheet=U0&amp;row=1164&amp;col=7&amp;number=0.00721&amp;sourceID=14","0.00721")</f>
        <v>0.00721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HYPERLINK("http://141.218.60.56/~jnz1568/getInfo.php?workbook=16_08.xlsx&amp;sheet=U0&amp;row=1165&amp;col=6&amp;number=3.1&amp;sourceID=14","3.1")</f>
        <v>3.1</v>
      </c>
      <c r="G1165" s="4" t="str">
        <f>HYPERLINK("http://141.218.60.56/~jnz1568/getInfo.php?workbook=16_08.xlsx&amp;sheet=U0&amp;row=1165&amp;col=7&amp;number=0.00721&amp;sourceID=14","0.00721")</f>
        <v>0.00721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HYPERLINK("http://141.218.60.56/~jnz1568/getInfo.php?workbook=16_08.xlsx&amp;sheet=U0&amp;row=1166&amp;col=6&amp;number=3.2&amp;sourceID=14","3.2")</f>
        <v>3.2</v>
      </c>
      <c r="G1166" s="4" t="str">
        <f>HYPERLINK("http://141.218.60.56/~jnz1568/getInfo.php?workbook=16_08.xlsx&amp;sheet=U0&amp;row=1166&amp;col=7&amp;number=0.00721&amp;sourceID=14","0.00721")</f>
        <v>0.00721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HYPERLINK("http://141.218.60.56/~jnz1568/getInfo.php?workbook=16_08.xlsx&amp;sheet=U0&amp;row=1167&amp;col=6&amp;number=3.3&amp;sourceID=14","3.3")</f>
        <v>3.3</v>
      </c>
      <c r="G1167" s="4" t="str">
        <f>HYPERLINK("http://141.218.60.56/~jnz1568/getInfo.php?workbook=16_08.xlsx&amp;sheet=U0&amp;row=1167&amp;col=7&amp;number=0.00721&amp;sourceID=14","0.00721")</f>
        <v>0.00721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HYPERLINK("http://141.218.60.56/~jnz1568/getInfo.php?workbook=16_08.xlsx&amp;sheet=U0&amp;row=1168&amp;col=6&amp;number=3.4&amp;sourceID=14","3.4")</f>
        <v>3.4</v>
      </c>
      <c r="G1168" s="4" t="str">
        <f>HYPERLINK("http://141.218.60.56/~jnz1568/getInfo.php?workbook=16_08.xlsx&amp;sheet=U0&amp;row=1168&amp;col=7&amp;number=0.00721&amp;sourceID=14","0.00721")</f>
        <v>0.00721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HYPERLINK("http://141.218.60.56/~jnz1568/getInfo.php?workbook=16_08.xlsx&amp;sheet=U0&amp;row=1169&amp;col=6&amp;number=3.5&amp;sourceID=14","3.5")</f>
        <v>3.5</v>
      </c>
      <c r="G1169" s="4" t="str">
        <f>HYPERLINK("http://141.218.60.56/~jnz1568/getInfo.php?workbook=16_08.xlsx&amp;sheet=U0&amp;row=1169&amp;col=7&amp;number=0.0072&amp;sourceID=14","0.0072")</f>
        <v>0.0072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HYPERLINK("http://141.218.60.56/~jnz1568/getInfo.php?workbook=16_08.xlsx&amp;sheet=U0&amp;row=1170&amp;col=6&amp;number=3.6&amp;sourceID=14","3.6")</f>
        <v>3.6</v>
      </c>
      <c r="G1170" s="4" t="str">
        <f>HYPERLINK("http://141.218.60.56/~jnz1568/getInfo.php?workbook=16_08.xlsx&amp;sheet=U0&amp;row=1170&amp;col=7&amp;number=0.0072&amp;sourceID=14","0.0072")</f>
        <v>0.0072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HYPERLINK("http://141.218.60.56/~jnz1568/getInfo.php?workbook=16_08.xlsx&amp;sheet=U0&amp;row=1171&amp;col=6&amp;number=3.7&amp;sourceID=14","3.7")</f>
        <v>3.7</v>
      </c>
      <c r="G1171" s="4" t="str">
        <f>HYPERLINK("http://141.218.60.56/~jnz1568/getInfo.php?workbook=16_08.xlsx&amp;sheet=U0&amp;row=1171&amp;col=7&amp;number=0.0072&amp;sourceID=14","0.0072")</f>
        <v>0.0072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HYPERLINK("http://141.218.60.56/~jnz1568/getInfo.php?workbook=16_08.xlsx&amp;sheet=U0&amp;row=1172&amp;col=6&amp;number=3.8&amp;sourceID=14","3.8")</f>
        <v>3.8</v>
      </c>
      <c r="G1172" s="4" t="str">
        <f>HYPERLINK("http://141.218.60.56/~jnz1568/getInfo.php?workbook=16_08.xlsx&amp;sheet=U0&amp;row=1172&amp;col=7&amp;number=0.0072&amp;sourceID=14","0.0072")</f>
        <v>0.0072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HYPERLINK("http://141.218.60.56/~jnz1568/getInfo.php?workbook=16_08.xlsx&amp;sheet=U0&amp;row=1173&amp;col=6&amp;number=3.9&amp;sourceID=14","3.9")</f>
        <v>3.9</v>
      </c>
      <c r="G1173" s="4" t="str">
        <f>HYPERLINK("http://141.218.60.56/~jnz1568/getInfo.php?workbook=16_08.xlsx&amp;sheet=U0&amp;row=1173&amp;col=7&amp;number=0.0072&amp;sourceID=14","0.0072")</f>
        <v>0.0072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HYPERLINK("http://141.218.60.56/~jnz1568/getInfo.php?workbook=16_08.xlsx&amp;sheet=U0&amp;row=1174&amp;col=6&amp;number=4&amp;sourceID=14","4")</f>
        <v>4</v>
      </c>
      <c r="G1174" s="4" t="str">
        <f>HYPERLINK("http://141.218.60.56/~jnz1568/getInfo.php?workbook=16_08.xlsx&amp;sheet=U0&amp;row=1174&amp;col=7&amp;number=0.00719&amp;sourceID=14","0.00719")</f>
        <v>0.00719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HYPERLINK("http://141.218.60.56/~jnz1568/getInfo.php?workbook=16_08.xlsx&amp;sheet=U0&amp;row=1175&amp;col=6&amp;number=4.1&amp;sourceID=14","4.1")</f>
        <v>4.1</v>
      </c>
      <c r="G1175" s="4" t="str">
        <f>HYPERLINK("http://141.218.60.56/~jnz1568/getInfo.php?workbook=16_08.xlsx&amp;sheet=U0&amp;row=1175&amp;col=7&amp;number=0.00719&amp;sourceID=14","0.00719")</f>
        <v>0.00719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HYPERLINK("http://141.218.60.56/~jnz1568/getInfo.php?workbook=16_08.xlsx&amp;sheet=U0&amp;row=1176&amp;col=6&amp;number=4.2&amp;sourceID=14","4.2")</f>
        <v>4.2</v>
      </c>
      <c r="G1176" s="4" t="str">
        <f>HYPERLINK("http://141.218.60.56/~jnz1568/getInfo.php?workbook=16_08.xlsx&amp;sheet=U0&amp;row=1176&amp;col=7&amp;number=0.00718&amp;sourceID=14","0.00718")</f>
        <v>0.00718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HYPERLINK("http://141.218.60.56/~jnz1568/getInfo.php?workbook=16_08.xlsx&amp;sheet=U0&amp;row=1177&amp;col=6&amp;number=4.3&amp;sourceID=14","4.3")</f>
        <v>4.3</v>
      </c>
      <c r="G1177" s="4" t="str">
        <f>HYPERLINK("http://141.218.60.56/~jnz1568/getInfo.php?workbook=16_08.xlsx&amp;sheet=U0&amp;row=1177&amp;col=7&amp;number=0.00717&amp;sourceID=14","0.00717")</f>
        <v>0.00717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HYPERLINK("http://141.218.60.56/~jnz1568/getInfo.php?workbook=16_08.xlsx&amp;sheet=U0&amp;row=1178&amp;col=6&amp;number=4.4&amp;sourceID=14","4.4")</f>
        <v>4.4</v>
      </c>
      <c r="G1178" s="4" t="str">
        <f>HYPERLINK("http://141.218.60.56/~jnz1568/getInfo.php?workbook=16_08.xlsx&amp;sheet=U0&amp;row=1178&amp;col=7&amp;number=0.00717&amp;sourceID=14","0.00717")</f>
        <v>0.00717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HYPERLINK("http://141.218.60.56/~jnz1568/getInfo.php?workbook=16_08.xlsx&amp;sheet=U0&amp;row=1179&amp;col=6&amp;number=4.5&amp;sourceID=14","4.5")</f>
        <v>4.5</v>
      </c>
      <c r="G1179" s="4" t="str">
        <f>HYPERLINK("http://141.218.60.56/~jnz1568/getInfo.php?workbook=16_08.xlsx&amp;sheet=U0&amp;row=1179&amp;col=7&amp;number=0.00715&amp;sourceID=14","0.00715")</f>
        <v>0.00715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HYPERLINK("http://141.218.60.56/~jnz1568/getInfo.php?workbook=16_08.xlsx&amp;sheet=U0&amp;row=1180&amp;col=6&amp;number=4.6&amp;sourceID=14","4.6")</f>
        <v>4.6</v>
      </c>
      <c r="G1180" s="4" t="str">
        <f>HYPERLINK("http://141.218.60.56/~jnz1568/getInfo.php?workbook=16_08.xlsx&amp;sheet=U0&amp;row=1180&amp;col=7&amp;number=0.00714&amp;sourceID=14","0.00714")</f>
        <v>0.00714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HYPERLINK("http://141.218.60.56/~jnz1568/getInfo.php?workbook=16_08.xlsx&amp;sheet=U0&amp;row=1181&amp;col=6&amp;number=4.7&amp;sourceID=14","4.7")</f>
        <v>4.7</v>
      </c>
      <c r="G1181" s="4" t="str">
        <f>HYPERLINK("http://141.218.60.56/~jnz1568/getInfo.php?workbook=16_08.xlsx&amp;sheet=U0&amp;row=1181&amp;col=7&amp;number=0.00712&amp;sourceID=14","0.00712")</f>
        <v>0.00712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HYPERLINK("http://141.218.60.56/~jnz1568/getInfo.php?workbook=16_08.xlsx&amp;sheet=U0&amp;row=1182&amp;col=6&amp;number=4.8&amp;sourceID=14","4.8")</f>
        <v>4.8</v>
      </c>
      <c r="G1182" s="4" t="str">
        <f>HYPERLINK("http://141.218.60.56/~jnz1568/getInfo.php?workbook=16_08.xlsx&amp;sheet=U0&amp;row=1182&amp;col=7&amp;number=0.0071&amp;sourceID=14","0.0071")</f>
        <v>0.0071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HYPERLINK("http://141.218.60.56/~jnz1568/getInfo.php?workbook=16_08.xlsx&amp;sheet=U0&amp;row=1183&amp;col=6&amp;number=4.9&amp;sourceID=14","4.9")</f>
        <v>4.9</v>
      </c>
      <c r="G1183" s="4" t="str">
        <f>HYPERLINK("http://141.218.60.56/~jnz1568/getInfo.php?workbook=16_08.xlsx&amp;sheet=U0&amp;row=1183&amp;col=7&amp;number=0.00707&amp;sourceID=14","0.00707")</f>
        <v>0.00707</v>
      </c>
    </row>
    <row r="1184" spans="1:7">
      <c r="A1184" s="3">
        <v>16</v>
      </c>
      <c r="B1184" s="3">
        <v>8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HYPERLINK("http://141.218.60.56/~jnz1568/getInfo.php?workbook=16_08.xlsx&amp;sheet=U0&amp;row=1184&amp;col=6&amp;number=3&amp;sourceID=14","3")</f>
        <v>3</v>
      </c>
      <c r="G1184" s="4" t="str">
        <f>HYPERLINK("http://141.218.60.56/~jnz1568/getInfo.php?workbook=16_08.xlsx&amp;sheet=U0&amp;row=1184&amp;col=7&amp;number=0.014&amp;sourceID=14","0.014")</f>
        <v>0.014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HYPERLINK("http://141.218.60.56/~jnz1568/getInfo.php?workbook=16_08.xlsx&amp;sheet=U0&amp;row=1185&amp;col=6&amp;number=3.1&amp;sourceID=14","3.1")</f>
        <v>3.1</v>
      </c>
      <c r="G1185" s="4" t="str">
        <f>HYPERLINK("http://141.218.60.56/~jnz1568/getInfo.php?workbook=16_08.xlsx&amp;sheet=U0&amp;row=1185&amp;col=7&amp;number=0.014&amp;sourceID=14","0.014")</f>
        <v>0.014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HYPERLINK("http://141.218.60.56/~jnz1568/getInfo.php?workbook=16_08.xlsx&amp;sheet=U0&amp;row=1186&amp;col=6&amp;number=3.2&amp;sourceID=14","3.2")</f>
        <v>3.2</v>
      </c>
      <c r="G1186" s="4" t="str">
        <f>HYPERLINK("http://141.218.60.56/~jnz1568/getInfo.php?workbook=16_08.xlsx&amp;sheet=U0&amp;row=1186&amp;col=7&amp;number=0.014&amp;sourceID=14","0.014")</f>
        <v>0.014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HYPERLINK("http://141.218.60.56/~jnz1568/getInfo.php?workbook=16_08.xlsx&amp;sheet=U0&amp;row=1187&amp;col=6&amp;number=3.3&amp;sourceID=14","3.3")</f>
        <v>3.3</v>
      </c>
      <c r="G1187" s="4" t="str">
        <f>HYPERLINK("http://141.218.60.56/~jnz1568/getInfo.php?workbook=16_08.xlsx&amp;sheet=U0&amp;row=1187&amp;col=7&amp;number=0.014&amp;sourceID=14","0.014")</f>
        <v>0.014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HYPERLINK("http://141.218.60.56/~jnz1568/getInfo.php?workbook=16_08.xlsx&amp;sheet=U0&amp;row=1188&amp;col=6&amp;number=3.4&amp;sourceID=14","3.4")</f>
        <v>3.4</v>
      </c>
      <c r="G1188" s="4" t="str">
        <f>HYPERLINK("http://141.218.60.56/~jnz1568/getInfo.php?workbook=16_08.xlsx&amp;sheet=U0&amp;row=1188&amp;col=7&amp;number=0.014&amp;sourceID=14","0.014")</f>
        <v>0.014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HYPERLINK("http://141.218.60.56/~jnz1568/getInfo.php?workbook=16_08.xlsx&amp;sheet=U0&amp;row=1189&amp;col=6&amp;number=3.5&amp;sourceID=14","3.5")</f>
        <v>3.5</v>
      </c>
      <c r="G1189" s="4" t="str">
        <f>HYPERLINK("http://141.218.60.56/~jnz1568/getInfo.php?workbook=16_08.xlsx&amp;sheet=U0&amp;row=1189&amp;col=7&amp;number=0.014&amp;sourceID=14","0.014")</f>
        <v>0.014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HYPERLINK("http://141.218.60.56/~jnz1568/getInfo.php?workbook=16_08.xlsx&amp;sheet=U0&amp;row=1190&amp;col=6&amp;number=3.6&amp;sourceID=14","3.6")</f>
        <v>3.6</v>
      </c>
      <c r="G1190" s="4" t="str">
        <f>HYPERLINK("http://141.218.60.56/~jnz1568/getInfo.php?workbook=16_08.xlsx&amp;sheet=U0&amp;row=1190&amp;col=7&amp;number=0.0139&amp;sourceID=14","0.0139")</f>
        <v>0.0139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HYPERLINK("http://141.218.60.56/~jnz1568/getInfo.php?workbook=16_08.xlsx&amp;sheet=U0&amp;row=1191&amp;col=6&amp;number=3.7&amp;sourceID=14","3.7")</f>
        <v>3.7</v>
      </c>
      <c r="G1191" s="4" t="str">
        <f>HYPERLINK("http://141.218.60.56/~jnz1568/getInfo.php?workbook=16_08.xlsx&amp;sheet=U0&amp;row=1191&amp;col=7&amp;number=0.0139&amp;sourceID=14","0.0139")</f>
        <v>0.0139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HYPERLINK("http://141.218.60.56/~jnz1568/getInfo.php?workbook=16_08.xlsx&amp;sheet=U0&amp;row=1192&amp;col=6&amp;number=3.8&amp;sourceID=14","3.8")</f>
        <v>3.8</v>
      </c>
      <c r="G1192" s="4" t="str">
        <f>HYPERLINK("http://141.218.60.56/~jnz1568/getInfo.php?workbook=16_08.xlsx&amp;sheet=U0&amp;row=1192&amp;col=7&amp;number=0.0139&amp;sourceID=14","0.0139")</f>
        <v>0.0139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HYPERLINK("http://141.218.60.56/~jnz1568/getInfo.php?workbook=16_08.xlsx&amp;sheet=U0&amp;row=1193&amp;col=6&amp;number=3.9&amp;sourceID=14","3.9")</f>
        <v>3.9</v>
      </c>
      <c r="G1193" s="4" t="str">
        <f>HYPERLINK("http://141.218.60.56/~jnz1568/getInfo.php?workbook=16_08.xlsx&amp;sheet=U0&amp;row=1193&amp;col=7&amp;number=0.0139&amp;sourceID=14","0.0139")</f>
        <v>0.0139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HYPERLINK("http://141.218.60.56/~jnz1568/getInfo.php?workbook=16_08.xlsx&amp;sheet=U0&amp;row=1194&amp;col=6&amp;number=4&amp;sourceID=14","4")</f>
        <v>4</v>
      </c>
      <c r="G1194" s="4" t="str">
        <f>HYPERLINK("http://141.218.60.56/~jnz1568/getInfo.php?workbook=16_08.xlsx&amp;sheet=U0&amp;row=1194&amp;col=7&amp;number=0.0139&amp;sourceID=14","0.0139")</f>
        <v>0.0139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HYPERLINK("http://141.218.60.56/~jnz1568/getInfo.php?workbook=16_08.xlsx&amp;sheet=U0&amp;row=1195&amp;col=6&amp;number=4.1&amp;sourceID=14","4.1")</f>
        <v>4.1</v>
      </c>
      <c r="G1195" s="4" t="str">
        <f>HYPERLINK("http://141.218.60.56/~jnz1568/getInfo.php?workbook=16_08.xlsx&amp;sheet=U0&amp;row=1195&amp;col=7&amp;number=0.0139&amp;sourceID=14","0.0139")</f>
        <v>0.0139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HYPERLINK("http://141.218.60.56/~jnz1568/getInfo.php?workbook=16_08.xlsx&amp;sheet=U0&amp;row=1196&amp;col=6&amp;number=4.2&amp;sourceID=14","4.2")</f>
        <v>4.2</v>
      </c>
      <c r="G1196" s="4" t="str">
        <f>HYPERLINK("http://141.218.60.56/~jnz1568/getInfo.php?workbook=16_08.xlsx&amp;sheet=U0&amp;row=1196&amp;col=7&amp;number=0.0139&amp;sourceID=14","0.0139")</f>
        <v>0.0139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HYPERLINK("http://141.218.60.56/~jnz1568/getInfo.php?workbook=16_08.xlsx&amp;sheet=U0&amp;row=1197&amp;col=6&amp;number=4.3&amp;sourceID=14","4.3")</f>
        <v>4.3</v>
      </c>
      <c r="G1197" s="4" t="str">
        <f>HYPERLINK("http://141.218.60.56/~jnz1568/getInfo.php?workbook=16_08.xlsx&amp;sheet=U0&amp;row=1197&amp;col=7&amp;number=0.0139&amp;sourceID=14","0.0139")</f>
        <v>0.0139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HYPERLINK("http://141.218.60.56/~jnz1568/getInfo.php?workbook=16_08.xlsx&amp;sheet=U0&amp;row=1198&amp;col=6&amp;number=4.4&amp;sourceID=14","4.4")</f>
        <v>4.4</v>
      </c>
      <c r="G1198" s="4" t="str">
        <f>HYPERLINK("http://141.218.60.56/~jnz1568/getInfo.php?workbook=16_08.xlsx&amp;sheet=U0&amp;row=1198&amp;col=7&amp;number=0.0139&amp;sourceID=14","0.0139")</f>
        <v>0.0139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HYPERLINK("http://141.218.60.56/~jnz1568/getInfo.php?workbook=16_08.xlsx&amp;sheet=U0&amp;row=1199&amp;col=6&amp;number=4.5&amp;sourceID=14","4.5")</f>
        <v>4.5</v>
      </c>
      <c r="G1199" s="4" t="str">
        <f>HYPERLINK("http://141.218.60.56/~jnz1568/getInfo.php?workbook=16_08.xlsx&amp;sheet=U0&amp;row=1199&amp;col=7&amp;number=0.0139&amp;sourceID=14","0.0139")</f>
        <v>0.0139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HYPERLINK("http://141.218.60.56/~jnz1568/getInfo.php?workbook=16_08.xlsx&amp;sheet=U0&amp;row=1200&amp;col=6&amp;number=4.6&amp;sourceID=14","4.6")</f>
        <v>4.6</v>
      </c>
      <c r="G1200" s="4" t="str">
        <f>HYPERLINK("http://141.218.60.56/~jnz1568/getInfo.php?workbook=16_08.xlsx&amp;sheet=U0&amp;row=1200&amp;col=7&amp;number=0.0139&amp;sourceID=14","0.0139")</f>
        <v>0.0139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HYPERLINK("http://141.218.60.56/~jnz1568/getInfo.php?workbook=16_08.xlsx&amp;sheet=U0&amp;row=1201&amp;col=6&amp;number=4.7&amp;sourceID=14","4.7")</f>
        <v>4.7</v>
      </c>
      <c r="G1201" s="4" t="str">
        <f>HYPERLINK("http://141.218.60.56/~jnz1568/getInfo.php?workbook=16_08.xlsx&amp;sheet=U0&amp;row=1201&amp;col=7&amp;number=0.0138&amp;sourceID=14","0.0138")</f>
        <v>0.0138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HYPERLINK("http://141.218.60.56/~jnz1568/getInfo.php?workbook=16_08.xlsx&amp;sheet=U0&amp;row=1202&amp;col=6&amp;number=4.8&amp;sourceID=14","4.8")</f>
        <v>4.8</v>
      </c>
      <c r="G1202" s="4" t="str">
        <f>HYPERLINK("http://141.218.60.56/~jnz1568/getInfo.php?workbook=16_08.xlsx&amp;sheet=U0&amp;row=1202&amp;col=7&amp;number=0.0138&amp;sourceID=14","0.0138")</f>
        <v>0.0138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HYPERLINK("http://141.218.60.56/~jnz1568/getInfo.php?workbook=16_08.xlsx&amp;sheet=U0&amp;row=1203&amp;col=6&amp;number=4.9&amp;sourceID=14","4.9")</f>
        <v>4.9</v>
      </c>
      <c r="G1203" s="4" t="str">
        <f>HYPERLINK("http://141.218.60.56/~jnz1568/getInfo.php?workbook=16_08.xlsx&amp;sheet=U0&amp;row=1203&amp;col=7&amp;number=0.0138&amp;sourceID=14","0.0138")</f>
        <v>0.0138</v>
      </c>
    </row>
    <row r="1204" spans="1:7">
      <c r="A1204" s="3">
        <v>16</v>
      </c>
      <c r="B1204" s="3">
        <v>8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HYPERLINK("http://141.218.60.56/~jnz1568/getInfo.php?workbook=16_08.xlsx&amp;sheet=U0&amp;row=1204&amp;col=6&amp;number=3&amp;sourceID=14","3")</f>
        <v>3</v>
      </c>
      <c r="G1204" s="4" t="str">
        <f>HYPERLINK("http://141.218.60.56/~jnz1568/getInfo.php?workbook=16_08.xlsx&amp;sheet=U0&amp;row=1204&amp;col=7&amp;number=0.0253&amp;sourceID=14","0.0253")</f>
        <v>0.0253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HYPERLINK("http://141.218.60.56/~jnz1568/getInfo.php?workbook=16_08.xlsx&amp;sheet=U0&amp;row=1205&amp;col=6&amp;number=3.1&amp;sourceID=14","3.1")</f>
        <v>3.1</v>
      </c>
      <c r="G1205" s="4" t="str">
        <f>HYPERLINK("http://141.218.60.56/~jnz1568/getInfo.php?workbook=16_08.xlsx&amp;sheet=U0&amp;row=1205&amp;col=7&amp;number=0.0253&amp;sourceID=14","0.0253")</f>
        <v>0.0253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HYPERLINK("http://141.218.60.56/~jnz1568/getInfo.php?workbook=16_08.xlsx&amp;sheet=U0&amp;row=1206&amp;col=6&amp;number=3.2&amp;sourceID=14","3.2")</f>
        <v>3.2</v>
      </c>
      <c r="G1206" s="4" t="str">
        <f>HYPERLINK("http://141.218.60.56/~jnz1568/getInfo.php?workbook=16_08.xlsx&amp;sheet=U0&amp;row=1206&amp;col=7&amp;number=0.0253&amp;sourceID=14","0.0253")</f>
        <v>0.0253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HYPERLINK("http://141.218.60.56/~jnz1568/getInfo.php?workbook=16_08.xlsx&amp;sheet=U0&amp;row=1207&amp;col=6&amp;number=3.3&amp;sourceID=14","3.3")</f>
        <v>3.3</v>
      </c>
      <c r="G1207" s="4" t="str">
        <f>HYPERLINK("http://141.218.60.56/~jnz1568/getInfo.php?workbook=16_08.xlsx&amp;sheet=U0&amp;row=1207&amp;col=7&amp;number=0.0253&amp;sourceID=14","0.0253")</f>
        <v>0.0253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HYPERLINK("http://141.218.60.56/~jnz1568/getInfo.php?workbook=16_08.xlsx&amp;sheet=U0&amp;row=1208&amp;col=6&amp;number=3.4&amp;sourceID=14","3.4")</f>
        <v>3.4</v>
      </c>
      <c r="G1208" s="4" t="str">
        <f>HYPERLINK("http://141.218.60.56/~jnz1568/getInfo.php?workbook=16_08.xlsx&amp;sheet=U0&amp;row=1208&amp;col=7&amp;number=0.0253&amp;sourceID=14","0.0253")</f>
        <v>0.0253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HYPERLINK("http://141.218.60.56/~jnz1568/getInfo.php?workbook=16_08.xlsx&amp;sheet=U0&amp;row=1209&amp;col=6&amp;number=3.5&amp;sourceID=14","3.5")</f>
        <v>3.5</v>
      </c>
      <c r="G1209" s="4" t="str">
        <f>HYPERLINK("http://141.218.60.56/~jnz1568/getInfo.php?workbook=16_08.xlsx&amp;sheet=U0&amp;row=1209&amp;col=7&amp;number=0.0253&amp;sourceID=14","0.0253")</f>
        <v>0.0253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HYPERLINK("http://141.218.60.56/~jnz1568/getInfo.php?workbook=16_08.xlsx&amp;sheet=U0&amp;row=1210&amp;col=6&amp;number=3.6&amp;sourceID=14","3.6")</f>
        <v>3.6</v>
      </c>
      <c r="G1210" s="4" t="str">
        <f>HYPERLINK("http://141.218.60.56/~jnz1568/getInfo.php?workbook=16_08.xlsx&amp;sheet=U0&amp;row=1210&amp;col=7&amp;number=0.0253&amp;sourceID=14","0.0253")</f>
        <v>0.0253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HYPERLINK("http://141.218.60.56/~jnz1568/getInfo.php?workbook=16_08.xlsx&amp;sheet=U0&amp;row=1211&amp;col=6&amp;number=3.7&amp;sourceID=14","3.7")</f>
        <v>3.7</v>
      </c>
      <c r="G1211" s="4" t="str">
        <f>HYPERLINK("http://141.218.60.56/~jnz1568/getInfo.php?workbook=16_08.xlsx&amp;sheet=U0&amp;row=1211&amp;col=7&amp;number=0.0253&amp;sourceID=14","0.0253")</f>
        <v>0.0253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HYPERLINK("http://141.218.60.56/~jnz1568/getInfo.php?workbook=16_08.xlsx&amp;sheet=U0&amp;row=1212&amp;col=6&amp;number=3.8&amp;sourceID=14","3.8")</f>
        <v>3.8</v>
      </c>
      <c r="G1212" s="4" t="str">
        <f>HYPERLINK("http://141.218.60.56/~jnz1568/getInfo.php?workbook=16_08.xlsx&amp;sheet=U0&amp;row=1212&amp;col=7&amp;number=0.0253&amp;sourceID=14","0.0253")</f>
        <v>0.0253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HYPERLINK("http://141.218.60.56/~jnz1568/getInfo.php?workbook=16_08.xlsx&amp;sheet=U0&amp;row=1213&amp;col=6&amp;number=3.9&amp;sourceID=14","3.9")</f>
        <v>3.9</v>
      </c>
      <c r="G1213" s="4" t="str">
        <f>HYPERLINK("http://141.218.60.56/~jnz1568/getInfo.php?workbook=16_08.xlsx&amp;sheet=U0&amp;row=1213&amp;col=7&amp;number=0.0253&amp;sourceID=14","0.0253")</f>
        <v>0.0253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HYPERLINK("http://141.218.60.56/~jnz1568/getInfo.php?workbook=16_08.xlsx&amp;sheet=U0&amp;row=1214&amp;col=6&amp;number=4&amp;sourceID=14","4")</f>
        <v>4</v>
      </c>
      <c r="G1214" s="4" t="str">
        <f>HYPERLINK("http://141.218.60.56/~jnz1568/getInfo.php?workbook=16_08.xlsx&amp;sheet=U0&amp;row=1214&amp;col=7&amp;number=0.0253&amp;sourceID=14","0.0253")</f>
        <v>0.0253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HYPERLINK("http://141.218.60.56/~jnz1568/getInfo.php?workbook=16_08.xlsx&amp;sheet=U0&amp;row=1215&amp;col=6&amp;number=4.1&amp;sourceID=14","4.1")</f>
        <v>4.1</v>
      </c>
      <c r="G1215" s="4" t="str">
        <f>HYPERLINK("http://141.218.60.56/~jnz1568/getInfo.php?workbook=16_08.xlsx&amp;sheet=U0&amp;row=1215&amp;col=7&amp;number=0.0253&amp;sourceID=14","0.0253")</f>
        <v>0.0253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HYPERLINK("http://141.218.60.56/~jnz1568/getInfo.php?workbook=16_08.xlsx&amp;sheet=U0&amp;row=1216&amp;col=6&amp;number=4.2&amp;sourceID=14","4.2")</f>
        <v>4.2</v>
      </c>
      <c r="G1216" s="4" t="str">
        <f>HYPERLINK("http://141.218.60.56/~jnz1568/getInfo.php?workbook=16_08.xlsx&amp;sheet=U0&amp;row=1216&amp;col=7&amp;number=0.0253&amp;sourceID=14","0.0253")</f>
        <v>0.0253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HYPERLINK("http://141.218.60.56/~jnz1568/getInfo.php?workbook=16_08.xlsx&amp;sheet=U0&amp;row=1217&amp;col=6&amp;number=4.3&amp;sourceID=14","4.3")</f>
        <v>4.3</v>
      </c>
      <c r="G1217" s="4" t="str">
        <f>HYPERLINK("http://141.218.60.56/~jnz1568/getInfo.php?workbook=16_08.xlsx&amp;sheet=U0&amp;row=1217&amp;col=7&amp;number=0.0253&amp;sourceID=14","0.0253")</f>
        <v>0.0253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HYPERLINK("http://141.218.60.56/~jnz1568/getInfo.php?workbook=16_08.xlsx&amp;sheet=U0&amp;row=1218&amp;col=6&amp;number=4.4&amp;sourceID=14","4.4")</f>
        <v>4.4</v>
      </c>
      <c r="G1218" s="4" t="str">
        <f>HYPERLINK("http://141.218.60.56/~jnz1568/getInfo.php?workbook=16_08.xlsx&amp;sheet=U0&amp;row=1218&amp;col=7&amp;number=0.0253&amp;sourceID=14","0.0253")</f>
        <v>0.0253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HYPERLINK("http://141.218.60.56/~jnz1568/getInfo.php?workbook=16_08.xlsx&amp;sheet=U0&amp;row=1219&amp;col=6&amp;number=4.5&amp;sourceID=14","4.5")</f>
        <v>4.5</v>
      </c>
      <c r="G1219" s="4" t="str">
        <f>HYPERLINK("http://141.218.60.56/~jnz1568/getInfo.php?workbook=16_08.xlsx&amp;sheet=U0&amp;row=1219&amp;col=7&amp;number=0.0253&amp;sourceID=14","0.0253")</f>
        <v>0.0253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HYPERLINK("http://141.218.60.56/~jnz1568/getInfo.php?workbook=16_08.xlsx&amp;sheet=U0&amp;row=1220&amp;col=6&amp;number=4.6&amp;sourceID=14","4.6")</f>
        <v>4.6</v>
      </c>
      <c r="G1220" s="4" t="str">
        <f>HYPERLINK("http://141.218.60.56/~jnz1568/getInfo.php?workbook=16_08.xlsx&amp;sheet=U0&amp;row=1220&amp;col=7&amp;number=0.0252&amp;sourceID=14","0.0252")</f>
        <v>0.0252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HYPERLINK("http://141.218.60.56/~jnz1568/getInfo.php?workbook=16_08.xlsx&amp;sheet=U0&amp;row=1221&amp;col=6&amp;number=4.7&amp;sourceID=14","4.7")</f>
        <v>4.7</v>
      </c>
      <c r="G1221" s="4" t="str">
        <f>HYPERLINK("http://141.218.60.56/~jnz1568/getInfo.php?workbook=16_08.xlsx&amp;sheet=U0&amp;row=1221&amp;col=7&amp;number=0.0252&amp;sourceID=14","0.0252")</f>
        <v>0.0252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HYPERLINK("http://141.218.60.56/~jnz1568/getInfo.php?workbook=16_08.xlsx&amp;sheet=U0&amp;row=1222&amp;col=6&amp;number=4.8&amp;sourceID=14","4.8")</f>
        <v>4.8</v>
      </c>
      <c r="G1222" s="4" t="str">
        <f>HYPERLINK("http://141.218.60.56/~jnz1568/getInfo.php?workbook=16_08.xlsx&amp;sheet=U0&amp;row=1222&amp;col=7&amp;number=0.0252&amp;sourceID=14","0.0252")</f>
        <v>0.0252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HYPERLINK("http://141.218.60.56/~jnz1568/getInfo.php?workbook=16_08.xlsx&amp;sheet=U0&amp;row=1223&amp;col=6&amp;number=4.9&amp;sourceID=14","4.9")</f>
        <v>4.9</v>
      </c>
      <c r="G1223" s="4" t="str">
        <f>HYPERLINK("http://141.218.60.56/~jnz1568/getInfo.php?workbook=16_08.xlsx&amp;sheet=U0&amp;row=1223&amp;col=7&amp;number=0.0251&amp;sourceID=14","0.0251")</f>
        <v>0.0251</v>
      </c>
    </row>
    <row r="1224" spans="1:7">
      <c r="A1224" s="3">
        <v>16</v>
      </c>
      <c r="B1224" s="3">
        <v>8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HYPERLINK("http://141.218.60.56/~jnz1568/getInfo.php?workbook=16_08.xlsx&amp;sheet=U0&amp;row=1224&amp;col=6&amp;number=3&amp;sourceID=14","3")</f>
        <v>3</v>
      </c>
      <c r="G1224" s="4" t="str">
        <f>HYPERLINK("http://141.218.60.56/~jnz1568/getInfo.php?workbook=16_08.xlsx&amp;sheet=U0&amp;row=1224&amp;col=7&amp;number=0.0232&amp;sourceID=14","0.0232")</f>
        <v>0.0232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HYPERLINK("http://141.218.60.56/~jnz1568/getInfo.php?workbook=16_08.xlsx&amp;sheet=U0&amp;row=1225&amp;col=6&amp;number=3.1&amp;sourceID=14","3.1")</f>
        <v>3.1</v>
      </c>
      <c r="G1225" s="4" t="str">
        <f>HYPERLINK("http://141.218.60.56/~jnz1568/getInfo.php?workbook=16_08.xlsx&amp;sheet=U0&amp;row=1225&amp;col=7&amp;number=0.0232&amp;sourceID=14","0.0232")</f>
        <v>0.0232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HYPERLINK("http://141.218.60.56/~jnz1568/getInfo.php?workbook=16_08.xlsx&amp;sheet=U0&amp;row=1226&amp;col=6&amp;number=3.2&amp;sourceID=14","3.2")</f>
        <v>3.2</v>
      </c>
      <c r="G1226" s="4" t="str">
        <f>HYPERLINK("http://141.218.60.56/~jnz1568/getInfo.php?workbook=16_08.xlsx&amp;sheet=U0&amp;row=1226&amp;col=7&amp;number=0.0232&amp;sourceID=14","0.0232")</f>
        <v>0.0232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HYPERLINK("http://141.218.60.56/~jnz1568/getInfo.php?workbook=16_08.xlsx&amp;sheet=U0&amp;row=1227&amp;col=6&amp;number=3.3&amp;sourceID=14","3.3")</f>
        <v>3.3</v>
      </c>
      <c r="G1227" s="4" t="str">
        <f>HYPERLINK("http://141.218.60.56/~jnz1568/getInfo.php?workbook=16_08.xlsx&amp;sheet=U0&amp;row=1227&amp;col=7&amp;number=0.0232&amp;sourceID=14","0.0232")</f>
        <v>0.0232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HYPERLINK("http://141.218.60.56/~jnz1568/getInfo.php?workbook=16_08.xlsx&amp;sheet=U0&amp;row=1228&amp;col=6&amp;number=3.4&amp;sourceID=14","3.4")</f>
        <v>3.4</v>
      </c>
      <c r="G1228" s="4" t="str">
        <f>HYPERLINK("http://141.218.60.56/~jnz1568/getInfo.php?workbook=16_08.xlsx&amp;sheet=U0&amp;row=1228&amp;col=7&amp;number=0.0232&amp;sourceID=14","0.0232")</f>
        <v>0.0232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HYPERLINK("http://141.218.60.56/~jnz1568/getInfo.php?workbook=16_08.xlsx&amp;sheet=U0&amp;row=1229&amp;col=6&amp;number=3.5&amp;sourceID=14","3.5")</f>
        <v>3.5</v>
      </c>
      <c r="G1229" s="4" t="str">
        <f>HYPERLINK("http://141.218.60.56/~jnz1568/getInfo.php?workbook=16_08.xlsx&amp;sheet=U0&amp;row=1229&amp;col=7&amp;number=0.0232&amp;sourceID=14","0.0232")</f>
        <v>0.0232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HYPERLINK("http://141.218.60.56/~jnz1568/getInfo.php?workbook=16_08.xlsx&amp;sheet=U0&amp;row=1230&amp;col=6&amp;number=3.6&amp;sourceID=14","3.6")</f>
        <v>3.6</v>
      </c>
      <c r="G1230" s="4" t="str">
        <f>HYPERLINK("http://141.218.60.56/~jnz1568/getInfo.php?workbook=16_08.xlsx&amp;sheet=U0&amp;row=1230&amp;col=7&amp;number=0.0232&amp;sourceID=14","0.0232")</f>
        <v>0.0232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HYPERLINK("http://141.218.60.56/~jnz1568/getInfo.php?workbook=16_08.xlsx&amp;sheet=U0&amp;row=1231&amp;col=6&amp;number=3.7&amp;sourceID=14","3.7")</f>
        <v>3.7</v>
      </c>
      <c r="G1231" s="4" t="str">
        <f>HYPERLINK("http://141.218.60.56/~jnz1568/getInfo.php?workbook=16_08.xlsx&amp;sheet=U0&amp;row=1231&amp;col=7&amp;number=0.0232&amp;sourceID=14","0.0232")</f>
        <v>0.0232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HYPERLINK("http://141.218.60.56/~jnz1568/getInfo.php?workbook=16_08.xlsx&amp;sheet=U0&amp;row=1232&amp;col=6&amp;number=3.8&amp;sourceID=14","3.8")</f>
        <v>3.8</v>
      </c>
      <c r="G1232" s="4" t="str">
        <f>HYPERLINK("http://141.218.60.56/~jnz1568/getInfo.php?workbook=16_08.xlsx&amp;sheet=U0&amp;row=1232&amp;col=7&amp;number=0.0232&amp;sourceID=14","0.0232")</f>
        <v>0.0232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HYPERLINK("http://141.218.60.56/~jnz1568/getInfo.php?workbook=16_08.xlsx&amp;sheet=U0&amp;row=1233&amp;col=6&amp;number=3.9&amp;sourceID=14","3.9")</f>
        <v>3.9</v>
      </c>
      <c r="G1233" s="4" t="str">
        <f>HYPERLINK("http://141.218.60.56/~jnz1568/getInfo.php?workbook=16_08.xlsx&amp;sheet=U0&amp;row=1233&amp;col=7&amp;number=0.0231&amp;sourceID=14","0.0231")</f>
        <v>0.0231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HYPERLINK("http://141.218.60.56/~jnz1568/getInfo.php?workbook=16_08.xlsx&amp;sheet=U0&amp;row=1234&amp;col=6&amp;number=4&amp;sourceID=14","4")</f>
        <v>4</v>
      </c>
      <c r="G1234" s="4" t="str">
        <f>HYPERLINK("http://141.218.60.56/~jnz1568/getInfo.php?workbook=16_08.xlsx&amp;sheet=U0&amp;row=1234&amp;col=7&amp;number=0.0231&amp;sourceID=14","0.0231")</f>
        <v>0.0231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HYPERLINK("http://141.218.60.56/~jnz1568/getInfo.php?workbook=16_08.xlsx&amp;sheet=U0&amp;row=1235&amp;col=6&amp;number=4.1&amp;sourceID=14","4.1")</f>
        <v>4.1</v>
      </c>
      <c r="G1235" s="4" t="str">
        <f>HYPERLINK("http://141.218.60.56/~jnz1568/getInfo.php?workbook=16_08.xlsx&amp;sheet=U0&amp;row=1235&amp;col=7&amp;number=0.0231&amp;sourceID=14","0.0231")</f>
        <v>0.0231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HYPERLINK("http://141.218.60.56/~jnz1568/getInfo.php?workbook=16_08.xlsx&amp;sheet=U0&amp;row=1236&amp;col=6&amp;number=4.2&amp;sourceID=14","4.2")</f>
        <v>4.2</v>
      </c>
      <c r="G1236" s="4" t="str">
        <f>HYPERLINK("http://141.218.60.56/~jnz1568/getInfo.php?workbook=16_08.xlsx&amp;sheet=U0&amp;row=1236&amp;col=7&amp;number=0.023&amp;sourceID=14","0.023")</f>
        <v>0.023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HYPERLINK("http://141.218.60.56/~jnz1568/getInfo.php?workbook=16_08.xlsx&amp;sheet=U0&amp;row=1237&amp;col=6&amp;number=4.3&amp;sourceID=14","4.3")</f>
        <v>4.3</v>
      </c>
      <c r="G1237" s="4" t="str">
        <f>HYPERLINK("http://141.218.60.56/~jnz1568/getInfo.php?workbook=16_08.xlsx&amp;sheet=U0&amp;row=1237&amp;col=7&amp;number=0.023&amp;sourceID=14","0.023")</f>
        <v>0.023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HYPERLINK("http://141.218.60.56/~jnz1568/getInfo.php?workbook=16_08.xlsx&amp;sheet=U0&amp;row=1238&amp;col=6&amp;number=4.4&amp;sourceID=14","4.4")</f>
        <v>4.4</v>
      </c>
      <c r="G1238" s="4" t="str">
        <f>HYPERLINK("http://141.218.60.56/~jnz1568/getInfo.php?workbook=16_08.xlsx&amp;sheet=U0&amp;row=1238&amp;col=7&amp;number=0.0229&amp;sourceID=14","0.0229")</f>
        <v>0.0229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HYPERLINK("http://141.218.60.56/~jnz1568/getInfo.php?workbook=16_08.xlsx&amp;sheet=U0&amp;row=1239&amp;col=6&amp;number=4.5&amp;sourceID=14","4.5")</f>
        <v>4.5</v>
      </c>
      <c r="G1239" s="4" t="str">
        <f>HYPERLINK("http://141.218.60.56/~jnz1568/getInfo.php?workbook=16_08.xlsx&amp;sheet=U0&amp;row=1239&amp;col=7&amp;number=0.0229&amp;sourceID=14","0.0229")</f>
        <v>0.0229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HYPERLINK("http://141.218.60.56/~jnz1568/getInfo.php?workbook=16_08.xlsx&amp;sheet=U0&amp;row=1240&amp;col=6&amp;number=4.6&amp;sourceID=14","4.6")</f>
        <v>4.6</v>
      </c>
      <c r="G1240" s="4" t="str">
        <f>HYPERLINK("http://141.218.60.56/~jnz1568/getInfo.php?workbook=16_08.xlsx&amp;sheet=U0&amp;row=1240&amp;col=7&amp;number=0.0228&amp;sourceID=14","0.0228")</f>
        <v>0.0228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HYPERLINK("http://141.218.60.56/~jnz1568/getInfo.php?workbook=16_08.xlsx&amp;sheet=U0&amp;row=1241&amp;col=6&amp;number=4.7&amp;sourceID=14","4.7")</f>
        <v>4.7</v>
      </c>
      <c r="G1241" s="4" t="str">
        <f>HYPERLINK("http://141.218.60.56/~jnz1568/getInfo.php?workbook=16_08.xlsx&amp;sheet=U0&amp;row=1241&amp;col=7&amp;number=0.0227&amp;sourceID=14","0.0227")</f>
        <v>0.0227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HYPERLINK("http://141.218.60.56/~jnz1568/getInfo.php?workbook=16_08.xlsx&amp;sheet=U0&amp;row=1242&amp;col=6&amp;number=4.8&amp;sourceID=14","4.8")</f>
        <v>4.8</v>
      </c>
      <c r="G1242" s="4" t="str">
        <f>HYPERLINK("http://141.218.60.56/~jnz1568/getInfo.php?workbook=16_08.xlsx&amp;sheet=U0&amp;row=1242&amp;col=7&amp;number=0.0225&amp;sourceID=14","0.0225")</f>
        <v>0.0225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HYPERLINK("http://141.218.60.56/~jnz1568/getInfo.php?workbook=16_08.xlsx&amp;sheet=U0&amp;row=1243&amp;col=6&amp;number=4.9&amp;sourceID=14","4.9")</f>
        <v>4.9</v>
      </c>
      <c r="G1243" s="4" t="str">
        <f>HYPERLINK("http://141.218.60.56/~jnz1568/getInfo.php?workbook=16_08.xlsx&amp;sheet=U0&amp;row=1243&amp;col=7&amp;number=0.0223&amp;sourceID=14","0.0223")</f>
        <v>0.0223</v>
      </c>
    </row>
    <row r="1244" spans="1:7">
      <c r="A1244" s="3">
        <v>16</v>
      </c>
      <c r="B1244" s="3">
        <v>8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HYPERLINK("http://141.218.60.56/~jnz1568/getInfo.php?workbook=16_08.xlsx&amp;sheet=U0&amp;row=1244&amp;col=6&amp;number=3&amp;sourceID=14","3")</f>
        <v>3</v>
      </c>
      <c r="G1244" s="4" t="str">
        <f>HYPERLINK("http://141.218.60.56/~jnz1568/getInfo.php?workbook=16_08.xlsx&amp;sheet=U0&amp;row=1244&amp;col=7&amp;number=0.00634&amp;sourceID=14","0.00634")</f>
        <v>0.00634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HYPERLINK("http://141.218.60.56/~jnz1568/getInfo.php?workbook=16_08.xlsx&amp;sheet=U0&amp;row=1245&amp;col=6&amp;number=3.1&amp;sourceID=14","3.1")</f>
        <v>3.1</v>
      </c>
      <c r="G1245" s="4" t="str">
        <f>HYPERLINK("http://141.218.60.56/~jnz1568/getInfo.php?workbook=16_08.xlsx&amp;sheet=U0&amp;row=1245&amp;col=7&amp;number=0.00634&amp;sourceID=14","0.00634")</f>
        <v>0.00634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HYPERLINK("http://141.218.60.56/~jnz1568/getInfo.php?workbook=16_08.xlsx&amp;sheet=U0&amp;row=1246&amp;col=6&amp;number=3.2&amp;sourceID=14","3.2")</f>
        <v>3.2</v>
      </c>
      <c r="G1246" s="4" t="str">
        <f>HYPERLINK("http://141.218.60.56/~jnz1568/getInfo.php?workbook=16_08.xlsx&amp;sheet=U0&amp;row=1246&amp;col=7&amp;number=0.00634&amp;sourceID=14","0.00634")</f>
        <v>0.00634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HYPERLINK("http://141.218.60.56/~jnz1568/getInfo.php?workbook=16_08.xlsx&amp;sheet=U0&amp;row=1247&amp;col=6&amp;number=3.3&amp;sourceID=14","3.3")</f>
        <v>3.3</v>
      </c>
      <c r="G1247" s="4" t="str">
        <f>HYPERLINK("http://141.218.60.56/~jnz1568/getInfo.php?workbook=16_08.xlsx&amp;sheet=U0&amp;row=1247&amp;col=7&amp;number=0.00634&amp;sourceID=14","0.00634")</f>
        <v>0.00634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HYPERLINK("http://141.218.60.56/~jnz1568/getInfo.php?workbook=16_08.xlsx&amp;sheet=U0&amp;row=1248&amp;col=6&amp;number=3.4&amp;sourceID=14","3.4")</f>
        <v>3.4</v>
      </c>
      <c r="G1248" s="4" t="str">
        <f>HYPERLINK("http://141.218.60.56/~jnz1568/getInfo.php?workbook=16_08.xlsx&amp;sheet=U0&amp;row=1248&amp;col=7&amp;number=0.00634&amp;sourceID=14","0.00634")</f>
        <v>0.00634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HYPERLINK("http://141.218.60.56/~jnz1568/getInfo.php?workbook=16_08.xlsx&amp;sheet=U0&amp;row=1249&amp;col=6&amp;number=3.5&amp;sourceID=14","3.5")</f>
        <v>3.5</v>
      </c>
      <c r="G1249" s="4" t="str">
        <f>HYPERLINK("http://141.218.60.56/~jnz1568/getInfo.php?workbook=16_08.xlsx&amp;sheet=U0&amp;row=1249&amp;col=7&amp;number=0.00634&amp;sourceID=14","0.00634")</f>
        <v>0.00634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HYPERLINK("http://141.218.60.56/~jnz1568/getInfo.php?workbook=16_08.xlsx&amp;sheet=U0&amp;row=1250&amp;col=6&amp;number=3.6&amp;sourceID=14","3.6")</f>
        <v>3.6</v>
      </c>
      <c r="G1250" s="4" t="str">
        <f>HYPERLINK("http://141.218.60.56/~jnz1568/getInfo.php?workbook=16_08.xlsx&amp;sheet=U0&amp;row=1250&amp;col=7&amp;number=0.00634&amp;sourceID=14","0.00634")</f>
        <v>0.00634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HYPERLINK("http://141.218.60.56/~jnz1568/getInfo.php?workbook=16_08.xlsx&amp;sheet=U0&amp;row=1251&amp;col=6&amp;number=3.7&amp;sourceID=14","3.7")</f>
        <v>3.7</v>
      </c>
      <c r="G1251" s="4" t="str">
        <f>HYPERLINK("http://141.218.60.56/~jnz1568/getInfo.php?workbook=16_08.xlsx&amp;sheet=U0&amp;row=1251&amp;col=7&amp;number=0.00634&amp;sourceID=14","0.00634")</f>
        <v>0.00634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HYPERLINK("http://141.218.60.56/~jnz1568/getInfo.php?workbook=16_08.xlsx&amp;sheet=U0&amp;row=1252&amp;col=6&amp;number=3.8&amp;sourceID=14","3.8")</f>
        <v>3.8</v>
      </c>
      <c r="G1252" s="4" t="str">
        <f>HYPERLINK("http://141.218.60.56/~jnz1568/getInfo.php?workbook=16_08.xlsx&amp;sheet=U0&amp;row=1252&amp;col=7&amp;number=0.00634&amp;sourceID=14","0.00634")</f>
        <v>0.00634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HYPERLINK("http://141.218.60.56/~jnz1568/getInfo.php?workbook=16_08.xlsx&amp;sheet=U0&amp;row=1253&amp;col=6&amp;number=3.9&amp;sourceID=14","3.9")</f>
        <v>3.9</v>
      </c>
      <c r="G1253" s="4" t="str">
        <f>HYPERLINK("http://141.218.60.56/~jnz1568/getInfo.php?workbook=16_08.xlsx&amp;sheet=U0&amp;row=1253&amp;col=7&amp;number=0.00634&amp;sourceID=14","0.00634")</f>
        <v>0.00634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HYPERLINK("http://141.218.60.56/~jnz1568/getInfo.php?workbook=16_08.xlsx&amp;sheet=U0&amp;row=1254&amp;col=6&amp;number=4&amp;sourceID=14","4")</f>
        <v>4</v>
      </c>
      <c r="G1254" s="4" t="str">
        <f>HYPERLINK("http://141.218.60.56/~jnz1568/getInfo.php?workbook=16_08.xlsx&amp;sheet=U0&amp;row=1254&amp;col=7&amp;number=0.00633&amp;sourceID=14","0.00633")</f>
        <v>0.00633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HYPERLINK("http://141.218.60.56/~jnz1568/getInfo.php?workbook=16_08.xlsx&amp;sheet=U0&amp;row=1255&amp;col=6&amp;number=4.1&amp;sourceID=14","4.1")</f>
        <v>4.1</v>
      </c>
      <c r="G1255" s="4" t="str">
        <f>HYPERLINK("http://141.218.60.56/~jnz1568/getInfo.php?workbook=16_08.xlsx&amp;sheet=U0&amp;row=1255&amp;col=7&amp;number=0.00633&amp;sourceID=14","0.00633")</f>
        <v>0.00633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HYPERLINK("http://141.218.60.56/~jnz1568/getInfo.php?workbook=16_08.xlsx&amp;sheet=U0&amp;row=1256&amp;col=6&amp;number=4.2&amp;sourceID=14","4.2")</f>
        <v>4.2</v>
      </c>
      <c r="G1256" s="4" t="str">
        <f>HYPERLINK("http://141.218.60.56/~jnz1568/getInfo.php?workbook=16_08.xlsx&amp;sheet=U0&amp;row=1256&amp;col=7&amp;number=0.00633&amp;sourceID=14","0.00633")</f>
        <v>0.00633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HYPERLINK("http://141.218.60.56/~jnz1568/getInfo.php?workbook=16_08.xlsx&amp;sheet=U0&amp;row=1257&amp;col=6&amp;number=4.3&amp;sourceID=14","4.3")</f>
        <v>4.3</v>
      </c>
      <c r="G1257" s="4" t="str">
        <f>HYPERLINK("http://141.218.60.56/~jnz1568/getInfo.php?workbook=16_08.xlsx&amp;sheet=U0&amp;row=1257&amp;col=7&amp;number=0.00632&amp;sourceID=14","0.00632")</f>
        <v>0.00632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HYPERLINK("http://141.218.60.56/~jnz1568/getInfo.php?workbook=16_08.xlsx&amp;sheet=U0&amp;row=1258&amp;col=6&amp;number=4.4&amp;sourceID=14","4.4")</f>
        <v>4.4</v>
      </c>
      <c r="G1258" s="4" t="str">
        <f>HYPERLINK("http://141.218.60.56/~jnz1568/getInfo.php?workbook=16_08.xlsx&amp;sheet=U0&amp;row=1258&amp;col=7&amp;number=0.00631&amp;sourceID=14","0.00631")</f>
        <v>0.00631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HYPERLINK("http://141.218.60.56/~jnz1568/getInfo.php?workbook=16_08.xlsx&amp;sheet=U0&amp;row=1259&amp;col=6&amp;number=4.5&amp;sourceID=14","4.5")</f>
        <v>4.5</v>
      </c>
      <c r="G1259" s="4" t="str">
        <f>HYPERLINK("http://141.218.60.56/~jnz1568/getInfo.php?workbook=16_08.xlsx&amp;sheet=U0&amp;row=1259&amp;col=7&amp;number=0.00631&amp;sourceID=14","0.00631")</f>
        <v>0.00631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HYPERLINK("http://141.218.60.56/~jnz1568/getInfo.php?workbook=16_08.xlsx&amp;sheet=U0&amp;row=1260&amp;col=6&amp;number=4.6&amp;sourceID=14","4.6")</f>
        <v>4.6</v>
      </c>
      <c r="G1260" s="4" t="str">
        <f>HYPERLINK("http://141.218.60.56/~jnz1568/getInfo.php?workbook=16_08.xlsx&amp;sheet=U0&amp;row=1260&amp;col=7&amp;number=0.0063&amp;sourceID=14","0.0063")</f>
        <v>0.0063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HYPERLINK("http://141.218.60.56/~jnz1568/getInfo.php?workbook=16_08.xlsx&amp;sheet=U0&amp;row=1261&amp;col=6&amp;number=4.7&amp;sourceID=14","4.7")</f>
        <v>4.7</v>
      </c>
      <c r="G1261" s="4" t="str">
        <f>HYPERLINK("http://141.218.60.56/~jnz1568/getInfo.php?workbook=16_08.xlsx&amp;sheet=U0&amp;row=1261&amp;col=7&amp;number=0.00628&amp;sourceID=14","0.00628")</f>
        <v>0.00628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HYPERLINK("http://141.218.60.56/~jnz1568/getInfo.php?workbook=16_08.xlsx&amp;sheet=U0&amp;row=1262&amp;col=6&amp;number=4.8&amp;sourceID=14","4.8")</f>
        <v>4.8</v>
      </c>
      <c r="G1262" s="4" t="str">
        <f>HYPERLINK("http://141.218.60.56/~jnz1568/getInfo.php?workbook=16_08.xlsx&amp;sheet=U0&amp;row=1262&amp;col=7&amp;number=0.00627&amp;sourceID=14","0.00627")</f>
        <v>0.00627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HYPERLINK("http://141.218.60.56/~jnz1568/getInfo.php?workbook=16_08.xlsx&amp;sheet=U0&amp;row=1263&amp;col=6&amp;number=4.9&amp;sourceID=14","4.9")</f>
        <v>4.9</v>
      </c>
      <c r="G1263" s="4" t="str">
        <f>HYPERLINK("http://141.218.60.56/~jnz1568/getInfo.php?workbook=16_08.xlsx&amp;sheet=U0&amp;row=1263&amp;col=7&amp;number=0.00625&amp;sourceID=14","0.00625")</f>
        <v>0.00625</v>
      </c>
    </row>
    <row r="1264" spans="1:7">
      <c r="A1264" s="3">
        <v>16</v>
      </c>
      <c r="B1264" s="3">
        <v>8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HYPERLINK("http://141.218.60.56/~jnz1568/getInfo.php?workbook=16_08.xlsx&amp;sheet=U0&amp;row=1264&amp;col=6&amp;number=3&amp;sourceID=14","3")</f>
        <v>3</v>
      </c>
      <c r="G1264" s="4" t="str">
        <f>HYPERLINK("http://141.218.60.56/~jnz1568/getInfo.php?workbook=16_08.xlsx&amp;sheet=U0&amp;row=1264&amp;col=7&amp;number=0.0248&amp;sourceID=14","0.0248")</f>
        <v>0.0248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HYPERLINK("http://141.218.60.56/~jnz1568/getInfo.php?workbook=16_08.xlsx&amp;sheet=U0&amp;row=1265&amp;col=6&amp;number=3.1&amp;sourceID=14","3.1")</f>
        <v>3.1</v>
      </c>
      <c r="G1265" s="4" t="str">
        <f>HYPERLINK("http://141.218.60.56/~jnz1568/getInfo.php?workbook=16_08.xlsx&amp;sheet=U0&amp;row=1265&amp;col=7&amp;number=0.0248&amp;sourceID=14","0.0248")</f>
        <v>0.0248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HYPERLINK("http://141.218.60.56/~jnz1568/getInfo.php?workbook=16_08.xlsx&amp;sheet=U0&amp;row=1266&amp;col=6&amp;number=3.2&amp;sourceID=14","3.2")</f>
        <v>3.2</v>
      </c>
      <c r="G1266" s="4" t="str">
        <f>HYPERLINK("http://141.218.60.56/~jnz1568/getInfo.php?workbook=16_08.xlsx&amp;sheet=U0&amp;row=1266&amp;col=7&amp;number=0.0248&amp;sourceID=14","0.0248")</f>
        <v>0.0248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HYPERLINK("http://141.218.60.56/~jnz1568/getInfo.php?workbook=16_08.xlsx&amp;sheet=U0&amp;row=1267&amp;col=6&amp;number=3.3&amp;sourceID=14","3.3")</f>
        <v>3.3</v>
      </c>
      <c r="G1267" s="4" t="str">
        <f>HYPERLINK("http://141.218.60.56/~jnz1568/getInfo.php?workbook=16_08.xlsx&amp;sheet=U0&amp;row=1267&amp;col=7&amp;number=0.0248&amp;sourceID=14","0.0248")</f>
        <v>0.0248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HYPERLINK("http://141.218.60.56/~jnz1568/getInfo.php?workbook=16_08.xlsx&amp;sheet=U0&amp;row=1268&amp;col=6&amp;number=3.4&amp;sourceID=14","3.4")</f>
        <v>3.4</v>
      </c>
      <c r="G1268" s="4" t="str">
        <f>HYPERLINK("http://141.218.60.56/~jnz1568/getInfo.php?workbook=16_08.xlsx&amp;sheet=U0&amp;row=1268&amp;col=7&amp;number=0.0248&amp;sourceID=14","0.0248")</f>
        <v>0.0248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HYPERLINK("http://141.218.60.56/~jnz1568/getInfo.php?workbook=16_08.xlsx&amp;sheet=U0&amp;row=1269&amp;col=6&amp;number=3.5&amp;sourceID=14","3.5")</f>
        <v>3.5</v>
      </c>
      <c r="G1269" s="4" t="str">
        <f>HYPERLINK("http://141.218.60.56/~jnz1568/getInfo.php?workbook=16_08.xlsx&amp;sheet=U0&amp;row=1269&amp;col=7&amp;number=0.0248&amp;sourceID=14","0.0248")</f>
        <v>0.0248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HYPERLINK("http://141.218.60.56/~jnz1568/getInfo.php?workbook=16_08.xlsx&amp;sheet=U0&amp;row=1270&amp;col=6&amp;number=3.6&amp;sourceID=14","3.6")</f>
        <v>3.6</v>
      </c>
      <c r="G1270" s="4" t="str">
        <f>HYPERLINK("http://141.218.60.56/~jnz1568/getInfo.php?workbook=16_08.xlsx&amp;sheet=U0&amp;row=1270&amp;col=7&amp;number=0.0248&amp;sourceID=14","0.0248")</f>
        <v>0.0248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HYPERLINK("http://141.218.60.56/~jnz1568/getInfo.php?workbook=16_08.xlsx&amp;sheet=U0&amp;row=1271&amp;col=6&amp;number=3.7&amp;sourceID=14","3.7")</f>
        <v>3.7</v>
      </c>
      <c r="G1271" s="4" t="str">
        <f>HYPERLINK("http://141.218.60.56/~jnz1568/getInfo.php?workbook=16_08.xlsx&amp;sheet=U0&amp;row=1271&amp;col=7&amp;number=0.0248&amp;sourceID=14","0.0248")</f>
        <v>0.0248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HYPERLINK("http://141.218.60.56/~jnz1568/getInfo.php?workbook=16_08.xlsx&amp;sheet=U0&amp;row=1272&amp;col=6&amp;number=3.8&amp;sourceID=14","3.8")</f>
        <v>3.8</v>
      </c>
      <c r="G1272" s="4" t="str">
        <f>HYPERLINK("http://141.218.60.56/~jnz1568/getInfo.php?workbook=16_08.xlsx&amp;sheet=U0&amp;row=1272&amp;col=7&amp;number=0.0248&amp;sourceID=14","0.0248")</f>
        <v>0.0248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HYPERLINK("http://141.218.60.56/~jnz1568/getInfo.php?workbook=16_08.xlsx&amp;sheet=U0&amp;row=1273&amp;col=6&amp;number=3.9&amp;sourceID=14","3.9")</f>
        <v>3.9</v>
      </c>
      <c r="G1273" s="4" t="str">
        <f>HYPERLINK("http://141.218.60.56/~jnz1568/getInfo.php?workbook=16_08.xlsx&amp;sheet=U0&amp;row=1273&amp;col=7&amp;number=0.0248&amp;sourceID=14","0.0248")</f>
        <v>0.0248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HYPERLINK("http://141.218.60.56/~jnz1568/getInfo.php?workbook=16_08.xlsx&amp;sheet=U0&amp;row=1274&amp;col=6&amp;number=4&amp;sourceID=14","4")</f>
        <v>4</v>
      </c>
      <c r="G1274" s="4" t="str">
        <f>HYPERLINK("http://141.218.60.56/~jnz1568/getInfo.php?workbook=16_08.xlsx&amp;sheet=U0&amp;row=1274&amp;col=7&amp;number=0.0248&amp;sourceID=14","0.0248")</f>
        <v>0.0248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HYPERLINK("http://141.218.60.56/~jnz1568/getInfo.php?workbook=16_08.xlsx&amp;sheet=U0&amp;row=1275&amp;col=6&amp;number=4.1&amp;sourceID=14","4.1")</f>
        <v>4.1</v>
      </c>
      <c r="G1275" s="4" t="str">
        <f>HYPERLINK("http://141.218.60.56/~jnz1568/getInfo.php?workbook=16_08.xlsx&amp;sheet=U0&amp;row=1275&amp;col=7&amp;number=0.0249&amp;sourceID=14","0.0249")</f>
        <v>0.0249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HYPERLINK("http://141.218.60.56/~jnz1568/getInfo.php?workbook=16_08.xlsx&amp;sheet=U0&amp;row=1276&amp;col=6&amp;number=4.2&amp;sourceID=14","4.2")</f>
        <v>4.2</v>
      </c>
      <c r="G1276" s="4" t="str">
        <f>HYPERLINK("http://141.218.60.56/~jnz1568/getInfo.php?workbook=16_08.xlsx&amp;sheet=U0&amp;row=1276&amp;col=7&amp;number=0.0249&amp;sourceID=14","0.0249")</f>
        <v>0.0249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HYPERLINK("http://141.218.60.56/~jnz1568/getInfo.php?workbook=16_08.xlsx&amp;sheet=U0&amp;row=1277&amp;col=6&amp;number=4.3&amp;sourceID=14","4.3")</f>
        <v>4.3</v>
      </c>
      <c r="G1277" s="4" t="str">
        <f>HYPERLINK("http://141.218.60.56/~jnz1568/getInfo.php?workbook=16_08.xlsx&amp;sheet=U0&amp;row=1277&amp;col=7&amp;number=0.0249&amp;sourceID=14","0.0249")</f>
        <v>0.0249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HYPERLINK("http://141.218.60.56/~jnz1568/getInfo.php?workbook=16_08.xlsx&amp;sheet=U0&amp;row=1278&amp;col=6&amp;number=4.4&amp;sourceID=14","4.4")</f>
        <v>4.4</v>
      </c>
      <c r="G1278" s="4" t="str">
        <f>HYPERLINK("http://141.218.60.56/~jnz1568/getInfo.php?workbook=16_08.xlsx&amp;sheet=U0&amp;row=1278&amp;col=7&amp;number=0.0249&amp;sourceID=14","0.0249")</f>
        <v>0.0249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HYPERLINK("http://141.218.60.56/~jnz1568/getInfo.php?workbook=16_08.xlsx&amp;sheet=U0&amp;row=1279&amp;col=6&amp;number=4.5&amp;sourceID=14","4.5")</f>
        <v>4.5</v>
      </c>
      <c r="G1279" s="4" t="str">
        <f>HYPERLINK("http://141.218.60.56/~jnz1568/getInfo.php?workbook=16_08.xlsx&amp;sheet=U0&amp;row=1279&amp;col=7&amp;number=0.025&amp;sourceID=14","0.025")</f>
        <v>0.025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HYPERLINK("http://141.218.60.56/~jnz1568/getInfo.php?workbook=16_08.xlsx&amp;sheet=U0&amp;row=1280&amp;col=6&amp;number=4.6&amp;sourceID=14","4.6")</f>
        <v>4.6</v>
      </c>
      <c r="G1280" s="4" t="str">
        <f>HYPERLINK("http://141.218.60.56/~jnz1568/getInfo.php?workbook=16_08.xlsx&amp;sheet=U0&amp;row=1280&amp;col=7&amp;number=0.025&amp;sourceID=14","0.025")</f>
        <v>0.025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HYPERLINK("http://141.218.60.56/~jnz1568/getInfo.php?workbook=16_08.xlsx&amp;sheet=U0&amp;row=1281&amp;col=6&amp;number=4.7&amp;sourceID=14","4.7")</f>
        <v>4.7</v>
      </c>
      <c r="G1281" s="4" t="str">
        <f>HYPERLINK("http://141.218.60.56/~jnz1568/getInfo.php?workbook=16_08.xlsx&amp;sheet=U0&amp;row=1281&amp;col=7&amp;number=0.0251&amp;sourceID=14","0.0251")</f>
        <v>0.0251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HYPERLINK("http://141.218.60.56/~jnz1568/getInfo.php?workbook=16_08.xlsx&amp;sheet=U0&amp;row=1282&amp;col=6&amp;number=4.8&amp;sourceID=14","4.8")</f>
        <v>4.8</v>
      </c>
      <c r="G1282" s="4" t="str">
        <f>HYPERLINK("http://141.218.60.56/~jnz1568/getInfo.php?workbook=16_08.xlsx&amp;sheet=U0&amp;row=1282&amp;col=7&amp;number=0.0252&amp;sourceID=14","0.0252")</f>
        <v>0.0252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HYPERLINK("http://141.218.60.56/~jnz1568/getInfo.php?workbook=16_08.xlsx&amp;sheet=U0&amp;row=1283&amp;col=6&amp;number=4.9&amp;sourceID=14","4.9")</f>
        <v>4.9</v>
      </c>
      <c r="G1283" s="4" t="str">
        <f>HYPERLINK("http://141.218.60.56/~jnz1568/getInfo.php?workbook=16_08.xlsx&amp;sheet=U0&amp;row=1283&amp;col=7&amp;number=0.0253&amp;sourceID=14","0.0253")</f>
        <v>0.0253</v>
      </c>
    </row>
    <row r="1284" spans="1:7">
      <c r="A1284" s="3">
        <v>16</v>
      </c>
      <c r="B1284" s="3">
        <v>8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HYPERLINK("http://141.218.60.56/~jnz1568/getInfo.php?workbook=16_08.xlsx&amp;sheet=U0&amp;row=1284&amp;col=6&amp;number=3&amp;sourceID=14","3")</f>
        <v>3</v>
      </c>
      <c r="G1284" s="4" t="str">
        <f>HYPERLINK("http://141.218.60.56/~jnz1568/getInfo.php?workbook=16_08.xlsx&amp;sheet=U0&amp;row=1284&amp;col=7&amp;number=0.00151&amp;sourceID=14","0.00151")</f>
        <v>0.00151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HYPERLINK("http://141.218.60.56/~jnz1568/getInfo.php?workbook=16_08.xlsx&amp;sheet=U0&amp;row=1285&amp;col=6&amp;number=3.1&amp;sourceID=14","3.1")</f>
        <v>3.1</v>
      </c>
      <c r="G1285" s="4" t="str">
        <f>HYPERLINK("http://141.218.60.56/~jnz1568/getInfo.php?workbook=16_08.xlsx&amp;sheet=U0&amp;row=1285&amp;col=7&amp;number=0.00151&amp;sourceID=14","0.00151")</f>
        <v>0.00151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HYPERLINK("http://141.218.60.56/~jnz1568/getInfo.php?workbook=16_08.xlsx&amp;sheet=U0&amp;row=1286&amp;col=6&amp;number=3.2&amp;sourceID=14","3.2")</f>
        <v>3.2</v>
      </c>
      <c r="G1286" s="4" t="str">
        <f>HYPERLINK("http://141.218.60.56/~jnz1568/getInfo.php?workbook=16_08.xlsx&amp;sheet=U0&amp;row=1286&amp;col=7&amp;number=0.00151&amp;sourceID=14","0.00151")</f>
        <v>0.00151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HYPERLINK("http://141.218.60.56/~jnz1568/getInfo.php?workbook=16_08.xlsx&amp;sheet=U0&amp;row=1287&amp;col=6&amp;number=3.3&amp;sourceID=14","3.3")</f>
        <v>3.3</v>
      </c>
      <c r="G1287" s="4" t="str">
        <f>HYPERLINK("http://141.218.60.56/~jnz1568/getInfo.php?workbook=16_08.xlsx&amp;sheet=U0&amp;row=1287&amp;col=7&amp;number=0.00151&amp;sourceID=14","0.00151")</f>
        <v>0.00151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HYPERLINK("http://141.218.60.56/~jnz1568/getInfo.php?workbook=16_08.xlsx&amp;sheet=U0&amp;row=1288&amp;col=6&amp;number=3.4&amp;sourceID=14","3.4")</f>
        <v>3.4</v>
      </c>
      <c r="G1288" s="4" t="str">
        <f>HYPERLINK("http://141.218.60.56/~jnz1568/getInfo.php?workbook=16_08.xlsx&amp;sheet=U0&amp;row=1288&amp;col=7&amp;number=0.00151&amp;sourceID=14","0.00151")</f>
        <v>0.00151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HYPERLINK("http://141.218.60.56/~jnz1568/getInfo.php?workbook=16_08.xlsx&amp;sheet=U0&amp;row=1289&amp;col=6&amp;number=3.5&amp;sourceID=14","3.5")</f>
        <v>3.5</v>
      </c>
      <c r="G1289" s="4" t="str">
        <f>HYPERLINK("http://141.218.60.56/~jnz1568/getInfo.php?workbook=16_08.xlsx&amp;sheet=U0&amp;row=1289&amp;col=7&amp;number=0.00151&amp;sourceID=14","0.00151")</f>
        <v>0.00151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HYPERLINK("http://141.218.60.56/~jnz1568/getInfo.php?workbook=16_08.xlsx&amp;sheet=U0&amp;row=1290&amp;col=6&amp;number=3.6&amp;sourceID=14","3.6")</f>
        <v>3.6</v>
      </c>
      <c r="G1290" s="4" t="str">
        <f>HYPERLINK("http://141.218.60.56/~jnz1568/getInfo.php?workbook=16_08.xlsx&amp;sheet=U0&amp;row=1290&amp;col=7&amp;number=0.00151&amp;sourceID=14","0.00151")</f>
        <v>0.00151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HYPERLINK("http://141.218.60.56/~jnz1568/getInfo.php?workbook=16_08.xlsx&amp;sheet=U0&amp;row=1291&amp;col=6&amp;number=3.7&amp;sourceID=14","3.7")</f>
        <v>3.7</v>
      </c>
      <c r="G1291" s="4" t="str">
        <f>HYPERLINK("http://141.218.60.56/~jnz1568/getInfo.php?workbook=16_08.xlsx&amp;sheet=U0&amp;row=1291&amp;col=7&amp;number=0.00151&amp;sourceID=14","0.00151")</f>
        <v>0.00151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HYPERLINK("http://141.218.60.56/~jnz1568/getInfo.php?workbook=16_08.xlsx&amp;sheet=U0&amp;row=1292&amp;col=6&amp;number=3.8&amp;sourceID=14","3.8")</f>
        <v>3.8</v>
      </c>
      <c r="G1292" s="4" t="str">
        <f>HYPERLINK("http://141.218.60.56/~jnz1568/getInfo.php?workbook=16_08.xlsx&amp;sheet=U0&amp;row=1292&amp;col=7&amp;number=0.00151&amp;sourceID=14","0.00151")</f>
        <v>0.00151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HYPERLINK("http://141.218.60.56/~jnz1568/getInfo.php?workbook=16_08.xlsx&amp;sheet=U0&amp;row=1293&amp;col=6&amp;number=3.9&amp;sourceID=14","3.9")</f>
        <v>3.9</v>
      </c>
      <c r="G1293" s="4" t="str">
        <f>HYPERLINK("http://141.218.60.56/~jnz1568/getInfo.php?workbook=16_08.xlsx&amp;sheet=U0&amp;row=1293&amp;col=7&amp;number=0.00151&amp;sourceID=14","0.00151")</f>
        <v>0.00151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HYPERLINK("http://141.218.60.56/~jnz1568/getInfo.php?workbook=16_08.xlsx&amp;sheet=U0&amp;row=1294&amp;col=6&amp;number=4&amp;sourceID=14","4")</f>
        <v>4</v>
      </c>
      <c r="G1294" s="4" t="str">
        <f>HYPERLINK("http://141.218.60.56/~jnz1568/getInfo.php?workbook=16_08.xlsx&amp;sheet=U0&amp;row=1294&amp;col=7&amp;number=0.00151&amp;sourceID=14","0.00151")</f>
        <v>0.00151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HYPERLINK("http://141.218.60.56/~jnz1568/getInfo.php?workbook=16_08.xlsx&amp;sheet=U0&amp;row=1295&amp;col=6&amp;number=4.1&amp;sourceID=14","4.1")</f>
        <v>4.1</v>
      </c>
      <c r="G1295" s="4" t="str">
        <f>HYPERLINK("http://141.218.60.56/~jnz1568/getInfo.php?workbook=16_08.xlsx&amp;sheet=U0&amp;row=1295&amp;col=7&amp;number=0.00151&amp;sourceID=14","0.00151")</f>
        <v>0.00151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HYPERLINK("http://141.218.60.56/~jnz1568/getInfo.php?workbook=16_08.xlsx&amp;sheet=U0&amp;row=1296&amp;col=6&amp;number=4.2&amp;sourceID=14","4.2")</f>
        <v>4.2</v>
      </c>
      <c r="G1296" s="4" t="str">
        <f>HYPERLINK("http://141.218.60.56/~jnz1568/getInfo.php?workbook=16_08.xlsx&amp;sheet=U0&amp;row=1296&amp;col=7&amp;number=0.0015&amp;sourceID=14","0.0015")</f>
        <v>0.0015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HYPERLINK("http://141.218.60.56/~jnz1568/getInfo.php?workbook=16_08.xlsx&amp;sheet=U0&amp;row=1297&amp;col=6&amp;number=4.3&amp;sourceID=14","4.3")</f>
        <v>4.3</v>
      </c>
      <c r="G1297" s="4" t="str">
        <f>HYPERLINK("http://141.218.60.56/~jnz1568/getInfo.php?workbook=16_08.xlsx&amp;sheet=U0&amp;row=1297&amp;col=7&amp;number=0.0015&amp;sourceID=14","0.0015")</f>
        <v>0.0015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HYPERLINK("http://141.218.60.56/~jnz1568/getInfo.php?workbook=16_08.xlsx&amp;sheet=U0&amp;row=1298&amp;col=6&amp;number=4.4&amp;sourceID=14","4.4")</f>
        <v>4.4</v>
      </c>
      <c r="G1298" s="4" t="str">
        <f>HYPERLINK("http://141.218.60.56/~jnz1568/getInfo.php?workbook=16_08.xlsx&amp;sheet=U0&amp;row=1298&amp;col=7&amp;number=0.0015&amp;sourceID=14","0.0015")</f>
        <v>0.0015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HYPERLINK("http://141.218.60.56/~jnz1568/getInfo.php?workbook=16_08.xlsx&amp;sheet=U0&amp;row=1299&amp;col=6&amp;number=4.5&amp;sourceID=14","4.5")</f>
        <v>4.5</v>
      </c>
      <c r="G1299" s="4" t="str">
        <f>HYPERLINK("http://141.218.60.56/~jnz1568/getInfo.php?workbook=16_08.xlsx&amp;sheet=U0&amp;row=1299&amp;col=7&amp;number=0.0015&amp;sourceID=14","0.0015")</f>
        <v>0.0015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HYPERLINK("http://141.218.60.56/~jnz1568/getInfo.php?workbook=16_08.xlsx&amp;sheet=U0&amp;row=1300&amp;col=6&amp;number=4.6&amp;sourceID=14","4.6")</f>
        <v>4.6</v>
      </c>
      <c r="G1300" s="4" t="str">
        <f>HYPERLINK("http://141.218.60.56/~jnz1568/getInfo.php?workbook=16_08.xlsx&amp;sheet=U0&amp;row=1300&amp;col=7&amp;number=0.00149&amp;sourceID=14","0.00149")</f>
        <v>0.00149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HYPERLINK("http://141.218.60.56/~jnz1568/getInfo.php?workbook=16_08.xlsx&amp;sheet=U0&amp;row=1301&amp;col=6&amp;number=4.7&amp;sourceID=14","4.7")</f>
        <v>4.7</v>
      </c>
      <c r="G1301" s="4" t="str">
        <f>HYPERLINK("http://141.218.60.56/~jnz1568/getInfo.php?workbook=16_08.xlsx&amp;sheet=U0&amp;row=1301&amp;col=7&amp;number=0.00149&amp;sourceID=14","0.00149")</f>
        <v>0.00149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HYPERLINK("http://141.218.60.56/~jnz1568/getInfo.php?workbook=16_08.xlsx&amp;sheet=U0&amp;row=1302&amp;col=6&amp;number=4.8&amp;sourceID=14","4.8")</f>
        <v>4.8</v>
      </c>
      <c r="G1302" s="4" t="str">
        <f>HYPERLINK("http://141.218.60.56/~jnz1568/getInfo.php?workbook=16_08.xlsx&amp;sheet=U0&amp;row=1302&amp;col=7&amp;number=0.00148&amp;sourceID=14","0.00148")</f>
        <v>0.00148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HYPERLINK("http://141.218.60.56/~jnz1568/getInfo.php?workbook=16_08.xlsx&amp;sheet=U0&amp;row=1303&amp;col=6&amp;number=4.9&amp;sourceID=14","4.9")</f>
        <v>4.9</v>
      </c>
      <c r="G1303" s="4" t="str">
        <f>HYPERLINK("http://141.218.60.56/~jnz1568/getInfo.php?workbook=16_08.xlsx&amp;sheet=U0&amp;row=1303&amp;col=7&amp;number=0.00147&amp;sourceID=14","0.00147")</f>
        <v>0.00147</v>
      </c>
    </row>
    <row r="1304" spans="1:7">
      <c r="A1304" s="3">
        <v>16</v>
      </c>
      <c r="B1304" s="3">
        <v>8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HYPERLINK("http://141.218.60.56/~jnz1568/getInfo.php?workbook=16_08.xlsx&amp;sheet=U0&amp;row=1304&amp;col=6&amp;number=3&amp;sourceID=14","3")</f>
        <v>3</v>
      </c>
      <c r="G1304" s="4" t="str">
        <f>HYPERLINK("http://141.218.60.56/~jnz1568/getInfo.php?workbook=16_08.xlsx&amp;sheet=U0&amp;row=1304&amp;col=7&amp;number=0.187&amp;sourceID=14","0.187")</f>
        <v>0.187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HYPERLINK("http://141.218.60.56/~jnz1568/getInfo.php?workbook=16_08.xlsx&amp;sheet=U0&amp;row=1305&amp;col=6&amp;number=3.1&amp;sourceID=14","3.1")</f>
        <v>3.1</v>
      </c>
      <c r="G1305" s="4" t="str">
        <f>HYPERLINK("http://141.218.60.56/~jnz1568/getInfo.php?workbook=16_08.xlsx&amp;sheet=U0&amp;row=1305&amp;col=7&amp;number=0.188&amp;sourceID=14","0.188")</f>
        <v>0.188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HYPERLINK("http://141.218.60.56/~jnz1568/getInfo.php?workbook=16_08.xlsx&amp;sheet=U0&amp;row=1306&amp;col=6&amp;number=3.2&amp;sourceID=14","3.2")</f>
        <v>3.2</v>
      </c>
      <c r="G1306" s="4" t="str">
        <f>HYPERLINK("http://141.218.60.56/~jnz1568/getInfo.php?workbook=16_08.xlsx&amp;sheet=U0&amp;row=1306&amp;col=7&amp;number=0.188&amp;sourceID=14","0.188")</f>
        <v>0.188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HYPERLINK("http://141.218.60.56/~jnz1568/getInfo.php?workbook=16_08.xlsx&amp;sheet=U0&amp;row=1307&amp;col=6&amp;number=3.3&amp;sourceID=14","3.3")</f>
        <v>3.3</v>
      </c>
      <c r="G1307" s="4" t="str">
        <f>HYPERLINK("http://141.218.60.56/~jnz1568/getInfo.php?workbook=16_08.xlsx&amp;sheet=U0&amp;row=1307&amp;col=7&amp;number=0.188&amp;sourceID=14","0.188")</f>
        <v>0.188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HYPERLINK("http://141.218.60.56/~jnz1568/getInfo.php?workbook=16_08.xlsx&amp;sheet=U0&amp;row=1308&amp;col=6&amp;number=3.4&amp;sourceID=14","3.4")</f>
        <v>3.4</v>
      </c>
      <c r="G1308" s="4" t="str">
        <f>HYPERLINK("http://141.218.60.56/~jnz1568/getInfo.php?workbook=16_08.xlsx&amp;sheet=U0&amp;row=1308&amp;col=7&amp;number=0.188&amp;sourceID=14","0.188")</f>
        <v>0.188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HYPERLINK("http://141.218.60.56/~jnz1568/getInfo.php?workbook=16_08.xlsx&amp;sheet=U0&amp;row=1309&amp;col=6&amp;number=3.5&amp;sourceID=14","3.5")</f>
        <v>3.5</v>
      </c>
      <c r="G1309" s="4" t="str">
        <f>HYPERLINK("http://141.218.60.56/~jnz1568/getInfo.php?workbook=16_08.xlsx&amp;sheet=U0&amp;row=1309&amp;col=7&amp;number=0.188&amp;sourceID=14","0.188")</f>
        <v>0.188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HYPERLINK("http://141.218.60.56/~jnz1568/getInfo.php?workbook=16_08.xlsx&amp;sheet=U0&amp;row=1310&amp;col=6&amp;number=3.6&amp;sourceID=14","3.6")</f>
        <v>3.6</v>
      </c>
      <c r="G1310" s="4" t="str">
        <f>HYPERLINK("http://141.218.60.56/~jnz1568/getInfo.php?workbook=16_08.xlsx&amp;sheet=U0&amp;row=1310&amp;col=7&amp;number=0.188&amp;sourceID=14","0.188")</f>
        <v>0.188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HYPERLINK("http://141.218.60.56/~jnz1568/getInfo.php?workbook=16_08.xlsx&amp;sheet=U0&amp;row=1311&amp;col=6&amp;number=3.7&amp;sourceID=14","3.7")</f>
        <v>3.7</v>
      </c>
      <c r="G1311" s="4" t="str">
        <f>HYPERLINK("http://141.218.60.56/~jnz1568/getInfo.php?workbook=16_08.xlsx&amp;sheet=U0&amp;row=1311&amp;col=7&amp;number=0.188&amp;sourceID=14","0.188")</f>
        <v>0.188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HYPERLINK("http://141.218.60.56/~jnz1568/getInfo.php?workbook=16_08.xlsx&amp;sheet=U0&amp;row=1312&amp;col=6&amp;number=3.8&amp;sourceID=14","3.8")</f>
        <v>3.8</v>
      </c>
      <c r="G1312" s="4" t="str">
        <f>HYPERLINK("http://141.218.60.56/~jnz1568/getInfo.php?workbook=16_08.xlsx&amp;sheet=U0&amp;row=1312&amp;col=7&amp;number=0.188&amp;sourceID=14","0.188")</f>
        <v>0.188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HYPERLINK("http://141.218.60.56/~jnz1568/getInfo.php?workbook=16_08.xlsx&amp;sheet=U0&amp;row=1313&amp;col=6&amp;number=3.9&amp;sourceID=14","3.9")</f>
        <v>3.9</v>
      </c>
      <c r="G1313" s="4" t="str">
        <f>HYPERLINK("http://141.218.60.56/~jnz1568/getInfo.php?workbook=16_08.xlsx&amp;sheet=U0&amp;row=1313&amp;col=7&amp;number=0.188&amp;sourceID=14","0.188")</f>
        <v>0.188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HYPERLINK("http://141.218.60.56/~jnz1568/getInfo.php?workbook=16_08.xlsx&amp;sheet=U0&amp;row=1314&amp;col=6&amp;number=4&amp;sourceID=14","4")</f>
        <v>4</v>
      </c>
      <c r="G1314" s="4" t="str">
        <f>HYPERLINK("http://141.218.60.56/~jnz1568/getInfo.php?workbook=16_08.xlsx&amp;sheet=U0&amp;row=1314&amp;col=7&amp;number=0.188&amp;sourceID=14","0.188")</f>
        <v>0.188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HYPERLINK("http://141.218.60.56/~jnz1568/getInfo.php?workbook=16_08.xlsx&amp;sheet=U0&amp;row=1315&amp;col=6&amp;number=4.1&amp;sourceID=14","4.1")</f>
        <v>4.1</v>
      </c>
      <c r="G1315" s="4" t="str">
        <f>HYPERLINK("http://141.218.60.56/~jnz1568/getInfo.php?workbook=16_08.xlsx&amp;sheet=U0&amp;row=1315&amp;col=7&amp;number=0.188&amp;sourceID=14","0.188")</f>
        <v>0.188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HYPERLINK("http://141.218.60.56/~jnz1568/getInfo.php?workbook=16_08.xlsx&amp;sheet=U0&amp;row=1316&amp;col=6&amp;number=4.2&amp;sourceID=14","4.2")</f>
        <v>4.2</v>
      </c>
      <c r="G1316" s="4" t="str">
        <f>HYPERLINK("http://141.218.60.56/~jnz1568/getInfo.php?workbook=16_08.xlsx&amp;sheet=U0&amp;row=1316&amp;col=7&amp;number=0.189&amp;sourceID=14","0.189")</f>
        <v>0.189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HYPERLINK("http://141.218.60.56/~jnz1568/getInfo.php?workbook=16_08.xlsx&amp;sheet=U0&amp;row=1317&amp;col=6&amp;number=4.3&amp;sourceID=14","4.3")</f>
        <v>4.3</v>
      </c>
      <c r="G1317" s="4" t="str">
        <f>HYPERLINK("http://141.218.60.56/~jnz1568/getInfo.php?workbook=16_08.xlsx&amp;sheet=U0&amp;row=1317&amp;col=7&amp;number=0.189&amp;sourceID=14","0.189")</f>
        <v>0.189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HYPERLINK("http://141.218.60.56/~jnz1568/getInfo.php?workbook=16_08.xlsx&amp;sheet=U0&amp;row=1318&amp;col=6&amp;number=4.4&amp;sourceID=14","4.4")</f>
        <v>4.4</v>
      </c>
      <c r="G1318" s="4" t="str">
        <f>HYPERLINK("http://141.218.60.56/~jnz1568/getInfo.php?workbook=16_08.xlsx&amp;sheet=U0&amp;row=1318&amp;col=7&amp;number=0.189&amp;sourceID=14","0.189")</f>
        <v>0.189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HYPERLINK("http://141.218.60.56/~jnz1568/getInfo.php?workbook=16_08.xlsx&amp;sheet=U0&amp;row=1319&amp;col=6&amp;number=4.5&amp;sourceID=14","4.5")</f>
        <v>4.5</v>
      </c>
      <c r="G1319" s="4" t="str">
        <f>HYPERLINK("http://141.218.60.56/~jnz1568/getInfo.php?workbook=16_08.xlsx&amp;sheet=U0&amp;row=1319&amp;col=7&amp;number=0.19&amp;sourceID=14","0.19")</f>
        <v>0.19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HYPERLINK("http://141.218.60.56/~jnz1568/getInfo.php?workbook=16_08.xlsx&amp;sheet=U0&amp;row=1320&amp;col=6&amp;number=4.6&amp;sourceID=14","4.6")</f>
        <v>4.6</v>
      </c>
      <c r="G1320" s="4" t="str">
        <f>HYPERLINK("http://141.218.60.56/~jnz1568/getInfo.php?workbook=16_08.xlsx&amp;sheet=U0&amp;row=1320&amp;col=7&amp;number=0.191&amp;sourceID=14","0.191")</f>
        <v>0.191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HYPERLINK("http://141.218.60.56/~jnz1568/getInfo.php?workbook=16_08.xlsx&amp;sheet=U0&amp;row=1321&amp;col=6&amp;number=4.7&amp;sourceID=14","4.7")</f>
        <v>4.7</v>
      </c>
      <c r="G1321" s="4" t="str">
        <f>HYPERLINK("http://141.218.60.56/~jnz1568/getInfo.php?workbook=16_08.xlsx&amp;sheet=U0&amp;row=1321&amp;col=7&amp;number=0.191&amp;sourceID=14","0.191")</f>
        <v>0.191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HYPERLINK("http://141.218.60.56/~jnz1568/getInfo.php?workbook=16_08.xlsx&amp;sheet=U0&amp;row=1322&amp;col=6&amp;number=4.8&amp;sourceID=14","4.8")</f>
        <v>4.8</v>
      </c>
      <c r="G1322" s="4" t="str">
        <f>HYPERLINK("http://141.218.60.56/~jnz1568/getInfo.php?workbook=16_08.xlsx&amp;sheet=U0&amp;row=1322&amp;col=7&amp;number=0.192&amp;sourceID=14","0.192")</f>
        <v>0.192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HYPERLINK("http://141.218.60.56/~jnz1568/getInfo.php?workbook=16_08.xlsx&amp;sheet=U0&amp;row=1323&amp;col=6&amp;number=4.9&amp;sourceID=14","4.9")</f>
        <v>4.9</v>
      </c>
      <c r="G1323" s="4" t="str">
        <f>HYPERLINK("http://141.218.60.56/~jnz1568/getInfo.php?workbook=16_08.xlsx&amp;sheet=U0&amp;row=1323&amp;col=7&amp;number=0.194&amp;sourceID=14","0.194")</f>
        <v>0.194</v>
      </c>
    </row>
    <row r="1324" spans="1:7">
      <c r="A1324" s="3">
        <v>16</v>
      </c>
      <c r="B1324" s="3">
        <v>8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HYPERLINK("http://141.218.60.56/~jnz1568/getInfo.php?workbook=16_08.xlsx&amp;sheet=U0&amp;row=1324&amp;col=6&amp;number=3&amp;sourceID=14","3")</f>
        <v>3</v>
      </c>
      <c r="G1324" s="4" t="str">
        <f>HYPERLINK("http://141.218.60.56/~jnz1568/getInfo.php?workbook=16_08.xlsx&amp;sheet=U0&amp;row=1324&amp;col=7&amp;number=0.0147&amp;sourceID=14","0.0147")</f>
        <v>0.0147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HYPERLINK("http://141.218.60.56/~jnz1568/getInfo.php?workbook=16_08.xlsx&amp;sheet=U0&amp;row=1325&amp;col=6&amp;number=3.1&amp;sourceID=14","3.1")</f>
        <v>3.1</v>
      </c>
      <c r="G1325" s="4" t="str">
        <f>HYPERLINK("http://141.218.60.56/~jnz1568/getInfo.php?workbook=16_08.xlsx&amp;sheet=U0&amp;row=1325&amp;col=7&amp;number=0.0147&amp;sourceID=14","0.0147")</f>
        <v>0.0147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HYPERLINK("http://141.218.60.56/~jnz1568/getInfo.php?workbook=16_08.xlsx&amp;sheet=U0&amp;row=1326&amp;col=6&amp;number=3.2&amp;sourceID=14","3.2")</f>
        <v>3.2</v>
      </c>
      <c r="G1326" s="4" t="str">
        <f>HYPERLINK("http://141.218.60.56/~jnz1568/getInfo.php?workbook=16_08.xlsx&amp;sheet=U0&amp;row=1326&amp;col=7&amp;number=0.0147&amp;sourceID=14","0.0147")</f>
        <v>0.0147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HYPERLINK("http://141.218.60.56/~jnz1568/getInfo.php?workbook=16_08.xlsx&amp;sheet=U0&amp;row=1327&amp;col=6&amp;number=3.3&amp;sourceID=14","3.3")</f>
        <v>3.3</v>
      </c>
      <c r="G1327" s="4" t="str">
        <f>HYPERLINK("http://141.218.60.56/~jnz1568/getInfo.php?workbook=16_08.xlsx&amp;sheet=U0&amp;row=1327&amp;col=7&amp;number=0.0147&amp;sourceID=14","0.0147")</f>
        <v>0.0147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HYPERLINK("http://141.218.60.56/~jnz1568/getInfo.php?workbook=16_08.xlsx&amp;sheet=U0&amp;row=1328&amp;col=6&amp;number=3.4&amp;sourceID=14","3.4")</f>
        <v>3.4</v>
      </c>
      <c r="G1328" s="4" t="str">
        <f>HYPERLINK("http://141.218.60.56/~jnz1568/getInfo.php?workbook=16_08.xlsx&amp;sheet=U0&amp;row=1328&amp;col=7&amp;number=0.0147&amp;sourceID=14","0.0147")</f>
        <v>0.0147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HYPERLINK("http://141.218.60.56/~jnz1568/getInfo.php?workbook=16_08.xlsx&amp;sheet=U0&amp;row=1329&amp;col=6&amp;number=3.5&amp;sourceID=14","3.5")</f>
        <v>3.5</v>
      </c>
      <c r="G1329" s="4" t="str">
        <f>HYPERLINK("http://141.218.60.56/~jnz1568/getInfo.php?workbook=16_08.xlsx&amp;sheet=U0&amp;row=1329&amp;col=7&amp;number=0.0147&amp;sourceID=14","0.0147")</f>
        <v>0.0147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HYPERLINK("http://141.218.60.56/~jnz1568/getInfo.php?workbook=16_08.xlsx&amp;sheet=U0&amp;row=1330&amp;col=6&amp;number=3.6&amp;sourceID=14","3.6")</f>
        <v>3.6</v>
      </c>
      <c r="G1330" s="4" t="str">
        <f>HYPERLINK("http://141.218.60.56/~jnz1568/getInfo.php?workbook=16_08.xlsx&amp;sheet=U0&amp;row=1330&amp;col=7&amp;number=0.0147&amp;sourceID=14","0.0147")</f>
        <v>0.0147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HYPERLINK("http://141.218.60.56/~jnz1568/getInfo.php?workbook=16_08.xlsx&amp;sheet=U0&amp;row=1331&amp;col=6&amp;number=3.7&amp;sourceID=14","3.7")</f>
        <v>3.7</v>
      </c>
      <c r="G1331" s="4" t="str">
        <f>HYPERLINK("http://141.218.60.56/~jnz1568/getInfo.php?workbook=16_08.xlsx&amp;sheet=U0&amp;row=1331&amp;col=7&amp;number=0.0147&amp;sourceID=14","0.0147")</f>
        <v>0.0147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HYPERLINK("http://141.218.60.56/~jnz1568/getInfo.php?workbook=16_08.xlsx&amp;sheet=U0&amp;row=1332&amp;col=6&amp;number=3.8&amp;sourceID=14","3.8")</f>
        <v>3.8</v>
      </c>
      <c r="G1332" s="4" t="str">
        <f>HYPERLINK("http://141.218.60.56/~jnz1568/getInfo.php?workbook=16_08.xlsx&amp;sheet=U0&amp;row=1332&amp;col=7&amp;number=0.0147&amp;sourceID=14","0.0147")</f>
        <v>0.0147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HYPERLINK("http://141.218.60.56/~jnz1568/getInfo.php?workbook=16_08.xlsx&amp;sheet=U0&amp;row=1333&amp;col=6&amp;number=3.9&amp;sourceID=14","3.9")</f>
        <v>3.9</v>
      </c>
      <c r="G1333" s="4" t="str">
        <f>HYPERLINK("http://141.218.60.56/~jnz1568/getInfo.php?workbook=16_08.xlsx&amp;sheet=U0&amp;row=1333&amp;col=7&amp;number=0.0147&amp;sourceID=14","0.0147")</f>
        <v>0.0147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HYPERLINK("http://141.218.60.56/~jnz1568/getInfo.php?workbook=16_08.xlsx&amp;sheet=U0&amp;row=1334&amp;col=6&amp;number=4&amp;sourceID=14","4")</f>
        <v>4</v>
      </c>
      <c r="G1334" s="4" t="str">
        <f>HYPERLINK("http://141.218.60.56/~jnz1568/getInfo.php?workbook=16_08.xlsx&amp;sheet=U0&amp;row=1334&amp;col=7&amp;number=0.0147&amp;sourceID=14","0.0147")</f>
        <v>0.0147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HYPERLINK("http://141.218.60.56/~jnz1568/getInfo.php?workbook=16_08.xlsx&amp;sheet=U0&amp;row=1335&amp;col=6&amp;number=4.1&amp;sourceID=14","4.1")</f>
        <v>4.1</v>
      </c>
      <c r="G1335" s="4" t="str">
        <f>HYPERLINK("http://141.218.60.56/~jnz1568/getInfo.php?workbook=16_08.xlsx&amp;sheet=U0&amp;row=1335&amp;col=7&amp;number=0.0147&amp;sourceID=14","0.0147")</f>
        <v>0.0147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HYPERLINK("http://141.218.60.56/~jnz1568/getInfo.php?workbook=16_08.xlsx&amp;sheet=U0&amp;row=1336&amp;col=6&amp;number=4.2&amp;sourceID=14","4.2")</f>
        <v>4.2</v>
      </c>
      <c r="G1336" s="4" t="str">
        <f>HYPERLINK("http://141.218.60.56/~jnz1568/getInfo.php?workbook=16_08.xlsx&amp;sheet=U0&amp;row=1336&amp;col=7&amp;number=0.0147&amp;sourceID=14","0.0147")</f>
        <v>0.0147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HYPERLINK("http://141.218.60.56/~jnz1568/getInfo.php?workbook=16_08.xlsx&amp;sheet=U0&amp;row=1337&amp;col=6&amp;number=4.3&amp;sourceID=14","4.3")</f>
        <v>4.3</v>
      </c>
      <c r="G1337" s="4" t="str">
        <f>HYPERLINK("http://141.218.60.56/~jnz1568/getInfo.php?workbook=16_08.xlsx&amp;sheet=U0&amp;row=1337&amp;col=7&amp;number=0.0147&amp;sourceID=14","0.0147")</f>
        <v>0.0147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HYPERLINK("http://141.218.60.56/~jnz1568/getInfo.php?workbook=16_08.xlsx&amp;sheet=U0&amp;row=1338&amp;col=6&amp;number=4.4&amp;sourceID=14","4.4")</f>
        <v>4.4</v>
      </c>
      <c r="G1338" s="4" t="str">
        <f>HYPERLINK("http://141.218.60.56/~jnz1568/getInfo.php?workbook=16_08.xlsx&amp;sheet=U0&amp;row=1338&amp;col=7&amp;number=0.0147&amp;sourceID=14","0.0147")</f>
        <v>0.0147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HYPERLINK("http://141.218.60.56/~jnz1568/getInfo.php?workbook=16_08.xlsx&amp;sheet=U0&amp;row=1339&amp;col=6&amp;number=4.5&amp;sourceID=14","4.5")</f>
        <v>4.5</v>
      </c>
      <c r="G1339" s="4" t="str">
        <f>HYPERLINK("http://141.218.60.56/~jnz1568/getInfo.php?workbook=16_08.xlsx&amp;sheet=U0&amp;row=1339&amp;col=7&amp;number=0.0147&amp;sourceID=14","0.0147")</f>
        <v>0.0147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HYPERLINK("http://141.218.60.56/~jnz1568/getInfo.php?workbook=16_08.xlsx&amp;sheet=U0&amp;row=1340&amp;col=6&amp;number=4.6&amp;sourceID=14","4.6")</f>
        <v>4.6</v>
      </c>
      <c r="G1340" s="4" t="str">
        <f>HYPERLINK("http://141.218.60.56/~jnz1568/getInfo.php?workbook=16_08.xlsx&amp;sheet=U0&amp;row=1340&amp;col=7&amp;number=0.0146&amp;sourceID=14","0.0146")</f>
        <v>0.0146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HYPERLINK("http://141.218.60.56/~jnz1568/getInfo.php?workbook=16_08.xlsx&amp;sheet=U0&amp;row=1341&amp;col=6&amp;number=4.7&amp;sourceID=14","4.7")</f>
        <v>4.7</v>
      </c>
      <c r="G1341" s="4" t="str">
        <f>HYPERLINK("http://141.218.60.56/~jnz1568/getInfo.php?workbook=16_08.xlsx&amp;sheet=U0&amp;row=1341&amp;col=7&amp;number=0.0146&amp;sourceID=14","0.0146")</f>
        <v>0.0146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HYPERLINK("http://141.218.60.56/~jnz1568/getInfo.php?workbook=16_08.xlsx&amp;sheet=U0&amp;row=1342&amp;col=6&amp;number=4.8&amp;sourceID=14","4.8")</f>
        <v>4.8</v>
      </c>
      <c r="G1342" s="4" t="str">
        <f>HYPERLINK("http://141.218.60.56/~jnz1568/getInfo.php?workbook=16_08.xlsx&amp;sheet=U0&amp;row=1342&amp;col=7&amp;number=0.0146&amp;sourceID=14","0.0146")</f>
        <v>0.0146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HYPERLINK("http://141.218.60.56/~jnz1568/getInfo.php?workbook=16_08.xlsx&amp;sheet=U0&amp;row=1343&amp;col=6&amp;number=4.9&amp;sourceID=14","4.9")</f>
        <v>4.9</v>
      </c>
      <c r="G1343" s="4" t="str">
        <f>HYPERLINK("http://141.218.60.56/~jnz1568/getInfo.php?workbook=16_08.xlsx&amp;sheet=U0&amp;row=1343&amp;col=7&amp;number=0.0146&amp;sourceID=14","0.0146")</f>
        <v>0.0146</v>
      </c>
    </row>
    <row r="1344" spans="1:7">
      <c r="A1344" s="3">
        <v>16</v>
      </c>
      <c r="B1344" s="3">
        <v>8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HYPERLINK("http://141.218.60.56/~jnz1568/getInfo.php?workbook=16_08.xlsx&amp;sheet=U0&amp;row=1344&amp;col=6&amp;number=3&amp;sourceID=14","3")</f>
        <v>3</v>
      </c>
      <c r="G1344" s="4" t="str">
        <f>HYPERLINK("http://141.218.60.56/~jnz1568/getInfo.php?workbook=16_08.xlsx&amp;sheet=U0&amp;row=1344&amp;col=7&amp;number=0.168&amp;sourceID=14","0.168")</f>
        <v>0.168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HYPERLINK("http://141.218.60.56/~jnz1568/getInfo.php?workbook=16_08.xlsx&amp;sheet=U0&amp;row=1345&amp;col=6&amp;number=3.1&amp;sourceID=14","3.1")</f>
        <v>3.1</v>
      </c>
      <c r="G1345" s="4" t="str">
        <f>HYPERLINK("http://141.218.60.56/~jnz1568/getInfo.php?workbook=16_08.xlsx&amp;sheet=U0&amp;row=1345&amp;col=7&amp;number=0.168&amp;sourceID=14","0.168")</f>
        <v>0.168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HYPERLINK("http://141.218.60.56/~jnz1568/getInfo.php?workbook=16_08.xlsx&amp;sheet=U0&amp;row=1346&amp;col=6&amp;number=3.2&amp;sourceID=14","3.2")</f>
        <v>3.2</v>
      </c>
      <c r="G1346" s="4" t="str">
        <f>HYPERLINK("http://141.218.60.56/~jnz1568/getInfo.php?workbook=16_08.xlsx&amp;sheet=U0&amp;row=1346&amp;col=7&amp;number=0.168&amp;sourceID=14","0.168")</f>
        <v>0.168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HYPERLINK("http://141.218.60.56/~jnz1568/getInfo.php?workbook=16_08.xlsx&amp;sheet=U0&amp;row=1347&amp;col=6&amp;number=3.3&amp;sourceID=14","3.3")</f>
        <v>3.3</v>
      </c>
      <c r="G1347" s="4" t="str">
        <f>HYPERLINK("http://141.218.60.56/~jnz1568/getInfo.php?workbook=16_08.xlsx&amp;sheet=U0&amp;row=1347&amp;col=7&amp;number=0.168&amp;sourceID=14","0.168")</f>
        <v>0.168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HYPERLINK("http://141.218.60.56/~jnz1568/getInfo.php?workbook=16_08.xlsx&amp;sheet=U0&amp;row=1348&amp;col=6&amp;number=3.4&amp;sourceID=14","3.4")</f>
        <v>3.4</v>
      </c>
      <c r="G1348" s="4" t="str">
        <f>HYPERLINK("http://141.218.60.56/~jnz1568/getInfo.php?workbook=16_08.xlsx&amp;sheet=U0&amp;row=1348&amp;col=7&amp;number=0.168&amp;sourceID=14","0.168")</f>
        <v>0.168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HYPERLINK("http://141.218.60.56/~jnz1568/getInfo.php?workbook=16_08.xlsx&amp;sheet=U0&amp;row=1349&amp;col=6&amp;number=3.5&amp;sourceID=14","3.5")</f>
        <v>3.5</v>
      </c>
      <c r="G1349" s="4" t="str">
        <f>HYPERLINK("http://141.218.60.56/~jnz1568/getInfo.php?workbook=16_08.xlsx&amp;sheet=U0&amp;row=1349&amp;col=7&amp;number=0.168&amp;sourceID=14","0.168")</f>
        <v>0.168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HYPERLINK("http://141.218.60.56/~jnz1568/getInfo.php?workbook=16_08.xlsx&amp;sheet=U0&amp;row=1350&amp;col=6&amp;number=3.6&amp;sourceID=14","3.6")</f>
        <v>3.6</v>
      </c>
      <c r="G1350" s="4" t="str">
        <f>HYPERLINK("http://141.218.60.56/~jnz1568/getInfo.php?workbook=16_08.xlsx&amp;sheet=U0&amp;row=1350&amp;col=7&amp;number=0.168&amp;sourceID=14","0.168")</f>
        <v>0.168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HYPERLINK("http://141.218.60.56/~jnz1568/getInfo.php?workbook=16_08.xlsx&amp;sheet=U0&amp;row=1351&amp;col=6&amp;number=3.7&amp;sourceID=14","3.7")</f>
        <v>3.7</v>
      </c>
      <c r="G1351" s="4" t="str">
        <f>HYPERLINK("http://141.218.60.56/~jnz1568/getInfo.php?workbook=16_08.xlsx&amp;sheet=U0&amp;row=1351&amp;col=7&amp;number=0.168&amp;sourceID=14","0.168")</f>
        <v>0.168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HYPERLINK("http://141.218.60.56/~jnz1568/getInfo.php?workbook=16_08.xlsx&amp;sheet=U0&amp;row=1352&amp;col=6&amp;number=3.8&amp;sourceID=14","3.8")</f>
        <v>3.8</v>
      </c>
      <c r="G1352" s="4" t="str">
        <f>HYPERLINK("http://141.218.60.56/~jnz1568/getInfo.php?workbook=16_08.xlsx&amp;sheet=U0&amp;row=1352&amp;col=7&amp;number=0.168&amp;sourceID=14","0.168")</f>
        <v>0.168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HYPERLINK("http://141.218.60.56/~jnz1568/getInfo.php?workbook=16_08.xlsx&amp;sheet=U0&amp;row=1353&amp;col=6&amp;number=3.9&amp;sourceID=14","3.9")</f>
        <v>3.9</v>
      </c>
      <c r="G1353" s="4" t="str">
        <f>HYPERLINK("http://141.218.60.56/~jnz1568/getInfo.php?workbook=16_08.xlsx&amp;sheet=U0&amp;row=1353&amp;col=7&amp;number=0.168&amp;sourceID=14","0.168")</f>
        <v>0.168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HYPERLINK("http://141.218.60.56/~jnz1568/getInfo.php?workbook=16_08.xlsx&amp;sheet=U0&amp;row=1354&amp;col=6&amp;number=4&amp;sourceID=14","4")</f>
        <v>4</v>
      </c>
      <c r="G1354" s="4" t="str">
        <f>HYPERLINK("http://141.218.60.56/~jnz1568/getInfo.php?workbook=16_08.xlsx&amp;sheet=U0&amp;row=1354&amp;col=7&amp;number=0.168&amp;sourceID=14","0.168")</f>
        <v>0.168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HYPERLINK("http://141.218.60.56/~jnz1568/getInfo.php?workbook=16_08.xlsx&amp;sheet=U0&amp;row=1355&amp;col=6&amp;number=4.1&amp;sourceID=14","4.1")</f>
        <v>4.1</v>
      </c>
      <c r="G1355" s="4" t="str">
        <f>HYPERLINK("http://141.218.60.56/~jnz1568/getInfo.php?workbook=16_08.xlsx&amp;sheet=U0&amp;row=1355&amp;col=7&amp;number=0.168&amp;sourceID=14","0.168")</f>
        <v>0.168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HYPERLINK("http://141.218.60.56/~jnz1568/getInfo.php?workbook=16_08.xlsx&amp;sheet=U0&amp;row=1356&amp;col=6&amp;number=4.2&amp;sourceID=14","4.2")</f>
        <v>4.2</v>
      </c>
      <c r="G1356" s="4" t="str">
        <f>HYPERLINK("http://141.218.60.56/~jnz1568/getInfo.php?workbook=16_08.xlsx&amp;sheet=U0&amp;row=1356&amp;col=7&amp;number=0.168&amp;sourceID=14","0.168")</f>
        <v>0.168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HYPERLINK("http://141.218.60.56/~jnz1568/getInfo.php?workbook=16_08.xlsx&amp;sheet=U0&amp;row=1357&amp;col=6&amp;number=4.3&amp;sourceID=14","4.3")</f>
        <v>4.3</v>
      </c>
      <c r="G1357" s="4" t="str">
        <f>HYPERLINK("http://141.218.60.56/~jnz1568/getInfo.php?workbook=16_08.xlsx&amp;sheet=U0&amp;row=1357&amp;col=7&amp;number=0.169&amp;sourceID=14","0.169")</f>
        <v>0.169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HYPERLINK("http://141.218.60.56/~jnz1568/getInfo.php?workbook=16_08.xlsx&amp;sheet=U0&amp;row=1358&amp;col=6&amp;number=4.4&amp;sourceID=14","4.4")</f>
        <v>4.4</v>
      </c>
      <c r="G1358" s="4" t="str">
        <f>HYPERLINK("http://141.218.60.56/~jnz1568/getInfo.php?workbook=16_08.xlsx&amp;sheet=U0&amp;row=1358&amp;col=7&amp;number=0.169&amp;sourceID=14","0.169")</f>
        <v>0.169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HYPERLINK("http://141.218.60.56/~jnz1568/getInfo.php?workbook=16_08.xlsx&amp;sheet=U0&amp;row=1359&amp;col=6&amp;number=4.5&amp;sourceID=14","4.5")</f>
        <v>4.5</v>
      </c>
      <c r="G1359" s="4" t="str">
        <f>HYPERLINK("http://141.218.60.56/~jnz1568/getInfo.php?workbook=16_08.xlsx&amp;sheet=U0&amp;row=1359&amp;col=7&amp;number=0.169&amp;sourceID=14","0.169")</f>
        <v>0.169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HYPERLINK("http://141.218.60.56/~jnz1568/getInfo.php?workbook=16_08.xlsx&amp;sheet=U0&amp;row=1360&amp;col=6&amp;number=4.6&amp;sourceID=14","4.6")</f>
        <v>4.6</v>
      </c>
      <c r="G1360" s="4" t="str">
        <f>HYPERLINK("http://141.218.60.56/~jnz1568/getInfo.php?workbook=16_08.xlsx&amp;sheet=U0&amp;row=1360&amp;col=7&amp;number=0.17&amp;sourceID=14","0.17")</f>
        <v>0.17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HYPERLINK("http://141.218.60.56/~jnz1568/getInfo.php?workbook=16_08.xlsx&amp;sheet=U0&amp;row=1361&amp;col=6&amp;number=4.7&amp;sourceID=14","4.7")</f>
        <v>4.7</v>
      </c>
      <c r="G1361" s="4" t="str">
        <f>HYPERLINK("http://141.218.60.56/~jnz1568/getInfo.php?workbook=16_08.xlsx&amp;sheet=U0&amp;row=1361&amp;col=7&amp;number=0.171&amp;sourceID=14","0.171")</f>
        <v>0.171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HYPERLINK("http://141.218.60.56/~jnz1568/getInfo.php?workbook=16_08.xlsx&amp;sheet=U0&amp;row=1362&amp;col=6&amp;number=4.8&amp;sourceID=14","4.8")</f>
        <v>4.8</v>
      </c>
      <c r="G1362" s="4" t="str">
        <f>HYPERLINK("http://141.218.60.56/~jnz1568/getInfo.php?workbook=16_08.xlsx&amp;sheet=U0&amp;row=1362&amp;col=7&amp;number=0.171&amp;sourceID=14","0.171")</f>
        <v>0.171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HYPERLINK("http://141.218.60.56/~jnz1568/getInfo.php?workbook=16_08.xlsx&amp;sheet=U0&amp;row=1363&amp;col=6&amp;number=4.9&amp;sourceID=14","4.9")</f>
        <v>4.9</v>
      </c>
      <c r="G1363" s="4" t="str">
        <f>HYPERLINK("http://141.218.60.56/~jnz1568/getInfo.php?workbook=16_08.xlsx&amp;sheet=U0&amp;row=1363&amp;col=7&amp;number=0.172&amp;sourceID=14","0.172")</f>
        <v>0.172</v>
      </c>
    </row>
    <row r="1364" spans="1:7">
      <c r="A1364" s="3">
        <v>16</v>
      </c>
      <c r="B1364" s="3">
        <v>8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HYPERLINK("http://141.218.60.56/~jnz1568/getInfo.php?workbook=16_08.xlsx&amp;sheet=U0&amp;row=1364&amp;col=6&amp;number=3&amp;sourceID=14","3")</f>
        <v>3</v>
      </c>
      <c r="G1364" s="4" t="str">
        <f>HYPERLINK("http://141.218.60.56/~jnz1568/getInfo.php?workbook=16_08.xlsx&amp;sheet=U0&amp;row=1364&amp;col=7&amp;number=0.0512&amp;sourceID=14","0.0512")</f>
        <v>0.0512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HYPERLINK("http://141.218.60.56/~jnz1568/getInfo.php?workbook=16_08.xlsx&amp;sheet=U0&amp;row=1365&amp;col=6&amp;number=3.1&amp;sourceID=14","3.1")</f>
        <v>3.1</v>
      </c>
      <c r="G1365" s="4" t="str">
        <f>HYPERLINK("http://141.218.60.56/~jnz1568/getInfo.php?workbook=16_08.xlsx&amp;sheet=U0&amp;row=1365&amp;col=7&amp;number=0.0512&amp;sourceID=14","0.0512")</f>
        <v>0.0512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HYPERLINK("http://141.218.60.56/~jnz1568/getInfo.php?workbook=16_08.xlsx&amp;sheet=U0&amp;row=1366&amp;col=6&amp;number=3.2&amp;sourceID=14","3.2")</f>
        <v>3.2</v>
      </c>
      <c r="G1366" s="4" t="str">
        <f>HYPERLINK("http://141.218.60.56/~jnz1568/getInfo.php?workbook=16_08.xlsx&amp;sheet=U0&amp;row=1366&amp;col=7&amp;number=0.0512&amp;sourceID=14","0.0512")</f>
        <v>0.0512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HYPERLINK("http://141.218.60.56/~jnz1568/getInfo.php?workbook=16_08.xlsx&amp;sheet=U0&amp;row=1367&amp;col=6&amp;number=3.3&amp;sourceID=14","3.3")</f>
        <v>3.3</v>
      </c>
      <c r="G1367" s="4" t="str">
        <f>HYPERLINK("http://141.218.60.56/~jnz1568/getInfo.php?workbook=16_08.xlsx&amp;sheet=U0&amp;row=1367&amp;col=7&amp;number=0.0512&amp;sourceID=14","0.0512")</f>
        <v>0.0512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HYPERLINK("http://141.218.60.56/~jnz1568/getInfo.php?workbook=16_08.xlsx&amp;sheet=U0&amp;row=1368&amp;col=6&amp;number=3.4&amp;sourceID=14","3.4")</f>
        <v>3.4</v>
      </c>
      <c r="G1368" s="4" t="str">
        <f>HYPERLINK("http://141.218.60.56/~jnz1568/getInfo.php?workbook=16_08.xlsx&amp;sheet=U0&amp;row=1368&amp;col=7&amp;number=0.0512&amp;sourceID=14","0.0512")</f>
        <v>0.0512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HYPERLINK("http://141.218.60.56/~jnz1568/getInfo.php?workbook=16_08.xlsx&amp;sheet=U0&amp;row=1369&amp;col=6&amp;number=3.5&amp;sourceID=14","3.5")</f>
        <v>3.5</v>
      </c>
      <c r="G1369" s="4" t="str">
        <f>HYPERLINK("http://141.218.60.56/~jnz1568/getInfo.php?workbook=16_08.xlsx&amp;sheet=U0&amp;row=1369&amp;col=7&amp;number=0.0512&amp;sourceID=14","0.0512")</f>
        <v>0.0512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HYPERLINK("http://141.218.60.56/~jnz1568/getInfo.php?workbook=16_08.xlsx&amp;sheet=U0&amp;row=1370&amp;col=6&amp;number=3.6&amp;sourceID=14","3.6")</f>
        <v>3.6</v>
      </c>
      <c r="G1370" s="4" t="str">
        <f>HYPERLINK("http://141.218.60.56/~jnz1568/getInfo.php?workbook=16_08.xlsx&amp;sheet=U0&amp;row=1370&amp;col=7&amp;number=0.0512&amp;sourceID=14","0.0512")</f>
        <v>0.0512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HYPERLINK("http://141.218.60.56/~jnz1568/getInfo.php?workbook=16_08.xlsx&amp;sheet=U0&amp;row=1371&amp;col=6&amp;number=3.7&amp;sourceID=14","3.7")</f>
        <v>3.7</v>
      </c>
      <c r="G1371" s="4" t="str">
        <f>HYPERLINK("http://141.218.60.56/~jnz1568/getInfo.php?workbook=16_08.xlsx&amp;sheet=U0&amp;row=1371&amp;col=7&amp;number=0.0513&amp;sourceID=14","0.0513")</f>
        <v>0.0513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HYPERLINK("http://141.218.60.56/~jnz1568/getInfo.php?workbook=16_08.xlsx&amp;sheet=U0&amp;row=1372&amp;col=6&amp;number=3.8&amp;sourceID=14","3.8")</f>
        <v>3.8</v>
      </c>
      <c r="G1372" s="4" t="str">
        <f>HYPERLINK("http://141.218.60.56/~jnz1568/getInfo.php?workbook=16_08.xlsx&amp;sheet=U0&amp;row=1372&amp;col=7&amp;number=0.0513&amp;sourceID=14","0.0513")</f>
        <v>0.0513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HYPERLINK("http://141.218.60.56/~jnz1568/getInfo.php?workbook=16_08.xlsx&amp;sheet=U0&amp;row=1373&amp;col=6&amp;number=3.9&amp;sourceID=14","3.9")</f>
        <v>3.9</v>
      </c>
      <c r="G1373" s="4" t="str">
        <f>HYPERLINK("http://141.218.60.56/~jnz1568/getInfo.php?workbook=16_08.xlsx&amp;sheet=U0&amp;row=1373&amp;col=7&amp;number=0.0513&amp;sourceID=14","0.0513")</f>
        <v>0.0513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HYPERLINK("http://141.218.60.56/~jnz1568/getInfo.php?workbook=16_08.xlsx&amp;sheet=U0&amp;row=1374&amp;col=6&amp;number=4&amp;sourceID=14","4")</f>
        <v>4</v>
      </c>
      <c r="G1374" s="4" t="str">
        <f>HYPERLINK("http://141.218.60.56/~jnz1568/getInfo.php?workbook=16_08.xlsx&amp;sheet=U0&amp;row=1374&amp;col=7&amp;number=0.0514&amp;sourceID=14","0.0514")</f>
        <v>0.0514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HYPERLINK("http://141.218.60.56/~jnz1568/getInfo.php?workbook=16_08.xlsx&amp;sheet=U0&amp;row=1375&amp;col=6&amp;number=4.1&amp;sourceID=14","4.1")</f>
        <v>4.1</v>
      </c>
      <c r="G1375" s="4" t="str">
        <f>HYPERLINK("http://141.218.60.56/~jnz1568/getInfo.php?workbook=16_08.xlsx&amp;sheet=U0&amp;row=1375&amp;col=7&amp;number=0.0514&amp;sourceID=14","0.0514")</f>
        <v>0.0514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HYPERLINK("http://141.218.60.56/~jnz1568/getInfo.php?workbook=16_08.xlsx&amp;sheet=U0&amp;row=1376&amp;col=6&amp;number=4.2&amp;sourceID=14","4.2")</f>
        <v>4.2</v>
      </c>
      <c r="G1376" s="4" t="str">
        <f>HYPERLINK("http://141.218.60.56/~jnz1568/getInfo.php?workbook=16_08.xlsx&amp;sheet=U0&amp;row=1376&amp;col=7&amp;number=0.0515&amp;sourceID=14","0.0515")</f>
        <v>0.0515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HYPERLINK("http://141.218.60.56/~jnz1568/getInfo.php?workbook=16_08.xlsx&amp;sheet=U0&amp;row=1377&amp;col=6&amp;number=4.3&amp;sourceID=14","4.3")</f>
        <v>4.3</v>
      </c>
      <c r="G1377" s="4" t="str">
        <f>HYPERLINK("http://141.218.60.56/~jnz1568/getInfo.php?workbook=16_08.xlsx&amp;sheet=U0&amp;row=1377&amp;col=7&amp;number=0.0515&amp;sourceID=14","0.0515")</f>
        <v>0.0515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HYPERLINK("http://141.218.60.56/~jnz1568/getInfo.php?workbook=16_08.xlsx&amp;sheet=U0&amp;row=1378&amp;col=6&amp;number=4.4&amp;sourceID=14","4.4")</f>
        <v>4.4</v>
      </c>
      <c r="G1378" s="4" t="str">
        <f>HYPERLINK("http://141.218.60.56/~jnz1568/getInfo.php?workbook=16_08.xlsx&amp;sheet=U0&amp;row=1378&amp;col=7&amp;number=0.0516&amp;sourceID=14","0.0516")</f>
        <v>0.0516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HYPERLINK("http://141.218.60.56/~jnz1568/getInfo.php?workbook=16_08.xlsx&amp;sheet=U0&amp;row=1379&amp;col=6&amp;number=4.5&amp;sourceID=14","4.5")</f>
        <v>4.5</v>
      </c>
      <c r="G1379" s="4" t="str">
        <f>HYPERLINK("http://141.218.60.56/~jnz1568/getInfo.php?workbook=16_08.xlsx&amp;sheet=U0&amp;row=1379&amp;col=7&amp;number=0.0518&amp;sourceID=14","0.0518")</f>
        <v>0.0518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HYPERLINK("http://141.218.60.56/~jnz1568/getInfo.php?workbook=16_08.xlsx&amp;sheet=U0&amp;row=1380&amp;col=6&amp;number=4.6&amp;sourceID=14","4.6")</f>
        <v>4.6</v>
      </c>
      <c r="G1380" s="4" t="str">
        <f>HYPERLINK("http://141.218.60.56/~jnz1568/getInfo.php?workbook=16_08.xlsx&amp;sheet=U0&amp;row=1380&amp;col=7&amp;number=0.0519&amp;sourceID=14","0.0519")</f>
        <v>0.0519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HYPERLINK("http://141.218.60.56/~jnz1568/getInfo.php?workbook=16_08.xlsx&amp;sheet=U0&amp;row=1381&amp;col=6&amp;number=4.7&amp;sourceID=14","4.7")</f>
        <v>4.7</v>
      </c>
      <c r="G1381" s="4" t="str">
        <f>HYPERLINK("http://141.218.60.56/~jnz1568/getInfo.php?workbook=16_08.xlsx&amp;sheet=U0&amp;row=1381&amp;col=7&amp;number=0.0521&amp;sourceID=14","0.0521")</f>
        <v>0.0521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HYPERLINK("http://141.218.60.56/~jnz1568/getInfo.php?workbook=16_08.xlsx&amp;sheet=U0&amp;row=1382&amp;col=6&amp;number=4.8&amp;sourceID=14","4.8")</f>
        <v>4.8</v>
      </c>
      <c r="G1382" s="4" t="str">
        <f>HYPERLINK("http://141.218.60.56/~jnz1568/getInfo.php?workbook=16_08.xlsx&amp;sheet=U0&amp;row=1382&amp;col=7&amp;number=0.0523&amp;sourceID=14","0.0523")</f>
        <v>0.0523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HYPERLINK("http://141.218.60.56/~jnz1568/getInfo.php?workbook=16_08.xlsx&amp;sheet=U0&amp;row=1383&amp;col=6&amp;number=4.9&amp;sourceID=14","4.9")</f>
        <v>4.9</v>
      </c>
      <c r="G1383" s="4" t="str">
        <f>HYPERLINK("http://141.218.60.56/~jnz1568/getInfo.php?workbook=16_08.xlsx&amp;sheet=U0&amp;row=1383&amp;col=7&amp;number=0.0526&amp;sourceID=14","0.0526")</f>
        <v>0.0526</v>
      </c>
    </row>
    <row r="1384" spans="1:7">
      <c r="A1384" s="3">
        <v>16</v>
      </c>
      <c r="B1384" s="3">
        <v>8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HYPERLINK("http://141.218.60.56/~jnz1568/getInfo.php?workbook=16_08.xlsx&amp;sheet=U0&amp;row=1384&amp;col=6&amp;number=3&amp;sourceID=14","3")</f>
        <v>3</v>
      </c>
      <c r="G1384" s="4" t="str">
        <f>HYPERLINK("http://141.218.60.56/~jnz1568/getInfo.php?workbook=16_08.xlsx&amp;sheet=U0&amp;row=1384&amp;col=7&amp;number=0.00214&amp;sourceID=14","0.00214")</f>
        <v>0.00214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HYPERLINK("http://141.218.60.56/~jnz1568/getInfo.php?workbook=16_08.xlsx&amp;sheet=U0&amp;row=1385&amp;col=6&amp;number=3.1&amp;sourceID=14","3.1")</f>
        <v>3.1</v>
      </c>
      <c r="G1385" s="4" t="str">
        <f>HYPERLINK("http://141.218.60.56/~jnz1568/getInfo.php?workbook=16_08.xlsx&amp;sheet=U0&amp;row=1385&amp;col=7&amp;number=0.00214&amp;sourceID=14","0.00214")</f>
        <v>0.00214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HYPERLINK("http://141.218.60.56/~jnz1568/getInfo.php?workbook=16_08.xlsx&amp;sheet=U0&amp;row=1386&amp;col=6&amp;number=3.2&amp;sourceID=14","3.2")</f>
        <v>3.2</v>
      </c>
      <c r="G1386" s="4" t="str">
        <f>HYPERLINK("http://141.218.60.56/~jnz1568/getInfo.php?workbook=16_08.xlsx&amp;sheet=U0&amp;row=1386&amp;col=7&amp;number=0.00214&amp;sourceID=14","0.00214")</f>
        <v>0.00214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HYPERLINK("http://141.218.60.56/~jnz1568/getInfo.php?workbook=16_08.xlsx&amp;sheet=U0&amp;row=1387&amp;col=6&amp;number=3.3&amp;sourceID=14","3.3")</f>
        <v>3.3</v>
      </c>
      <c r="G1387" s="4" t="str">
        <f>HYPERLINK("http://141.218.60.56/~jnz1568/getInfo.php?workbook=16_08.xlsx&amp;sheet=U0&amp;row=1387&amp;col=7&amp;number=0.00214&amp;sourceID=14","0.00214")</f>
        <v>0.00214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HYPERLINK("http://141.218.60.56/~jnz1568/getInfo.php?workbook=16_08.xlsx&amp;sheet=U0&amp;row=1388&amp;col=6&amp;number=3.4&amp;sourceID=14","3.4")</f>
        <v>3.4</v>
      </c>
      <c r="G1388" s="4" t="str">
        <f>HYPERLINK("http://141.218.60.56/~jnz1568/getInfo.php?workbook=16_08.xlsx&amp;sheet=U0&amp;row=1388&amp;col=7&amp;number=0.00214&amp;sourceID=14","0.00214")</f>
        <v>0.00214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HYPERLINK("http://141.218.60.56/~jnz1568/getInfo.php?workbook=16_08.xlsx&amp;sheet=U0&amp;row=1389&amp;col=6&amp;number=3.5&amp;sourceID=14","3.5")</f>
        <v>3.5</v>
      </c>
      <c r="G1389" s="4" t="str">
        <f>HYPERLINK("http://141.218.60.56/~jnz1568/getInfo.php?workbook=16_08.xlsx&amp;sheet=U0&amp;row=1389&amp;col=7&amp;number=0.00214&amp;sourceID=14","0.00214")</f>
        <v>0.00214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HYPERLINK("http://141.218.60.56/~jnz1568/getInfo.php?workbook=16_08.xlsx&amp;sheet=U0&amp;row=1390&amp;col=6&amp;number=3.6&amp;sourceID=14","3.6")</f>
        <v>3.6</v>
      </c>
      <c r="G1390" s="4" t="str">
        <f>HYPERLINK("http://141.218.60.56/~jnz1568/getInfo.php?workbook=16_08.xlsx&amp;sheet=U0&amp;row=1390&amp;col=7&amp;number=0.00214&amp;sourceID=14","0.00214")</f>
        <v>0.00214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HYPERLINK("http://141.218.60.56/~jnz1568/getInfo.php?workbook=16_08.xlsx&amp;sheet=U0&amp;row=1391&amp;col=6&amp;number=3.7&amp;sourceID=14","3.7")</f>
        <v>3.7</v>
      </c>
      <c r="G1391" s="4" t="str">
        <f>HYPERLINK("http://141.218.60.56/~jnz1568/getInfo.php?workbook=16_08.xlsx&amp;sheet=U0&amp;row=1391&amp;col=7&amp;number=0.00214&amp;sourceID=14","0.00214")</f>
        <v>0.00214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HYPERLINK("http://141.218.60.56/~jnz1568/getInfo.php?workbook=16_08.xlsx&amp;sheet=U0&amp;row=1392&amp;col=6&amp;number=3.8&amp;sourceID=14","3.8")</f>
        <v>3.8</v>
      </c>
      <c r="G1392" s="4" t="str">
        <f>HYPERLINK("http://141.218.60.56/~jnz1568/getInfo.php?workbook=16_08.xlsx&amp;sheet=U0&amp;row=1392&amp;col=7&amp;number=0.00214&amp;sourceID=14","0.00214")</f>
        <v>0.00214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HYPERLINK("http://141.218.60.56/~jnz1568/getInfo.php?workbook=16_08.xlsx&amp;sheet=U0&amp;row=1393&amp;col=6&amp;number=3.9&amp;sourceID=14","3.9")</f>
        <v>3.9</v>
      </c>
      <c r="G1393" s="4" t="str">
        <f>HYPERLINK("http://141.218.60.56/~jnz1568/getInfo.php?workbook=16_08.xlsx&amp;sheet=U0&amp;row=1393&amp;col=7&amp;number=0.00214&amp;sourceID=14","0.00214")</f>
        <v>0.00214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HYPERLINK("http://141.218.60.56/~jnz1568/getInfo.php?workbook=16_08.xlsx&amp;sheet=U0&amp;row=1394&amp;col=6&amp;number=4&amp;sourceID=14","4")</f>
        <v>4</v>
      </c>
      <c r="G1394" s="4" t="str">
        <f>HYPERLINK("http://141.218.60.56/~jnz1568/getInfo.php?workbook=16_08.xlsx&amp;sheet=U0&amp;row=1394&amp;col=7&amp;number=0.00214&amp;sourceID=14","0.00214")</f>
        <v>0.00214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HYPERLINK("http://141.218.60.56/~jnz1568/getInfo.php?workbook=16_08.xlsx&amp;sheet=U0&amp;row=1395&amp;col=6&amp;number=4.1&amp;sourceID=14","4.1")</f>
        <v>4.1</v>
      </c>
      <c r="G1395" s="4" t="str">
        <f>HYPERLINK("http://141.218.60.56/~jnz1568/getInfo.php?workbook=16_08.xlsx&amp;sheet=U0&amp;row=1395&amp;col=7&amp;number=0.00214&amp;sourceID=14","0.00214")</f>
        <v>0.00214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HYPERLINK("http://141.218.60.56/~jnz1568/getInfo.php?workbook=16_08.xlsx&amp;sheet=U0&amp;row=1396&amp;col=6&amp;number=4.2&amp;sourceID=14","4.2")</f>
        <v>4.2</v>
      </c>
      <c r="G1396" s="4" t="str">
        <f>HYPERLINK("http://141.218.60.56/~jnz1568/getInfo.php?workbook=16_08.xlsx&amp;sheet=U0&amp;row=1396&amp;col=7&amp;number=0.00213&amp;sourceID=14","0.00213")</f>
        <v>0.00213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HYPERLINK("http://141.218.60.56/~jnz1568/getInfo.php?workbook=16_08.xlsx&amp;sheet=U0&amp;row=1397&amp;col=6&amp;number=4.3&amp;sourceID=14","4.3")</f>
        <v>4.3</v>
      </c>
      <c r="G1397" s="4" t="str">
        <f>HYPERLINK("http://141.218.60.56/~jnz1568/getInfo.php?workbook=16_08.xlsx&amp;sheet=U0&amp;row=1397&amp;col=7&amp;number=0.00213&amp;sourceID=14","0.00213")</f>
        <v>0.00213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HYPERLINK("http://141.218.60.56/~jnz1568/getInfo.php?workbook=16_08.xlsx&amp;sheet=U0&amp;row=1398&amp;col=6&amp;number=4.4&amp;sourceID=14","4.4")</f>
        <v>4.4</v>
      </c>
      <c r="G1398" s="4" t="str">
        <f>HYPERLINK("http://141.218.60.56/~jnz1568/getInfo.php?workbook=16_08.xlsx&amp;sheet=U0&amp;row=1398&amp;col=7&amp;number=0.00213&amp;sourceID=14","0.00213")</f>
        <v>0.00213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HYPERLINK("http://141.218.60.56/~jnz1568/getInfo.php?workbook=16_08.xlsx&amp;sheet=U0&amp;row=1399&amp;col=6&amp;number=4.5&amp;sourceID=14","4.5")</f>
        <v>4.5</v>
      </c>
      <c r="G1399" s="4" t="str">
        <f>HYPERLINK("http://141.218.60.56/~jnz1568/getInfo.php?workbook=16_08.xlsx&amp;sheet=U0&amp;row=1399&amp;col=7&amp;number=0.00213&amp;sourceID=14","0.00213")</f>
        <v>0.00213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HYPERLINK("http://141.218.60.56/~jnz1568/getInfo.php?workbook=16_08.xlsx&amp;sheet=U0&amp;row=1400&amp;col=6&amp;number=4.6&amp;sourceID=14","4.6")</f>
        <v>4.6</v>
      </c>
      <c r="G1400" s="4" t="str">
        <f>HYPERLINK("http://141.218.60.56/~jnz1568/getInfo.php?workbook=16_08.xlsx&amp;sheet=U0&amp;row=1400&amp;col=7&amp;number=0.00212&amp;sourceID=14","0.00212")</f>
        <v>0.00212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HYPERLINK("http://141.218.60.56/~jnz1568/getInfo.php?workbook=16_08.xlsx&amp;sheet=U0&amp;row=1401&amp;col=6&amp;number=4.7&amp;sourceID=14","4.7")</f>
        <v>4.7</v>
      </c>
      <c r="G1401" s="4" t="str">
        <f>HYPERLINK("http://141.218.60.56/~jnz1568/getInfo.php?workbook=16_08.xlsx&amp;sheet=U0&amp;row=1401&amp;col=7&amp;number=0.00212&amp;sourceID=14","0.00212")</f>
        <v>0.00212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HYPERLINK("http://141.218.60.56/~jnz1568/getInfo.php?workbook=16_08.xlsx&amp;sheet=U0&amp;row=1402&amp;col=6&amp;number=4.8&amp;sourceID=14","4.8")</f>
        <v>4.8</v>
      </c>
      <c r="G1402" s="4" t="str">
        <f>HYPERLINK("http://141.218.60.56/~jnz1568/getInfo.php?workbook=16_08.xlsx&amp;sheet=U0&amp;row=1402&amp;col=7&amp;number=0.00211&amp;sourceID=14","0.00211")</f>
        <v>0.00211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HYPERLINK("http://141.218.60.56/~jnz1568/getInfo.php?workbook=16_08.xlsx&amp;sheet=U0&amp;row=1403&amp;col=6&amp;number=4.9&amp;sourceID=14","4.9")</f>
        <v>4.9</v>
      </c>
      <c r="G1403" s="4" t="str">
        <f>HYPERLINK("http://141.218.60.56/~jnz1568/getInfo.php?workbook=16_08.xlsx&amp;sheet=U0&amp;row=1403&amp;col=7&amp;number=0.0021&amp;sourceID=14","0.0021")</f>
        <v>0.0021</v>
      </c>
    </row>
    <row r="1404" spans="1:7">
      <c r="A1404" s="3">
        <v>16</v>
      </c>
      <c r="B1404" s="3">
        <v>8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HYPERLINK("http://141.218.60.56/~jnz1568/getInfo.php?workbook=16_08.xlsx&amp;sheet=U0&amp;row=1404&amp;col=6&amp;number=3&amp;sourceID=14","3")</f>
        <v>3</v>
      </c>
      <c r="G1404" s="4" t="str">
        <f>HYPERLINK("http://141.218.60.56/~jnz1568/getInfo.php?workbook=16_08.xlsx&amp;sheet=U0&amp;row=1404&amp;col=7&amp;number=0.0233&amp;sourceID=14","0.0233")</f>
        <v>0.0233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HYPERLINK("http://141.218.60.56/~jnz1568/getInfo.php?workbook=16_08.xlsx&amp;sheet=U0&amp;row=1405&amp;col=6&amp;number=3.1&amp;sourceID=14","3.1")</f>
        <v>3.1</v>
      </c>
      <c r="G1405" s="4" t="str">
        <f>HYPERLINK("http://141.218.60.56/~jnz1568/getInfo.php?workbook=16_08.xlsx&amp;sheet=U0&amp;row=1405&amp;col=7&amp;number=0.0233&amp;sourceID=14","0.0233")</f>
        <v>0.0233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HYPERLINK("http://141.218.60.56/~jnz1568/getInfo.php?workbook=16_08.xlsx&amp;sheet=U0&amp;row=1406&amp;col=6&amp;number=3.2&amp;sourceID=14","3.2")</f>
        <v>3.2</v>
      </c>
      <c r="G1406" s="4" t="str">
        <f>HYPERLINK("http://141.218.60.56/~jnz1568/getInfo.php?workbook=16_08.xlsx&amp;sheet=U0&amp;row=1406&amp;col=7&amp;number=0.0233&amp;sourceID=14","0.0233")</f>
        <v>0.0233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HYPERLINK("http://141.218.60.56/~jnz1568/getInfo.php?workbook=16_08.xlsx&amp;sheet=U0&amp;row=1407&amp;col=6&amp;number=3.3&amp;sourceID=14","3.3")</f>
        <v>3.3</v>
      </c>
      <c r="G1407" s="4" t="str">
        <f>HYPERLINK("http://141.218.60.56/~jnz1568/getInfo.php?workbook=16_08.xlsx&amp;sheet=U0&amp;row=1407&amp;col=7&amp;number=0.0233&amp;sourceID=14","0.0233")</f>
        <v>0.0233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HYPERLINK("http://141.218.60.56/~jnz1568/getInfo.php?workbook=16_08.xlsx&amp;sheet=U0&amp;row=1408&amp;col=6&amp;number=3.4&amp;sourceID=14","3.4")</f>
        <v>3.4</v>
      </c>
      <c r="G1408" s="4" t="str">
        <f>HYPERLINK("http://141.218.60.56/~jnz1568/getInfo.php?workbook=16_08.xlsx&amp;sheet=U0&amp;row=1408&amp;col=7&amp;number=0.0233&amp;sourceID=14","0.0233")</f>
        <v>0.0233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HYPERLINK("http://141.218.60.56/~jnz1568/getInfo.php?workbook=16_08.xlsx&amp;sheet=U0&amp;row=1409&amp;col=6&amp;number=3.5&amp;sourceID=14","3.5")</f>
        <v>3.5</v>
      </c>
      <c r="G1409" s="4" t="str">
        <f>HYPERLINK("http://141.218.60.56/~jnz1568/getInfo.php?workbook=16_08.xlsx&amp;sheet=U0&amp;row=1409&amp;col=7&amp;number=0.0233&amp;sourceID=14","0.0233")</f>
        <v>0.0233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HYPERLINK("http://141.218.60.56/~jnz1568/getInfo.php?workbook=16_08.xlsx&amp;sheet=U0&amp;row=1410&amp;col=6&amp;number=3.6&amp;sourceID=14","3.6")</f>
        <v>3.6</v>
      </c>
      <c r="G1410" s="4" t="str">
        <f>HYPERLINK("http://141.218.60.56/~jnz1568/getInfo.php?workbook=16_08.xlsx&amp;sheet=U0&amp;row=1410&amp;col=7&amp;number=0.0233&amp;sourceID=14","0.0233")</f>
        <v>0.0233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HYPERLINK("http://141.218.60.56/~jnz1568/getInfo.php?workbook=16_08.xlsx&amp;sheet=U0&amp;row=1411&amp;col=6&amp;number=3.7&amp;sourceID=14","3.7")</f>
        <v>3.7</v>
      </c>
      <c r="G1411" s="4" t="str">
        <f>HYPERLINK("http://141.218.60.56/~jnz1568/getInfo.php?workbook=16_08.xlsx&amp;sheet=U0&amp;row=1411&amp;col=7&amp;number=0.0233&amp;sourceID=14","0.0233")</f>
        <v>0.0233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HYPERLINK("http://141.218.60.56/~jnz1568/getInfo.php?workbook=16_08.xlsx&amp;sheet=U0&amp;row=1412&amp;col=6&amp;number=3.8&amp;sourceID=14","3.8")</f>
        <v>3.8</v>
      </c>
      <c r="G1412" s="4" t="str">
        <f>HYPERLINK("http://141.218.60.56/~jnz1568/getInfo.php?workbook=16_08.xlsx&amp;sheet=U0&amp;row=1412&amp;col=7&amp;number=0.0233&amp;sourceID=14","0.0233")</f>
        <v>0.0233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HYPERLINK("http://141.218.60.56/~jnz1568/getInfo.php?workbook=16_08.xlsx&amp;sheet=U0&amp;row=1413&amp;col=6&amp;number=3.9&amp;sourceID=14","3.9")</f>
        <v>3.9</v>
      </c>
      <c r="G1413" s="4" t="str">
        <f>HYPERLINK("http://141.218.60.56/~jnz1568/getInfo.php?workbook=16_08.xlsx&amp;sheet=U0&amp;row=1413&amp;col=7&amp;number=0.0233&amp;sourceID=14","0.0233")</f>
        <v>0.0233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HYPERLINK("http://141.218.60.56/~jnz1568/getInfo.php?workbook=16_08.xlsx&amp;sheet=U0&amp;row=1414&amp;col=6&amp;number=4&amp;sourceID=14","4")</f>
        <v>4</v>
      </c>
      <c r="G1414" s="4" t="str">
        <f>HYPERLINK("http://141.218.60.56/~jnz1568/getInfo.php?workbook=16_08.xlsx&amp;sheet=U0&amp;row=1414&amp;col=7&amp;number=0.0233&amp;sourceID=14","0.0233")</f>
        <v>0.0233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HYPERLINK("http://141.218.60.56/~jnz1568/getInfo.php?workbook=16_08.xlsx&amp;sheet=U0&amp;row=1415&amp;col=6&amp;number=4.1&amp;sourceID=14","4.1")</f>
        <v>4.1</v>
      </c>
      <c r="G1415" s="4" t="str">
        <f>HYPERLINK("http://141.218.60.56/~jnz1568/getInfo.php?workbook=16_08.xlsx&amp;sheet=U0&amp;row=1415&amp;col=7&amp;number=0.0233&amp;sourceID=14","0.0233")</f>
        <v>0.0233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HYPERLINK("http://141.218.60.56/~jnz1568/getInfo.php?workbook=16_08.xlsx&amp;sheet=U0&amp;row=1416&amp;col=6&amp;number=4.2&amp;sourceID=14","4.2")</f>
        <v>4.2</v>
      </c>
      <c r="G1416" s="4" t="str">
        <f>HYPERLINK("http://141.218.60.56/~jnz1568/getInfo.php?workbook=16_08.xlsx&amp;sheet=U0&amp;row=1416&amp;col=7&amp;number=0.0233&amp;sourceID=14","0.0233")</f>
        <v>0.0233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HYPERLINK("http://141.218.60.56/~jnz1568/getInfo.php?workbook=16_08.xlsx&amp;sheet=U0&amp;row=1417&amp;col=6&amp;number=4.3&amp;sourceID=14","4.3")</f>
        <v>4.3</v>
      </c>
      <c r="G1417" s="4" t="str">
        <f>HYPERLINK("http://141.218.60.56/~jnz1568/getInfo.php?workbook=16_08.xlsx&amp;sheet=U0&amp;row=1417&amp;col=7&amp;number=0.0233&amp;sourceID=14","0.0233")</f>
        <v>0.0233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HYPERLINK("http://141.218.60.56/~jnz1568/getInfo.php?workbook=16_08.xlsx&amp;sheet=U0&amp;row=1418&amp;col=6&amp;number=4.4&amp;sourceID=14","4.4")</f>
        <v>4.4</v>
      </c>
      <c r="G1418" s="4" t="str">
        <f>HYPERLINK("http://141.218.60.56/~jnz1568/getInfo.php?workbook=16_08.xlsx&amp;sheet=U0&amp;row=1418&amp;col=7&amp;number=0.0233&amp;sourceID=14","0.0233")</f>
        <v>0.0233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HYPERLINK("http://141.218.60.56/~jnz1568/getInfo.php?workbook=16_08.xlsx&amp;sheet=U0&amp;row=1419&amp;col=6&amp;number=4.5&amp;sourceID=14","4.5")</f>
        <v>4.5</v>
      </c>
      <c r="G1419" s="4" t="str">
        <f>HYPERLINK("http://141.218.60.56/~jnz1568/getInfo.php?workbook=16_08.xlsx&amp;sheet=U0&amp;row=1419&amp;col=7&amp;number=0.0233&amp;sourceID=14","0.0233")</f>
        <v>0.0233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HYPERLINK("http://141.218.60.56/~jnz1568/getInfo.php?workbook=16_08.xlsx&amp;sheet=U0&amp;row=1420&amp;col=6&amp;number=4.6&amp;sourceID=14","4.6")</f>
        <v>4.6</v>
      </c>
      <c r="G1420" s="4" t="str">
        <f>HYPERLINK("http://141.218.60.56/~jnz1568/getInfo.php?workbook=16_08.xlsx&amp;sheet=U0&amp;row=1420&amp;col=7&amp;number=0.0233&amp;sourceID=14","0.0233")</f>
        <v>0.0233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HYPERLINK("http://141.218.60.56/~jnz1568/getInfo.php?workbook=16_08.xlsx&amp;sheet=U0&amp;row=1421&amp;col=6&amp;number=4.7&amp;sourceID=14","4.7")</f>
        <v>4.7</v>
      </c>
      <c r="G1421" s="4" t="str">
        <f>HYPERLINK("http://141.218.60.56/~jnz1568/getInfo.php?workbook=16_08.xlsx&amp;sheet=U0&amp;row=1421&amp;col=7&amp;number=0.0233&amp;sourceID=14","0.0233")</f>
        <v>0.0233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HYPERLINK("http://141.218.60.56/~jnz1568/getInfo.php?workbook=16_08.xlsx&amp;sheet=U0&amp;row=1422&amp;col=6&amp;number=4.8&amp;sourceID=14","4.8")</f>
        <v>4.8</v>
      </c>
      <c r="G1422" s="4" t="str">
        <f>HYPERLINK("http://141.218.60.56/~jnz1568/getInfo.php?workbook=16_08.xlsx&amp;sheet=U0&amp;row=1422&amp;col=7&amp;number=0.0233&amp;sourceID=14","0.0233")</f>
        <v>0.0233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HYPERLINK("http://141.218.60.56/~jnz1568/getInfo.php?workbook=16_08.xlsx&amp;sheet=U0&amp;row=1423&amp;col=6&amp;number=4.9&amp;sourceID=14","4.9")</f>
        <v>4.9</v>
      </c>
      <c r="G1423" s="4" t="str">
        <f>HYPERLINK("http://141.218.60.56/~jnz1568/getInfo.php?workbook=16_08.xlsx&amp;sheet=U0&amp;row=1423&amp;col=7&amp;number=0.0233&amp;sourceID=14","0.0233")</f>
        <v>0.0233</v>
      </c>
    </row>
    <row r="1424" spans="1:7">
      <c r="A1424" s="3">
        <v>16</v>
      </c>
      <c r="B1424" s="3">
        <v>8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HYPERLINK("http://141.218.60.56/~jnz1568/getInfo.php?workbook=16_08.xlsx&amp;sheet=U0&amp;row=1424&amp;col=6&amp;number=3&amp;sourceID=14","3")</f>
        <v>3</v>
      </c>
      <c r="G1424" s="4" t="str">
        <f>HYPERLINK("http://141.218.60.56/~jnz1568/getInfo.php?workbook=16_08.xlsx&amp;sheet=U0&amp;row=1424&amp;col=7&amp;number=0.0701&amp;sourceID=14","0.0701")</f>
        <v>0.0701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HYPERLINK("http://141.218.60.56/~jnz1568/getInfo.php?workbook=16_08.xlsx&amp;sheet=U0&amp;row=1425&amp;col=6&amp;number=3.1&amp;sourceID=14","3.1")</f>
        <v>3.1</v>
      </c>
      <c r="G1425" s="4" t="str">
        <f>HYPERLINK("http://141.218.60.56/~jnz1568/getInfo.php?workbook=16_08.xlsx&amp;sheet=U0&amp;row=1425&amp;col=7&amp;number=0.0701&amp;sourceID=14","0.0701")</f>
        <v>0.0701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HYPERLINK("http://141.218.60.56/~jnz1568/getInfo.php?workbook=16_08.xlsx&amp;sheet=U0&amp;row=1426&amp;col=6&amp;number=3.2&amp;sourceID=14","3.2")</f>
        <v>3.2</v>
      </c>
      <c r="G1426" s="4" t="str">
        <f>HYPERLINK("http://141.218.60.56/~jnz1568/getInfo.php?workbook=16_08.xlsx&amp;sheet=U0&amp;row=1426&amp;col=7&amp;number=0.0701&amp;sourceID=14","0.0701")</f>
        <v>0.0701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HYPERLINK("http://141.218.60.56/~jnz1568/getInfo.php?workbook=16_08.xlsx&amp;sheet=U0&amp;row=1427&amp;col=6&amp;number=3.3&amp;sourceID=14","3.3")</f>
        <v>3.3</v>
      </c>
      <c r="G1427" s="4" t="str">
        <f>HYPERLINK("http://141.218.60.56/~jnz1568/getInfo.php?workbook=16_08.xlsx&amp;sheet=U0&amp;row=1427&amp;col=7&amp;number=0.0701&amp;sourceID=14","0.0701")</f>
        <v>0.0701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HYPERLINK("http://141.218.60.56/~jnz1568/getInfo.php?workbook=16_08.xlsx&amp;sheet=U0&amp;row=1428&amp;col=6&amp;number=3.4&amp;sourceID=14","3.4")</f>
        <v>3.4</v>
      </c>
      <c r="G1428" s="4" t="str">
        <f>HYPERLINK("http://141.218.60.56/~jnz1568/getInfo.php?workbook=16_08.xlsx&amp;sheet=U0&amp;row=1428&amp;col=7&amp;number=0.0701&amp;sourceID=14","0.0701")</f>
        <v>0.0701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HYPERLINK("http://141.218.60.56/~jnz1568/getInfo.php?workbook=16_08.xlsx&amp;sheet=U0&amp;row=1429&amp;col=6&amp;number=3.5&amp;sourceID=14","3.5")</f>
        <v>3.5</v>
      </c>
      <c r="G1429" s="4" t="str">
        <f>HYPERLINK("http://141.218.60.56/~jnz1568/getInfo.php?workbook=16_08.xlsx&amp;sheet=U0&amp;row=1429&amp;col=7&amp;number=0.0701&amp;sourceID=14","0.0701")</f>
        <v>0.0701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HYPERLINK("http://141.218.60.56/~jnz1568/getInfo.php?workbook=16_08.xlsx&amp;sheet=U0&amp;row=1430&amp;col=6&amp;number=3.6&amp;sourceID=14","3.6")</f>
        <v>3.6</v>
      </c>
      <c r="G1430" s="4" t="str">
        <f>HYPERLINK("http://141.218.60.56/~jnz1568/getInfo.php?workbook=16_08.xlsx&amp;sheet=U0&amp;row=1430&amp;col=7&amp;number=0.0701&amp;sourceID=14","0.0701")</f>
        <v>0.0701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HYPERLINK("http://141.218.60.56/~jnz1568/getInfo.php?workbook=16_08.xlsx&amp;sheet=U0&amp;row=1431&amp;col=6&amp;number=3.7&amp;sourceID=14","3.7")</f>
        <v>3.7</v>
      </c>
      <c r="G1431" s="4" t="str">
        <f>HYPERLINK("http://141.218.60.56/~jnz1568/getInfo.php?workbook=16_08.xlsx&amp;sheet=U0&amp;row=1431&amp;col=7&amp;number=0.0702&amp;sourceID=14","0.0702")</f>
        <v>0.0702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HYPERLINK("http://141.218.60.56/~jnz1568/getInfo.php?workbook=16_08.xlsx&amp;sheet=U0&amp;row=1432&amp;col=6&amp;number=3.8&amp;sourceID=14","3.8")</f>
        <v>3.8</v>
      </c>
      <c r="G1432" s="4" t="str">
        <f>HYPERLINK("http://141.218.60.56/~jnz1568/getInfo.php?workbook=16_08.xlsx&amp;sheet=U0&amp;row=1432&amp;col=7&amp;number=0.0702&amp;sourceID=14","0.0702")</f>
        <v>0.0702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HYPERLINK("http://141.218.60.56/~jnz1568/getInfo.php?workbook=16_08.xlsx&amp;sheet=U0&amp;row=1433&amp;col=6&amp;number=3.9&amp;sourceID=14","3.9")</f>
        <v>3.9</v>
      </c>
      <c r="G1433" s="4" t="str">
        <f>HYPERLINK("http://141.218.60.56/~jnz1568/getInfo.php?workbook=16_08.xlsx&amp;sheet=U0&amp;row=1433&amp;col=7&amp;number=0.0702&amp;sourceID=14","0.0702")</f>
        <v>0.0702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HYPERLINK("http://141.218.60.56/~jnz1568/getInfo.php?workbook=16_08.xlsx&amp;sheet=U0&amp;row=1434&amp;col=6&amp;number=4&amp;sourceID=14","4")</f>
        <v>4</v>
      </c>
      <c r="G1434" s="4" t="str">
        <f>HYPERLINK("http://141.218.60.56/~jnz1568/getInfo.php?workbook=16_08.xlsx&amp;sheet=U0&amp;row=1434&amp;col=7&amp;number=0.0703&amp;sourceID=14","0.0703")</f>
        <v>0.0703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HYPERLINK("http://141.218.60.56/~jnz1568/getInfo.php?workbook=16_08.xlsx&amp;sheet=U0&amp;row=1435&amp;col=6&amp;number=4.1&amp;sourceID=14","4.1")</f>
        <v>4.1</v>
      </c>
      <c r="G1435" s="4" t="str">
        <f>HYPERLINK("http://141.218.60.56/~jnz1568/getInfo.php?workbook=16_08.xlsx&amp;sheet=U0&amp;row=1435&amp;col=7&amp;number=0.0703&amp;sourceID=14","0.0703")</f>
        <v>0.0703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HYPERLINK("http://141.218.60.56/~jnz1568/getInfo.php?workbook=16_08.xlsx&amp;sheet=U0&amp;row=1436&amp;col=6&amp;number=4.2&amp;sourceID=14","4.2")</f>
        <v>4.2</v>
      </c>
      <c r="G1436" s="4" t="str">
        <f>HYPERLINK("http://141.218.60.56/~jnz1568/getInfo.php?workbook=16_08.xlsx&amp;sheet=U0&amp;row=1436&amp;col=7&amp;number=0.0704&amp;sourceID=14","0.0704")</f>
        <v>0.0704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HYPERLINK("http://141.218.60.56/~jnz1568/getInfo.php?workbook=16_08.xlsx&amp;sheet=U0&amp;row=1437&amp;col=6&amp;number=4.3&amp;sourceID=14","4.3")</f>
        <v>4.3</v>
      </c>
      <c r="G1437" s="4" t="str">
        <f>HYPERLINK("http://141.218.60.56/~jnz1568/getInfo.php?workbook=16_08.xlsx&amp;sheet=U0&amp;row=1437&amp;col=7&amp;number=0.0705&amp;sourceID=14","0.0705")</f>
        <v>0.0705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HYPERLINK("http://141.218.60.56/~jnz1568/getInfo.php?workbook=16_08.xlsx&amp;sheet=U0&amp;row=1438&amp;col=6&amp;number=4.4&amp;sourceID=14","4.4")</f>
        <v>4.4</v>
      </c>
      <c r="G1438" s="4" t="str">
        <f>HYPERLINK("http://141.218.60.56/~jnz1568/getInfo.php?workbook=16_08.xlsx&amp;sheet=U0&amp;row=1438&amp;col=7&amp;number=0.0707&amp;sourceID=14","0.0707")</f>
        <v>0.0707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HYPERLINK("http://141.218.60.56/~jnz1568/getInfo.php?workbook=16_08.xlsx&amp;sheet=U0&amp;row=1439&amp;col=6&amp;number=4.5&amp;sourceID=14","4.5")</f>
        <v>4.5</v>
      </c>
      <c r="G1439" s="4" t="str">
        <f>HYPERLINK("http://141.218.60.56/~jnz1568/getInfo.php?workbook=16_08.xlsx&amp;sheet=U0&amp;row=1439&amp;col=7&amp;number=0.0708&amp;sourceID=14","0.0708")</f>
        <v>0.0708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HYPERLINK("http://141.218.60.56/~jnz1568/getInfo.php?workbook=16_08.xlsx&amp;sheet=U0&amp;row=1440&amp;col=6&amp;number=4.6&amp;sourceID=14","4.6")</f>
        <v>4.6</v>
      </c>
      <c r="G1440" s="4" t="str">
        <f>HYPERLINK("http://141.218.60.56/~jnz1568/getInfo.php?workbook=16_08.xlsx&amp;sheet=U0&amp;row=1440&amp;col=7&amp;number=0.071&amp;sourceID=14","0.071")</f>
        <v>0.071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HYPERLINK("http://141.218.60.56/~jnz1568/getInfo.php?workbook=16_08.xlsx&amp;sheet=U0&amp;row=1441&amp;col=6&amp;number=4.7&amp;sourceID=14","4.7")</f>
        <v>4.7</v>
      </c>
      <c r="G1441" s="4" t="str">
        <f>HYPERLINK("http://141.218.60.56/~jnz1568/getInfo.php?workbook=16_08.xlsx&amp;sheet=U0&amp;row=1441&amp;col=7&amp;number=0.0713&amp;sourceID=14","0.0713")</f>
        <v>0.0713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HYPERLINK("http://141.218.60.56/~jnz1568/getInfo.php?workbook=16_08.xlsx&amp;sheet=U0&amp;row=1442&amp;col=6&amp;number=4.8&amp;sourceID=14","4.8")</f>
        <v>4.8</v>
      </c>
      <c r="G1442" s="4" t="str">
        <f>HYPERLINK("http://141.218.60.56/~jnz1568/getInfo.php?workbook=16_08.xlsx&amp;sheet=U0&amp;row=1442&amp;col=7&amp;number=0.0716&amp;sourceID=14","0.0716")</f>
        <v>0.0716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HYPERLINK("http://141.218.60.56/~jnz1568/getInfo.php?workbook=16_08.xlsx&amp;sheet=U0&amp;row=1443&amp;col=6&amp;number=4.9&amp;sourceID=14","4.9")</f>
        <v>4.9</v>
      </c>
      <c r="G1443" s="4" t="str">
        <f>HYPERLINK("http://141.218.60.56/~jnz1568/getInfo.php?workbook=16_08.xlsx&amp;sheet=U0&amp;row=1443&amp;col=7&amp;number=0.072&amp;sourceID=14","0.072")</f>
        <v>0.072</v>
      </c>
    </row>
    <row r="1444" spans="1:7">
      <c r="A1444" s="3">
        <v>16</v>
      </c>
      <c r="B1444" s="3">
        <v>8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HYPERLINK("http://141.218.60.56/~jnz1568/getInfo.php?workbook=16_08.xlsx&amp;sheet=U0&amp;row=1444&amp;col=6&amp;number=3&amp;sourceID=14","3")</f>
        <v>3</v>
      </c>
      <c r="G1444" s="4" t="str">
        <f>HYPERLINK("http://141.218.60.56/~jnz1568/getInfo.php?workbook=16_08.xlsx&amp;sheet=U0&amp;row=1444&amp;col=7&amp;number=0.0211&amp;sourceID=14","0.0211")</f>
        <v>0.0211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HYPERLINK("http://141.218.60.56/~jnz1568/getInfo.php?workbook=16_08.xlsx&amp;sheet=U0&amp;row=1445&amp;col=6&amp;number=3.1&amp;sourceID=14","3.1")</f>
        <v>3.1</v>
      </c>
      <c r="G1445" s="4" t="str">
        <f>HYPERLINK("http://141.218.60.56/~jnz1568/getInfo.php?workbook=16_08.xlsx&amp;sheet=U0&amp;row=1445&amp;col=7&amp;number=0.0211&amp;sourceID=14","0.0211")</f>
        <v>0.0211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HYPERLINK("http://141.218.60.56/~jnz1568/getInfo.php?workbook=16_08.xlsx&amp;sheet=U0&amp;row=1446&amp;col=6&amp;number=3.2&amp;sourceID=14","3.2")</f>
        <v>3.2</v>
      </c>
      <c r="G1446" s="4" t="str">
        <f>HYPERLINK("http://141.218.60.56/~jnz1568/getInfo.php?workbook=16_08.xlsx&amp;sheet=U0&amp;row=1446&amp;col=7&amp;number=0.0211&amp;sourceID=14","0.0211")</f>
        <v>0.0211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HYPERLINK("http://141.218.60.56/~jnz1568/getInfo.php?workbook=16_08.xlsx&amp;sheet=U0&amp;row=1447&amp;col=6&amp;number=3.3&amp;sourceID=14","3.3")</f>
        <v>3.3</v>
      </c>
      <c r="G1447" s="4" t="str">
        <f>HYPERLINK("http://141.218.60.56/~jnz1568/getInfo.php?workbook=16_08.xlsx&amp;sheet=U0&amp;row=1447&amp;col=7&amp;number=0.0211&amp;sourceID=14","0.0211")</f>
        <v>0.0211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HYPERLINK("http://141.218.60.56/~jnz1568/getInfo.php?workbook=16_08.xlsx&amp;sheet=U0&amp;row=1448&amp;col=6&amp;number=3.4&amp;sourceID=14","3.4")</f>
        <v>3.4</v>
      </c>
      <c r="G1448" s="4" t="str">
        <f>HYPERLINK("http://141.218.60.56/~jnz1568/getInfo.php?workbook=16_08.xlsx&amp;sheet=U0&amp;row=1448&amp;col=7&amp;number=0.0211&amp;sourceID=14","0.0211")</f>
        <v>0.0211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HYPERLINK("http://141.218.60.56/~jnz1568/getInfo.php?workbook=16_08.xlsx&amp;sheet=U0&amp;row=1449&amp;col=6&amp;number=3.5&amp;sourceID=14","3.5")</f>
        <v>3.5</v>
      </c>
      <c r="G1449" s="4" t="str">
        <f>HYPERLINK("http://141.218.60.56/~jnz1568/getInfo.php?workbook=16_08.xlsx&amp;sheet=U0&amp;row=1449&amp;col=7&amp;number=0.0211&amp;sourceID=14","0.0211")</f>
        <v>0.0211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HYPERLINK("http://141.218.60.56/~jnz1568/getInfo.php?workbook=16_08.xlsx&amp;sheet=U0&amp;row=1450&amp;col=6&amp;number=3.6&amp;sourceID=14","3.6")</f>
        <v>3.6</v>
      </c>
      <c r="G1450" s="4" t="str">
        <f>HYPERLINK("http://141.218.60.56/~jnz1568/getInfo.php?workbook=16_08.xlsx&amp;sheet=U0&amp;row=1450&amp;col=7&amp;number=0.0211&amp;sourceID=14","0.0211")</f>
        <v>0.0211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HYPERLINK("http://141.218.60.56/~jnz1568/getInfo.php?workbook=16_08.xlsx&amp;sheet=U0&amp;row=1451&amp;col=6&amp;number=3.7&amp;sourceID=14","3.7")</f>
        <v>3.7</v>
      </c>
      <c r="G1451" s="4" t="str">
        <f>HYPERLINK("http://141.218.60.56/~jnz1568/getInfo.php?workbook=16_08.xlsx&amp;sheet=U0&amp;row=1451&amp;col=7&amp;number=0.0211&amp;sourceID=14","0.0211")</f>
        <v>0.0211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HYPERLINK("http://141.218.60.56/~jnz1568/getInfo.php?workbook=16_08.xlsx&amp;sheet=U0&amp;row=1452&amp;col=6&amp;number=3.8&amp;sourceID=14","3.8")</f>
        <v>3.8</v>
      </c>
      <c r="G1452" s="4" t="str">
        <f>HYPERLINK("http://141.218.60.56/~jnz1568/getInfo.php?workbook=16_08.xlsx&amp;sheet=U0&amp;row=1452&amp;col=7&amp;number=0.0211&amp;sourceID=14","0.0211")</f>
        <v>0.0211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HYPERLINK("http://141.218.60.56/~jnz1568/getInfo.php?workbook=16_08.xlsx&amp;sheet=U0&amp;row=1453&amp;col=6&amp;number=3.9&amp;sourceID=14","3.9")</f>
        <v>3.9</v>
      </c>
      <c r="G1453" s="4" t="str">
        <f>HYPERLINK("http://141.218.60.56/~jnz1568/getInfo.php?workbook=16_08.xlsx&amp;sheet=U0&amp;row=1453&amp;col=7&amp;number=0.0211&amp;sourceID=14","0.0211")</f>
        <v>0.0211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HYPERLINK("http://141.218.60.56/~jnz1568/getInfo.php?workbook=16_08.xlsx&amp;sheet=U0&amp;row=1454&amp;col=6&amp;number=4&amp;sourceID=14","4")</f>
        <v>4</v>
      </c>
      <c r="G1454" s="4" t="str">
        <f>HYPERLINK("http://141.218.60.56/~jnz1568/getInfo.php?workbook=16_08.xlsx&amp;sheet=U0&amp;row=1454&amp;col=7&amp;number=0.0211&amp;sourceID=14","0.0211")</f>
        <v>0.0211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HYPERLINK("http://141.218.60.56/~jnz1568/getInfo.php?workbook=16_08.xlsx&amp;sheet=U0&amp;row=1455&amp;col=6&amp;number=4.1&amp;sourceID=14","4.1")</f>
        <v>4.1</v>
      </c>
      <c r="G1455" s="4" t="str">
        <f>HYPERLINK("http://141.218.60.56/~jnz1568/getInfo.php?workbook=16_08.xlsx&amp;sheet=U0&amp;row=1455&amp;col=7&amp;number=0.0211&amp;sourceID=14","0.0211")</f>
        <v>0.0211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HYPERLINK("http://141.218.60.56/~jnz1568/getInfo.php?workbook=16_08.xlsx&amp;sheet=U0&amp;row=1456&amp;col=6&amp;number=4.2&amp;sourceID=14","4.2")</f>
        <v>4.2</v>
      </c>
      <c r="G1456" s="4" t="str">
        <f>HYPERLINK("http://141.218.60.56/~jnz1568/getInfo.php?workbook=16_08.xlsx&amp;sheet=U0&amp;row=1456&amp;col=7&amp;number=0.0211&amp;sourceID=14","0.0211")</f>
        <v>0.0211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HYPERLINK("http://141.218.60.56/~jnz1568/getInfo.php?workbook=16_08.xlsx&amp;sheet=U0&amp;row=1457&amp;col=6&amp;number=4.3&amp;sourceID=14","4.3")</f>
        <v>4.3</v>
      </c>
      <c r="G1457" s="4" t="str">
        <f>HYPERLINK("http://141.218.60.56/~jnz1568/getInfo.php?workbook=16_08.xlsx&amp;sheet=U0&amp;row=1457&amp;col=7&amp;number=0.0211&amp;sourceID=14","0.0211")</f>
        <v>0.0211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HYPERLINK("http://141.218.60.56/~jnz1568/getInfo.php?workbook=16_08.xlsx&amp;sheet=U0&amp;row=1458&amp;col=6&amp;number=4.4&amp;sourceID=14","4.4")</f>
        <v>4.4</v>
      </c>
      <c r="G1458" s="4" t="str">
        <f>HYPERLINK("http://141.218.60.56/~jnz1568/getInfo.php?workbook=16_08.xlsx&amp;sheet=U0&amp;row=1458&amp;col=7&amp;number=0.0211&amp;sourceID=14","0.0211")</f>
        <v>0.0211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HYPERLINK("http://141.218.60.56/~jnz1568/getInfo.php?workbook=16_08.xlsx&amp;sheet=U0&amp;row=1459&amp;col=6&amp;number=4.5&amp;sourceID=14","4.5")</f>
        <v>4.5</v>
      </c>
      <c r="G1459" s="4" t="str">
        <f>HYPERLINK("http://141.218.60.56/~jnz1568/getInfo.php?workbook=16_08.xlsx&amp;sheet=U0&amp;row=1459&amp;col=7&amp;number=0.0211&amp;sourceID=14","0.0211")</f>
        <v>0.0211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HYPERLINK("http://141.218.60.56/~jnz1568/getInfo.php?workbook=16_08.xlsx&amp;sheet=U0&amp;row=1460&amp;col=6&amp;number=4.6&amp;sourceID=14","4.6")</f>
        <v>4.6</v>
      </c>
      <c r="G1460" s="4" t="str">
        <f>HYPERLINK("http://141.218.60.56/~jnz1568/getInfo.php?workbook=16_08.xlsx&amp;sheet=U0&amp;row=1460&amp;col=7&amp;number=0.0212&amp;sourceID=14","0.0212")</f>
        <v>0.0212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HYPERLINK("http://141.218.60.56/~jnz1568/getInfo.php?workbook=16_08.xlsx&amp;sheet=U0&amp;row=1461&amp;col=6&amp;number=4.7&amp;sourceID=14","4.7")</f>
        <v>4.7</v>
      </c>
      <c r="G1461" s="4" t="str">
        <f>HYPERLINK("http://141.218.60.56/~jnz1568/getInfo.php?workbook=16_08.xlsx&amp;sheet=U0&amp;row=1461&amp;col=7&amp;number=0.0212&amp;sourceID=14","0.0212")</f>
        <v>0.0212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HYPERLINK("http://141.218.60.56/~jnz1568/getInfo.php?workbook=16_08.xlsx&amp;sheet=U0&amp;row=1462&amp;col=6&amp;number=4.8&amp;sourceID=14","4.8")</f>
        <v>4.8</v>
      </c>
      <c r="G1462" s="4" t="str">
        <f>HYPERLINK("http://141.218.60.56/~jnz1568/getInfo.php?workbook=16_08.xlsx&amp;sheet=U0&amp;row=1462&amp;col=7&amp;number=0.0212&amp;sourceID=14","0.0212")</f>
        <v>0.0212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HYPERLINK("http://141.218.60.56/~jnz1568/getInfo.php?workbook=16_08.xlsx&amp;sheet=U0&amp;row=1463&amp;col=6&amp;number=4.9&amp;sourceID=14","4.9")</f>
        <v>4.9</v>
      </c>
      <c r="G1463" s="4" t="str">
        <f>HYPERLINK("http://141.218.60.56/~jnz1568/getInfo.php?workbook=16_08.xlsx&amp;sheet=U0&amp;row=1463&amp;col=7&amp;number=0.0212&amp;sourceID=14","0.0212")</f>
        <v>0.0212</v>
      </c>
    </row>
    <row r="1464" spans="1:7">
      <c r="A1464" s="3">
        <v>16</v>
      </c>
      <c r="B1464" s="3">
        <v>8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HYPERLINK("http://141.218.60.56/~jnz1568/getInfo.php?workbook=16_08.xlsx&amp;sheet=U0&amp;row=1464&amp;col=6&amp;number=3&amp;sourceID=14","3")</f>
        <v>3</v>
      </c>
      <c r="G1464" s="4" t="str">
        <f>HYPERLINK("http://141.218.60.56/~jnz1568/getInfo.php?workbook=16_08.xlsx&amp;sheet=U0&amp;row=1464&amp;col=7&amp;number=0.0137&amp;sourceID=14","0.0137")</f>
        <v>0.0137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HYPERLINK("http://141.218.60.56/~jnz1568/getInfo.php?workbook=16_08.xlsx&amp;sheet=U0&amp;row=1465&amp;col=6&amp;number=3.1&amp;sourceID=14","3.1")</f>
        <v>3.1</v>
      </c>
      <c r="G1465" s="4" t="str">
        <f>HYPERLINK("http://141.218.60.56/~jnz1568/getInfo.php?workbook=16_08.xlsx&amp;sheet=U0&amp;row=1465&amp;col=7&amp;number=0.0137&amp;sourceID=14","0.0137")</f>
        <v>0.0137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HYPERLINK("http://141.218.60.56/~jnz1568/getInfo.php?workbook=16_08.xlsx&amp;sheet=U0&amp;row=1466&amp;col=6&amp;number=3.2&amp;sourceID=14","3.2")</f>
        <v>3.2</v>
      </c>
      <c r="G1466" s="4" t="str">
        <f>HYPERLINK("http://141.218.60.56/~jnz1568/getInfo.php?workbook=16_08.xlsx&amp;sheet=U0&amp;row=1466&amp;col=7&amp;number=0.0137&amp;sourceID=14","0.0137")</f>
        <v>0.0137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HYPERLINK("http://141.218.60.56/~jnz1568/getInfo.php?workbook=16_08.xlsx&amp;sheet=U0&amp;row=1467&amp;col=6&amp;number=3.3&amp;sourceID=14","3.3")</f>
        <v>3.3</v>
      </c>
      <c r="G1467" s="4" t="str">
        <f>HYPERLINK("http://141.218.60.56/~jnz1568/getInfo.php?workbook=16_08.xlsx&amp;sheet=U0&amp;row=1467&amp;col=7&amp;number=0.0137&amp;sourceID=14","0.0137")</f>
        <v>0.0137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HYPERLINK("http://141.218.60.56/~jnz1568/getInfo.php?workbook=16_08.xlsx&amp;sheet=U0&amp;row=1468&amp;col=6&amp;number=3.4&amp;sourceID=14","3.4")</f>
        <v>3.4</v>
      </c>
      <c r="G1468" s="4" t="str">
        <f>HYPERLINK("http://141.218.60.56/~jnz1568/getInfo.php?workbook=16_08.xlsx&amp;sheet=U0&amp;row=1468&amp;col=7&amp;number=0.0137&amp;sourceID=14","0.0137")</f>
        <v>0.0137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HYPERLINK("http://141.218.60.56/~jnz1568/getInfo.php?workbook=16_08.xlsx&amp;sheet=U0&amp;row=1469&amp;col=6&amp;number=3.5&amp;sourceID=14","3.5")</f>
        <v>3.5</v>
      </c>
      <c r="G1469" s="4" t="str">
        <f>HYPERLINK("http://141.218.60.56/~jnz1568/getInfo.php?workbook=16_08.xlsx&amp;sheet=U0&amp;row=1469&amp;col=7&amp;number=0.0137&amp;sourceID=14","0.0137")</f>
        <v>0.0137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HYPERLINK("http://141.218.60.56/~jnz1568/getInfo.php?workbook=16_08.xlsx&amp;sheet=U0&amp;row=1470&amp;col=6&amp;number=3.6&amp;sourceID=14","3.6")</f>
        <v>3.6</v>
      </c>
      <c r="G1470" s="4" t="str">
        <f>HYPERLINK("http://141.218.60.56/~jnz1568/getInfo.php?workbook=16_08.xlsx&amp;sheet=U0&amp;row=1470&amp;col=7&amp;number=0.0137&amp;sourceID=14","0.0137")</f>
        <v>0.0137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HYPERLINK("http://141.218.60.56/~jnz1568/getInfo.php?workbook=16_08.xlsx&amp;sheet=U0&amp;row=1471&amp;col=6&amp;number=3.7&amp;sourceID=14","3.7")</f>
        <v>3.7</v>
      </c>
      <c r="G1471" s="4" t="str">
        <f>HYPERLINK("http://141.218.60.56/~jnz1568/getInfo.php?workbook=16_08.xlsx&amp;sheet=U0&amp;row=1471&amp;col=7&amp;number=0.0137&amp;sourceID=14","0.0137")</f>
        <v>0.0137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HYPERLINK("http://141.218.60.56/~jnz1568/getInfo.php?workbook=16_08.xlsx&amp;sheet=U0&amp;row=1472&amp;col=6&amp;number=3.8&amp;sourceID=14","3.8")</f>
        <v>3.8</v>
      </c>
      <c r="G1472" s="4" t="str">
        <f>HYPERLINK("http://141.218.60.56/~jnz1568/getInfo.php?workbook=16_08.xlsx&amp;sheet=U0&amp;row=1472&amp;col=7&amp;number=0.0137&amp;sourceID=14","0.0137")</f>
        <v>0.0137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HYPERLINK("http://141.218.60.56/~jnz1568/getInfo.php?workbook=16_08.xlsx&amp;sheet=U0&amp;row=1473&amp;col=6&amp;number=3.9&amp;sourceID=14","3.9")</f>
        <v>3.9</v>
      </c>
      <c r="G1473" s="4" t="str">
        <f>HYPERLINK("http://141.218.60.56/~jnz1568/getInfo.php?workbook=16_08.xlsx&amp;sheet=U0&amp;row=1473&amp;col=7&amp;number=0.0137&amp;sourceID=14","0.0137")</f>
        <v>0.0137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HYPERLINK("http://141.218.60.56/~jnz1568/getInfo.php?workbook=16_08.xlsx&amp;sheet=U0&amp;row=1474&amp;col=6&amp;number=4&amp;sourceID=14","4")</f>
        <v>4</v>
      </c>
      <c r="G1474" s="4" t="str">
        <f>HYPERLINK("http://141.218.60.56/~jnz1568/getInfo.php?workbook=16_08.xlsx&amp;sheet=U0&amp;row=1474&amp;col=7&amp;number=0.0137&amp;sourceID=14","0.0137")</f>
        <v>0.0137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HYPERLINK("http://141.218.60.56/~jnz1568/getInfo.php?workbook=16_08.xlsx&amp;sheet=U0&amp;row=1475&amp;col=6&amp;number=4.1&amp;sourceID=14","4.1")</f>
        <v>4.1</v>
      </c>
      <c r="G1475" s="4" t="str">
        <f>HYPERLINK("http://141.218.60.56/~jnz1568/getInfo.php?workbook=16_08.xlsx&amp;sheet=U0&amp;row=1475&amp;col=7&amp;number=0.0137&amp;sourceID=14","0.0137")</f>
        <v>0.0137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HYPERLINK("http://141.218.60.56/~jnz1568/getInfo.php?workbook=16_08.xlsx&amp;sheet=U0&amp;row=1476&amp;col=6&amp;number=4.2&amp;sourceID=14","4.2")</f>
        <v>4.2</v>
      </c>
      <c r="G1476" s="4" t="str">
        <f>HYPERLINK("http://141.218.60.56/~jnz1568/getInfo.php?workbook=16_08.xlsx&amp;sheet=U0&amp;row=1476&amp;col=7&amp;number=0.0136&amp;sourceID=14","0.0136")</f>
        <v>0.0136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HYPERLINK("http://141.218.60.56/~jnz1568/getInfo.php?workbook=16_08.xlsx&amp;sheet=U0&amp;row=1477&amp;col=6&amp;number=4.3&amp;sourceID=14","4.3")</f>
        <v>4.3</v>
      </c>
      <c r="G1477" s="4" t="str">
        <f>HYPERLINK("http://141.218.60.56/~jnz1568/getInfo.php?workbook=16_08.xlsx&amp;sheet=U0&amp;row=1477&amp;col=7&amp;number=0.0136&amp;sourceID=14","0.0136")</f>
        <v>0.0136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HYPERLINK("http://141.218.60.56/~jnz1568/getInfo.php?workbook=16_08.xlsx&amp;sheet=U0&amp;row=1478&amp;col=6&amp;number=4.4&amp;sourceID=14","4.4")</f>
        <v>4.4</v>
      </c>
      <c r="G1478" s="4" t="str">
        <f>HYPERLINK("http://141.218.60.56/~jnz1568/getInfo.php?workbook=16_08.xlsx&amp;sheet=U0&amp;row=1478&amp;col=7&amp;number=0.0136&amp;sourceID=14","0.0136")</f>
        <v>0.0136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HYPERLINK("http://141.218.60.56/~jnz1568/getInfo.php?workbook=16_08.xlsx&amp;sheet=U0&amp;row=1479&amp;col=6&amp;number=4.5&amp;sourceID=14","4.5")</f>
        <v>4.5</v>
      </c>
      <c r="G1479" s="4" t="str">
        <f>HYPERLINK("http://141.218.60.56/~jnz1568/getInfo.php?workbook=16_08.xlsx&amp;sheet=U0&amp;row=1479&amp;col=7&amp;number=0.0136&amp;sourceID=14","0.0136")</f>
        <v>0.0136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HYPERLINK("http://141.218.60.56/~jnz1568/getInfo.php?workbook=16_08.xlsx&amp;sheet=U0&amp;row=1480&amp;col=6&amp;number=4.6&amp;sourceID=14","4.6")</f>
        <v>4.6</v>
      </c>
      <c r="G1480" s="4" t="str">
        <f>HYPERLINK("http://141.218.60.56/~jnz1568/getInfo.php?workbook=16_08.xlsx&amp;sheet=U0&amp;row=1480&amp;col=7&amp;number=0.0136&amp;sourceID=14","0.0136")</f>
        <v>0.0136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HYPERLINK("http://141.218.60.56/~jnz1568/getInfo.php?workbook=16_08.xlsx&amp;sheet=U0&amp;row=1481&amp;col=6&amp;number=4.7&amp;sourceID=14","4.7")</f>
        <v>4.7</v>
      </c>
      <c r="G1481" s="4" t="str">
        <f>HYPERLINK("http://141.218.60.56/~jnz1568/getInfo.php?workbook=16_08.xlsx&amp;sheet=U0&amp;row=1481&amp;col=7&amp;number=0.0136&amp;sourceID=14","0.0136")</f>
        <v>0.0136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HYPERLINK("http://141.218.60.56/~jnz1568/getInfo.php?workbook=16_08.xlsx&amp;sheet=U0&amp;row=1482&amp;col=6&amp;number=4.8&amp;sourceID=14","4.8")</f>
        <v>4.8</v>
      </c>
      <c r="G1482" s="4" t="str">
        <f>HYPERLINK("http://141.218.60.56/~jnz1568/getInfo.php?workbook=16_08.xlsx&amp;sheet=U0&amp;row=1482&amp;col=7&amp;number=0.0135&amp;sourceID=14","0.0135")</f>
        <v>0.0135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HYPERLINK("http://141.218.60.56/~jnz1568/getInfo.php?workbook=16_08.xlsx&amp;sheet=U0&amp;row=1483&amp;col=6&amp;number=4.9&amp;sourceID=14","4.9")</f>
        <v>4.9</v>
      </c>
      <c r="G1483" s="4" t="str">
        <f>HYPERLINK("http://141.218.60.56/~jnz1568/getInfo.php?workbook=16_08.xlsx&amp;sheet=U0&amp;row=1483&amp;col=7&amp;number=0.0135&amp;sourceID=14","0.0135")</f>
        <v>0.0135</v>
      </c>
    </row>
    <row r="1484" spans="1:7">
      <c r="A1484" s="3">
        <v>16</v>
      </c>
      <c r="B1484" s="3">
        <v>8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HYPERLINK("http://141.218.60.56/~jnz1568/getInfo.php?workbook=16_08.xlsx&amp;sheet=U0&amp;row=1484&amp;col=6&amp;number=3&amp;sourceID=14","3")</f>
        <v>3</v>
      </c>
      <c r="G1484" s="4" t="str">
        <f>HYPERLINK("http://141.218.60.56/~jnz1568/getInfo.php?workbook=16_08.xlsx&amp;sheet=U0&amp;row=1484&amp;col=7&amp;number=0.0093&amp;sourceID=14","0.0093")</f>
        <v>0.0093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HYPERLINK("http://141.218.60.56/~jnz1568/getInfo.php?workbook=16_08.xlsx&amp;sheet=U0&amp;row=1485&amp;col=6&amp;number=3.1&amp;sourceID=14","3.1")</f>
        <v>3.1</v>
      </c>
      <c r="G1485" s="4" t="str">
        <f>HYPERLINK("http://141.218.60.56/~jnz1568/getInfo.php?workbook=16_08.xlsx&amp;sheet=U0&amp;row=1485&amp;col=7&amp;number=0.0093&amp;sourceID=14","0.0093")</f>
        <v>0.0093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HYPERLINK("http://141.218.60.56/~jnz1568/getInfo.php?workbook=16_08.xlsx&amp;sheet=U0&amp;row=1486&amp;col=6&amp;number=3.2&amp;sourceID=14","3.2")</f>
        <v>3.2</v>
      </c>
      <c r="G1486" s="4" t="str">
        <f>HYPERLINK("http://141.218.60.56/~jnz1568/getInfo.php?workbook=16_08.xlsx&amp;sheet=U0&amp;row=1486&amp;col=7&amp;number=0.0093&amp;sourceID=14","0.0093")</f>
        <v>0.0093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HYPERLINK("http://141.218.60.56/~jnz1568/getInfo.php?workbook=16_08.xlsx&amp;sheet=U0&amp;row=1487&amp;col=6&amp;number=3.3&amp;sourceID=14","3.3")</f>
        <v>3.3</v>
      </c>
      <c r="G1487" s="4" t="str">
        <f>HYPERLINK("http://141.218.60.56/~jnz1568/getInfo.php?workbook=16_08.xlsx&amp;sheet=U0&amp;row=1487&amp;col=7&amp;number=0.0093&amp;sourceID=14","0.0093")</f>
        <v>0.0093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HYPERLINK("http://141.218.60.56/~jnz1568/getInfo.php?workbook=16_08.xlsx&amp;sheet=U0&amp;row=1488&amp;col=6&amp;number=3.4&amp;sourceID=14","3.4")</f>
        <v>3.4</v>
      </c>
      <c r="G1488" s="4" t="str">
        <f>HYPERLINK("http://141.218.60.56/~jnz1568/getInfo.php?workbook=16_08.xlsx&amp;sheet=U0&amp;row=1488&amp;col=7&amp;number=0.0093&amp;sourceID=14","0.0093")</f>
        <v>0.0093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HYPERLINK("http://141.218.60.56/~jnz1568/getInfo.php?workbook=16_08.xlsx&amp;sheet=U0&amp;row=1489&amp;col=6&amp;number=3.5&amp;sourceID=14","3.5")</f>
        <v>3.5</v>
      </c>
      <c r="G1489" s="4" t="str">
        <f>HYPERLINK("http://141.218.60.56/~jnz1568/getInfo.php?workbook=16_08.xlsx&amp;sheet=U0&amp;row=1489&amp;col=7&amp;number=0.0093&amp;sourceID=14","0.0093")</f>
        <v>0.0093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HYPERLINK("http://141.218.60.56/~jnz1568/getInfo.php?workbook=16_08.xlsx&amp;sheet=U0&amp;row=1490&amp;col=6&amp;number=3.6&amp;sourceID=14","3.6")</f>
        <v>3.6</v>
      </c>
      <c r="G1490" s="4" t="str">
        <f>HYPERLINK("http://141.218.60.56/~jnz1568/getInfo.php?workbook=16_08.xlsx&amp;sheet=U0&amp;row=1490&amp;col=7&amp;number=0.0093&amp;sourceID=14","0.0093")</f>
        <v>0.0093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HYPERLINK("http://141.218.60.56/~jnz1568/getInfo.php?workbook=16_08.xlsx&amp;sheet=U0&amp;row=1491&amp;col=6&amp;number=3.7&amp;sourceID=14","3.7")</f>
        <v>3.7</v>
      </c>
      <c r="G1491" s="4" t="str">
        <f>HYPERLINK("http://141.218.60.56/~jnz1568/getInfo.php?workbook=16_08.xlsx&amp;sheet=U0&amp;row=1491&amp;col=7&amp;number=0.0093&amp;sourceID=14","0.0093")</f>
        <v>0.0093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HYPERLINK("http://141.218.60.56/~jnz1568/getInfo.php?workbook=16_08.xlsx&amp;sheet=U0&amp;row=1492&amp;col=6&amp;number=3.8&amp;sourceID=14","3.8")</f>
        <v>3.8</v>
      </c>
      <c r="G1492" s="4" t="str">
        <f>HYPERLINK("http://141.218.60.56/~jnz1568/getInfo.php?workbook=16_08.xlsx&amp;sheet=U0&amp;row=1492&amp;col=7&amp;number=0.0093&amp;sourceID=14","0.0093")</f>
        <v>0.0093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HYPERLINK("http://141.218.60.56/~jnz1568/getInfo.php?workbook=16_08.xlsx&amp;sheet=U0&amp;row=1493&amp;col=6&amp;number=3.9&amp;sourceID=14","3.9")</f>
        <v>3.9</v>
      </c>
      <c r="G1493" s="4" t="str">
        <f>HYPERLINK("http://141.218.60.56/~jnz1568/getInfo.php?workbook=16_08.xlsx&amp;sheet=U0&amp;row=1493&amp;col=7&amp;number=0.0093&amp;sourceID=14","0.0093")</f>
        <v>0.0093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HYPERLINK("http://141.218.60.56/~jnz1568/getInfo.php?workbook=16_08.xlsx&amp;sheet=U0&amp;row=1494&amp;col=6&amp;number=4&amp;sourceID=14","4")</f>
        <v>4</v>
      </c>
      <c r="G1494" s="4" t="str">
        <f>HYPERLINK("http://141.218.60.56/~jnz1568/getInfo.php?workbook=16_08.xlsx&amp;sheet=U0&amp;row=1494&amp;col=7&amp;number=0.0093&amp;sourceID=14","0.0093")</f>
        <v>0.0093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HYPERLINK("http://141.218.60.56/~jnz1568/getInfo.php?workbook=16_08.xlsx&amp;sheet=U0&amp;row=1495&amp;col=6&amp;number=4.1&amp;sourceID=14","4.1")</f>
        <v>4.1</v>
      </c>
      <c r="G1495" s="4" t="str">
        <f>HYPERLINK("http://141.218.60.56/~jnz1568/getInfo.php?workbook=16_08.xlsx&amp;sheet=U0&amp;row=1495&amp;col=7&amp;number=0.0093&amp;sourceID=14","0.0093")</f>
        <v>0.0093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HYPERLINK("http://141.218.60.56/~jnz1568/getInfo.php?workbook=16_08.xlsx&amp;sheet=U0&amp;row=1496&amp;col=6&amp;number=4.2&amp;sourceID=14","4.2")</f>
        <v>4.2</v>
      </c>
      <c r="G1496" s="4" t="str">
        <f>HYPERLINK("http://141.218.60.56/~jnz1568/getInfo.php?workbook=16_08.xlsx&amp;sheet=U0&amp;row=1496&amp;col=7&amp;number=0.00931&amp;sourceID=14","0.00931")</f>
        <v>0.00931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HYPERLINK("http://141.218.60.56/~jnz1568/getInfo.php?workbook=16_08.xlsx&amp;sheet=U0&amp;row=1497&amp;col=6&amp;number=4.3&amp;sourceID=14","4.3")</f>
        <v>4.3</v>
      </c>
      <c r="G1497" s="4" t="str">
        <f>HYPERLINK("http://141.218.60.56/~jnz1568/getInfo.php?workbook=16_08.xlsx&amp;sheet=U0&amp;row=1497&amp;col=7&amp;number=0.00931&amp;sourceID=14","0.00931")</f>
        <v>0.00931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HYPERLINK("http://141.218.60.56/~jnz1568/getInfo.php?workbook=16_08.xlsx&amp;sheet=U0&amp;row=1498&amp;col=6&amp;number=4.4&amp;sourceID=14","4.4")</f>
        <v>4.4</v>
      </c>
      <c r="G1498" s="4" t="str">
        <f>HYPERLINK("http://141.218.60.56/~jnz1568/getInfo.php?workbook=16_08.xlsx&amp;sheet=U0&amp;row=1498&amp;col=7&amp;number=0.00931&amp;sourceID=14","0.00931")</f>
        <v>0.00931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HYPERLINK("http://141.218.60.56/~jnz1568/getInfo.php?workbook=16_08.xlsx&amp;sheet=U0&amp;row=1499&amp;col=6&amp;number=4.5&amp;sourceID=14","4.5")</f>
        <v>4.5</v>
      </c>
      <c r="G1499" s="4" t="str">
        <f>HYPERLINK("http://141.218.60.56/~jnz1568/getInfo.php?workbook=16_08.xlsx&amp;sheet=U0&amp;row=1499&amp;col=7&amp;number=0.00931&amp;sourceID=14","0.00931")</f>
        <v>0.00931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HYPERLINK("http://141.218.60.56/~jnz1568/getInfo.php?workbook=16_08.xlsx&amp;sheet=U0&amp;row=1500&amp;col=6&amp;number=4.6&amp;sourceID=14","4.6")</f>
        <v>4.6</v>
      </c>
      <c r="G1500" s="4" t="str">
        <f>HYPERLINK("http://141.218.60.56/~jnz1568/getInfo.php?workbook=16_08.xlsx&amp;sheet=U0&amp;row=1500&amp;col=7&amp;number=0.00932&amp;sourceID=14","0.00932")</f>
        <v>0.00932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HYPERLINK("http://141.218.60.56/~jnz1568/getInfo.php?workbook=16_08.xlsx&amp;sheet=U0&amp;row=1501&amp;col=6&amp;number=4.7&amp;sourceID=14","4.7")</f>
        <v>4.7</v>
      </c>
      <c r="G1501" s="4" t="str">
        <f>HYPERLINK("http://141.218.60.56/~jnz1568/getInfo.php?workbook=16_08.xlsx&amp;sheet=U0&amp;row=1501&amp;col=7&amp;number=0.00932&amp;sourceID=14","0.00932")</f>
        <v>0.00932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HYPERLINK("http://141.218.60.56/~jnz1568/getInfo.php?workbook=16_08.xlsx&amp;sheet=U0&amp;row=1502&amp;col=6&amp;number=4.8&amp;sourceID=14","4.8")</f>
        <v>4.8</v>
      </c>
      <c r="G1502" s="4" t="str">
        <f>HYPERLINK("http://141.218.60.56/~jnz1568/getInfo.php?workbook=16_08.xlsx&amp;sheet=U0&amp;row=1502&amp;col=7&amp;number=0.00933&amp;sourceID=14","0.00933")</f>
        <v>0.00933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HYPERLINK("http://141.218.60.56/~jnz1568/getInfo.php?workbook=16_08.xlsx&amp;sheet=U0&amp;row=1503&amp;col=6&amp;number=4.9&amp;sourceID=14","4.9")</f>
        <v>4.9</v>
      </c>
      <c r="G1503" s="4" t="str">
        <f>HYPERLINK("http://141.218.60.56/~jnz1568/getInfo.php?workbook=16_08.xlsx&amp;sheet=U0&amp;row=1503&amp;col=7&amp;number=0.00934&amp;sourceID=14","0.00934")</f>
        <v>0.00934</v>
      </c>
    </row>
    <row r="1504" spans="1:7">
      <c r="A1504" s="3">
        <v>16</v>
      </c>
      <c r="B1504" s="3">
        <v>8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HYPERLINK("http://141.218.60.56/~jnz1568/getInfo.php?workbook=16_08.xlsx&amp;sheet=U0&amp;row=1504&amp;col=6&amp;number=3&amp;sourceID=14","3")</f>
        <v>3</v>
      </c>
      <c r="G1504" s="4" t="str">
        <f>HYPERLINK("http://141.218.60.56/~jnz1568/getInfo.php?workbook=16_08.xlsx&amp;sheet=U0&amp;row=1504&amp;col=7&amp;number=0.00312&amp;sourceID=14","0.00312")</f>
        <v>0.00312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HYPERLINK("http://141.218.60.56/~jnz1568/getInfo.php?workbook=16_08.xlsx&amp;sheet=U0&amp;row=1505&amp;col=6&amp;number=3.1&amp;sourceID=14","3.1")</f>
        <v>3.1</v>
      </c>
      <c r="G1505" s="4" t="str">
        <f>HYPERLINK("http://141.218.60.56/~jnz1568/getInfo.php?workbook=16_08.xlsx&amp;sheet=U0&amp;row=1505&amp;col=7&amp;number=0.00312&amp;sourceID=14","0.00312")</f>
        <v>0.00312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HYPERLINK("http://141.218.60.56/~jnz1568/getInfo.php?workbook=16_08.xlsx&amp;sheet=U0&amp;row=1506&amp;col=6&amp;number=3.2&amp;sourceID=14","3.2")</f>
        <v>3.2</v>
      </c>
      <c r="G1506" s="4" t="str">
        <f>HYPERLINK("http://141.218.60.56/~jnz1568/getInfo.php?workbook=16_08.xlsx&amp;sheet=U0&amp;row=1506&amp;col=7&amp;number=0.00312&amp;sourceID=14","0.00312")</f>
        <v>0.00312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HYPERLINK("http://141.218.60.56/~jnz1568/getInfo.php?workbook=16_08.xlsx&amp;sheet=U0&amp;row=1507&amp;col=6&amp;number=3.3&amp;sourceID=14","3.3")</f>
        <v>3.3</v>
      </c>
      <c r="G1507" s="4" t="str">
        <f>HYPERLINK("http://141.218.60.56/~jnz1568/getInfo.php?workbook=16_08.xlsx&amp;sheet=U0&amp;row=1507&amp;col=7&amp;number=0.00312&amp;sourceID=14","0.00312")</f>
        <v>0.00312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HYPERLINK("http://141.218.60.56/~jnz1568/getInfo.php?workbook=16_08.xlsx&amp;sheet=U0&amp;row=1508&amp;col=6&amp;number=3.4&amp;sourceID=14","3.4")</f>
        <v>3.4</v>
      </c>
      <c r="G1508" s="4" t="str">
        <f>HYPERLINK("http://141.218.60.56/~jnz1568/getInfo.php?workbook=16_08.xlsx&amp;sheet=U0&amp;row=1508&amp;col=7&amp;number=0.00312&amp;sourceID=14","0.00312")</f>
        <v>0.00312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HYPERLINK("http://141.218.60.56/~jnz1568/getInfo.php?workbook=16_08.xlsx&amp;sheet=U0&amp;row=1509&amp;col=6&amp;number=3.5&amp;sourceID=14","3.5")</f>
        <v>3.5</v>
      </c>
      <c r="G1509" s="4" t="str">
        <f>HYPERLINK("http://141.218.60.56/~jnz1568/getInfo.php?workbook=16_08.xlsx&amp;sheet=U0&amp;row=1509&amp;col=7&amp;number=0.00312&amp;sourceID=14","0.00312")</f>
        <v>0.00312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HYPERLINK("http://141.218.60.56/~jnz1568/getInfo.php?workbook=16_08.xlsx&amp;sheet=U0&amp;row=1510&amp;col=6&amp;number=3.6&amp;sourceID=14","3.6")</f>
        <v>3.6</v>
      </c>
      <c r="G1510" s="4" t="str">
        <f>HYPERLINK("http://141.218.60.56/~jnz1568/getInfo.php?workbook=16_08.xlsx&amp;sheet=U0&amp;row=1510&amp;col=7&amp;number=0.00312&amp;sourceID=14","0.00312")</f>
        <v>0.00312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HYPERLINK("http://141.218.60.56/~jnz1568/getInfo.php?workbook=16_08.xlsx&amp;sheet=U0&amp;row=1511&amp;col=6&amp;number=3.7&amp;sourceID=14","3.7")</f>
        <v>3.7</v>
      </c>
      <c r="G1511" s="4" t="str">
        <f>HYPERLINK("http://141.218.60.56/~jnz1568/getInfo.php?workbook=16_08.xlsx&amp;sheet=U0&amp;row=1511&amp;col=7&amp;number=0.00312&amp;sourceID=14","0.00312")</f>
        <v>0.00312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HYPERLINK("http://141.218.60.56/~jnz1568/getInfo.php?workbook=16_08.xlsx&amp;sheet=U0&amp;row=1512&amp;col=6&amp;number=3.8&amp;sourceID=14","3.8")</f>
        <v>3.8</v>
      </c>
      <c r="G1512" s="4" t="str">
        <f>HYPERLINK("http://141.218.60.56/~jnz1568/getInfo.php?workbook=16_08.xlsx&amp;sheet=U0&amp;row=1512&amp;col=7&amp;number=0.00312&amp;sourceID=14","0.00312")</f>
        <v>0.00312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HYPERLINK("http://141.218.60.56/~jnz1568/getInfo.php?workbook=16_08.xlsx&amp;sheet=U0&amp;row=1513&amp;col=6&amp;number=3.9&amp;sourceID=14","3.9")</f>
        <v>3.9</v>
      </c>
      <c r="G1513" s="4" t="str">
        <f>HYPERLINK("http://141.218.60.56/~jnz1568/getInfo.php?workbook=16_08.xlsx&amp;sheet=U0&amp;row=1513&amp;col=7&amp;number=0.00311&amp;sourceID=14","0.00311")</f>
        <v>0.00311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HYPERLINK("http://141.218.60.56/~jnz1568/getInfo.php?workbook=16_08.xlsx&amp;sheet=U0&amp;row=1514&amp;col=6&amp;number=4&amp;sourceID=14","4")</f>
        <v>4</v>
      </c>
      <c r="G1514" s="4" t="str">
        <f>HYPERLINK("http://141.218.60.56/~jnz1568/getInfo.php?workbook=16_08.xlsx&amp;sheet=U0&amp;row=1514&amp;col=7&amp;number=0.00311&amp;sourceID=14","0.00311")</f>
        <v>0.00311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HYPERLINK("http://141.218.60.56/~jnz1568/getInfo.php?workbook=16_08.xlsx&amp;sheet=U0&amp;row=1515&amp;col=6&amp;number=4.1&amp;sourceID=14","4.1")</f>
        <v>4.1</v>
      </c>
      <c r="G1515" s="4" t="str">
        <f>HYPERLINK("http://141.218.60.56/~jnz1568/getInfo.php?workbook=16_08.xlsx&amp;sheet=U0&amp;row=1515&amp;col=7&amp;number=0.00311&amp;sourceID=14","0.00311")</f>
        <v>0.00311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HYPERLINK("http://141.218.60.56/~jnz1568/getInfo.php?workbook=16_08.xlsx&amp;sheet=U0&amp;row=1516&amp;col=6&amp;number=4.2&amp;sourceID=14","4.2")</f>
        <v>4.2</v>
      </c>
      <c r="G1516" s="4" t="str">
        <f>HYPERLINK("http://141.218.60.56/~jnz1568/getInfo.php?workbook=16_08.xlsx&amp;sheet=U0&amp;row=1516&amp;col=7&amp;number=0.00311&amp;sourceID=14","0.00311")</f>
        <v>0.00311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HYPERLINK("http://141.218.60.56/~jnz1568/getInfo.php?workbook=16_08.xlsx&amp;sheet=U0&amp;row=1517&amp;col=6&amp;number=4.3&amp;sourceID=14","4.3")</f>
        <v>4.3</v>
      </c>
      <c r="G1517" s="4" t="str">
        <f>HYPERLINK("http://141.218.60.56/~jnz1568/getInfo.php?workbook=16_08.xlsx&amp;sheet=U0&amp;row=1517&amp;col=7&amp;number=0.00311&amp;sourceID=14","0.00311")</f>
        <v>0.00311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HYPERLINK("http://141.218.60.56/~jnz1568/getInfo.php?workbook=16_08.xlsx&amp;sheet=U0&amp;row=1518&amp;col=6&amp;number=4.4&amp;sourceID=14","4.4")</f>
        <v>4.4</v>
      </c>
      <c r="G1518" s="4" t="str">
        <f>HYPERLINK("http://141.218.60.56/~jnz1568/getInfo.php?workbook=16_08.xlsx&amp;sheet=U0&amp;row=1518&amp;col=7&amp;number=0.0031&amp;sourceID=14","0.0031")</f>
        <v>0.0031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HYPERLINK("http://141.218.60.56/~jnz1568/getInfo.php?workbook=16_08.xlsx&amp;sheet=U0&amp;row=1519&amp;col=6&amp;number=4.5&amp;sourceID=14","4.5")</f>
        <v>4.5</v>
      </c>
      <c r="G1519" s="4" t="str">
        <f>HYPERLINK("http://141.218.60.56/~jnz1568/getInfo.php?workbook=16_08.xlsx&amp;sheet=U0&amp;row=1519&amp;col=7&amp;number=0.0031&amp;sourceID=14","0.0031")</f>
        <v>0.0031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HYPERLINK("http://141.218.60.56/~jnz1568/getInfo.php?workbook=16_08.xlsx&amp;sheet=U0&amp;row=1520&amp;col=6&amp;number=4.6&amp;sourceID=14","4.6")</f>
        <v>4.6</v>
      </c>
      <c r="G1520" s="4" t="str">
        <f>HYPERLINK("http://141.218.60.56/~jnz1568/getInfo.php?workbook=16_08.xlsx&amp;sheet=U0&amp;row=1520&amp;col=7&amp;number=0.00309&amp;sourceID=14","0.00309")</f>
        <v>0.00309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HYPERLINK("http://141.218.60.56/~jnz1568/getInfo.php?workbook=16_08.xlsx&amp;sheet=U0&amp;row=1521&amp;col=6&amp;number=4.7&amp;sourceID=14","4.7")</f>
        <v>4.7</v>
      </c>
      <c r="G1521" s="4" t="str">
        <f>HYPERLINK("http://141.218.60.56/~jnz1568/getInfo.php?workbook=16_08.xlsx&amp;sheet=U0&amp;row=1521&amp;col=7&amp;number=0.00309&amp;sourceID=14","0.00309")</f>
        <v>0.00309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HYPERLINK("http://141.218.60.56/~jnz1568/getInfo.php?workbook=16_08.xlsx&amp;sheet=U0&amp;row=1522&amp;col=6&amp;number=4.8&amp;sourceID=14","4.8")</f>
        <v>4.8</v>
      </c>
      <c r="G1522" s="4" t="str">
        <f>HYPERLINK("http://141.218.60.56/~jnz1568/getInfo.php?workbook=16_08.xlsx&amp;sheet=U0&amp;row=1522&amp;col=7&amp;number=0.00308&amp;sourceID=14","0.00308")</f>
        <v>0.00308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HYPERLINK("http://141.218.60.56/~jnz1568/getInfo.php?workbook=16_08.xlsx&amp;sheet=U0&amp;row=1523&amp;col=6&amp;number=4.9&amp;sourceID=14","4.9")</f>
        <v>4.9</v>
      </c>
      <c r="G1523" s="4" t="str">
        <f>HYPERLINK("http://141.218.60.56/~jnz1568/getInfo.php?workbook=16_08.xlsx&amp;sheet=U0&amp;row=1523&amp;col=7&amp;number=0.00307&amp;sourceID=14","0.00307")</f>
        <v>0.00307</v>
      </c>
    </row>
    <row r="1524" spans="1:7">
      <c r="A1524" s="3">
        <v>16</v>
      </c>
      <c r="B1524" s="3">
        <v>8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HYPERLINK("http://141.218.60.56/~jnz1568/getInfo.php?workbook=16_08.xlsx&amp;sheet=U0&amp;row=1524&amp;col=6&amp;number=3&amp;sourceID=14","3")</f>
        <v>3</v>
      </c>
      <c r="G1524" s="4" t="str">
        <f>HYPERLINK("http://141.218.60.56/~jnz1568/getInfo.php?workbook=16_08.xlsx&amp;sheet=U0&amp;row=1524&amp;col=7&amp;number=0.0016&amp;sourceID=14","0.0016")</f>
        <v>0.0016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HYPERLINK("http://141.218.60.56/~jnz1568/getInfo.php?workbook=16_08.xlsx&amp;sheet=U0&amp;row=1525&amp;col=6&amp;number=3.1&amp;sourceID=14","3.1")</f>
        <v>3.1</v>
      </c>
      <c r="G1525" s="4" t="str">
        <f>HYPERLINK("http://141.218.60.56/~jnz1568/getInfo.php?workbook=16_08.xlsx&amp;sheet=U0&amp;row=1525&amp;col=7&amp;number=0.0016&amp;sourceID=14","0.0016")</f>
        <v>0.0016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HYPERLINK("http://141.218.60.56/~jnz1568/getInfo.php?workbook=16_08.xlsx&amp;sheet=U0&amp;row=1526&amp;col=6&amp;number=3.2&amp;sourceID=14","3.2")</f>
        <v>3.2</v>
      </c>
      <c r="G1526" s="4" t="str">
        <f>HYPERLINK("http://141.218.60.56/~jnz1568/getInfo.php?workbook=16_08.xlsx&amp;sheet=U0&amp;row=1526&amp;col=7&amp;number=0.0016&amp;sourceID=14","0.0016")</f>
        <v>0.0016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HYPERLINK("http://141.218.60.56/~jnz1568/getInfo.php?workbook=16_08.xlsx&amp;sheet=U0&amp;row=1527&amp;col=6&amp;number=3.3&amp;sourceID=14","3.3")</f>
        <v>3.3</v>
      </c>
      <c r="G1527" s="4" t="str">
        <f>HYPERLINK("http://141.218.60.56/~jnz1568/getInfo.php?workbook=16_08.xlsx&amp;sheet=U0&amp;row=1527&amp;col=7&amp;number=0.0016&amp;sourceID=14","0.0016")</f>
        <v>0.0016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HYPERLINK("http://141.218.60.56/~jnz1568/getInfo.php?workbook=16_08.xlsx&amp;sheet=U0&amp;row=1528&amp;col=6&amp;number=3.4&amp;sourceID=14","3.4")</f>
        <v>3.4</v>
      </c>
      <c r="G1528" s="4" t="str">
        <f>HYPERLINK("http://141.218.60.56/~jnz1568/getInfo.php?workbook=16_08.xlsx&amp;sheet=U0&amp;row=1528&amp;col=7&amp;number=0.0016&amp;sourceID=14","0.0016")</f>
        <v>0.0016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HYPERLINK("http://141.218.60.56/~jnz1568/getInfo.php?workbook=16_08.xlsx&amp;sheet=U0&amp;row=1529&amp;col=6&amp;number=3.5&amp;sourceID=14","3.5")</f>
        <v>3.5</v>
      </c>
      <c r="G1529" s="4" t="str">
        <f>HYPERLINK("http://141.218.60.56/~jnz1568/getInfo.php?workbook=16_08.xlsx&amp;sheet=U0&amp;row=1529&amp;col=7&amp;number=0.0016&amp;sourceID=14","0.0016")</f>
        <v>0.0016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HYPERLINK("http://141.218.60.56/~jnz1568/getInfo.php?workbook=16_08.xlsx&amp;sheet=U0&amp;row=1530&amp;col=6&amp;number=3.6&amp;sourceID=14","3.6")</f>
        <v>3.6</v>
      </c>
      <c r="G1530" s="4" t="str">
        <f>HYPERLINK("http://141.218.60.56/~jnz1568/getInfo.php?workbook=16_08.xlsx&amp;sheet=U0&amp;row=1530&amp;col=7&amp;number=0.0016&amp;sourceID=14","0.0016")</f>
        <v>0.0016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HYPERLINK("http://141.218.60.56/~jnz1568/getInfo.php?workbook=16_08.xlsx&amp;sheet=U0&amp;row=1531&amp;col=6&amp;number=3.7&amp;sourceID=14","3.7")</f>
        <v>3.7</v>
      </c>
      <c r="G1531" s="4" t="str">
        <f>HYPERLINK("http://141.218.60.56/~jnz1568/getInfo.php?workbook=16_08.xlsx&amp;sheet=U0&amp;row=1531&amp;col=7&amp;number=0.0016&amp;sourceID=14","0.0016")</f>
        <v>0.0016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HYPERLINK("http://141.218.60.56/~jnz1568/getInfo.php?workbook=16_08.xlsx&amp;sheet=U0&amp;row=1532&amp;col=6&amp;number=3.8&amp;sourceID=14","3.8")</f>
        <v>3.8</v>
      </c>
      <c r="G1532" s="4" t="str">
        <f>HYPERLINK("http://141.218.60.56/~jnz1568/getInfo.php?workbook=16_08.xlsx&amp;sheet=U0&amp;row=1532&amp;col=7&amp;number=0.0016&amp;sourceID=14","0.0016")</f>
        <v>0.0016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HYPERLINK("http://141.218.60.56/~jnz1568/getInfo.php?workbook=16_08.xlsx&amp;sheet=U0&amp;row=1533&amp;col=6&amp;number=3.9&amp;sourceID=14","3.9")</f>
        <v>3.9</v>
      </c>
      <c r="G1533" s="4" t="str">
        <f>HYPERLINK("http://141.218.60.56/~jnz1568/getInfo.php?workbook=16_08.xlsx&amp;sheet=U0&amp;row=1533&amp;col=7&amp;number=0.0016&amp;sourceID=14","0.0016")</f>
        <v>0.0016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HYPERLINK("http://141.218.60.56/~jnz1568/getInfo.php?workbook=16_08.xlsx&amp;sheet=U0&amp;row=1534&amp;col=6&amp;number=4&amp;sourceID=14","4")</f>
        <v>4</v>
      </c>
      <c r="G1534" s="4" t="str">
        <f>HYPERLINK("http://141.218.60.56/~jnz1568/getInfo.php?workbook=16_08.xlsx&amp;sheet=U0&amp;row=1534&amp;col=7&amp;number=0.0016&amp;sourceID=14","0.0016")</f>
        <v>0.0016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HYPERLINK("http://141.218.60.56/~jnz1568/getInfo.php?workbook=16_08.xlsx&amp;sheet=U0&amp;row=1535&amp;col=6&amp;number=4.1&amp;sourceID=14","4.1")</f>
        <v>4.1</v>
      </c>
      <c r="G1535" s="4" t="str">
        <f>HYPERLINK("http://141.218.60.56/~jnz1568/getInfo.php?workbook=16_08.xlsx&amp;sheet=U0&amp;row=1535&amp;col=7&amp;number=0.0016&amp;sourceID=14","0.0016")</f>
        <v>0.0016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HYPERLINK("http://141.218.60.56/~jnz1568/getInfo.php?workbook=16_08.xlsx&amp;sheet=U0&amp;row=1536&amp;col=6&amp;number=4.2&amp;sourceID=14","4.2")</f>
        <v>4.2</v>
      </c>
      <c r="G1536" s="4" t="str">
        <f>HYPERLINK("http://141.218.60.56/~jnz1568/getInfo.php?workbook=16_08.xlsx&amp;sheet=U0&amp;row=1536&amp;col=7&amp;number=0.0016&amp;sourceID=14","0.0016")</f>
        <v>0.0016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HYPERLINK("http://141.218.60.56/~jnz1568/getInfo.php?workbook=16_08.xlsx&amp;sheet=U0&amp;row=1537&amp;col=6&amp;number=4.3&amp;sourceID=14","4.3")</f>
        <v>4.3</v>
      </c>
      <c r="G1537" s="4" t="str">
        <f>HYPERLINK("http://141.218.60.56/~jnz1568/getInfo.php?workbook=16_08.xlsx&amp;sheet=U0&amp;row=1537&amp;col=7&amp;number=0.0016&amp;sourceID=14","0.0016")</f>
        <v>0.0016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HYPERLINK("http://141.218.60.56/~jnz1568/getInfo.php?workbook=16_08.xlsx&amp;sheet=U0&amp;row=1538&amp;col=6&amp;number=4.4&amp;sourceID=14","4.4")</f>
        <v>4.4</v>
      </c>
      <c r="G1538" s="4" t="str">
        <f>HYPERLINK("http://141.218.60.56/~jnz1568/getInfo.php?workbook=16_08.xlsx&amp;sheet=U0&amp;row=1538&amp;col=7&amp;number=0.00159&amp;sourceID=14","0.00159")</f>
        <v>0.00159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HYPERLINK("http://141.218.60.56/~jnz1568/getInfo.php?workbook=16_08.xlsx&amp;sheet=U0&amp;row=1539&amp;col=6&amp;number=4.5&amp;sourceID=14","4.5")</f>
        <v>4.5</v>
      </c>
      <c r="G1539" s="4" t="str">
        <f>HYPERLINK("http://141.218.60.56/~jnz1568/getInfo.php?workbook=16_08.xlsx&amp;sheet=U0&amp;row=1539&amp;col=7&amp;number=0.00159&amp;sourceID=14","0.00159")</f>
        <v>0.00159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HYPERLINK("http://141.218.60.56/~jnz1568/getInfo.php?workbook=16_08.xlsx&amp;sheet=U0&amp;row=1540&amp;col=6&amp;number=4.6&amp;sourceID=14","4.6")</f>
        <v>4.6</v>
      </c>
      <c r="G1540" s="4" t="str">
        <f>HYPERLINK("http://141.218.60.56/~jnz1568/getInfo.php?workbook=16_08.xlsx&amp;sheet=U0&amp;row=1540&amp;col=7&amp;number=0.00159&amp;sourceID=14","0.00159")</f>
        <v>0.00159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HYPERLINK("http://141.218.60.56/~jnz1568/getInfo.php?workbook=16_08.xlsx&amp;sheet=U0&amp;row=1541&amp;col=6&amp;number=4.7&amp;sourceID=14","4.7")</f>
        <v>4.7</v>
      </c>
      <c r="G1541" s="4" t="str">
        <f>HYPERLINK("http://141.218.60.56/~jnz1568/getInfo.php?workbook=16_08.xlsx&amp;sheet=U0&amp;row=1541&amp;col=7&amp;number=0.00158&amp;sourceID=14","0.00158")</f>
        <v>0.00158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HYPERLINK("http://141.218.60.56/~jnz1568/getInfo.php?workbook=16_08.xlsx&amp;sheet=U0&amp;row=1542&amp;col=6&amp;number=4.8&amp;sourceID=14","4.8")</f>
        <v>4.8</v>
      </c>
      <c r="G1542" s="4" t="str">
        <f>HYPERLINK("http://141.218.60.56/~jnz1568/getInfo.php?workbook=16_08.xlsx&amp;sheet=U0&amp;row=1542&amp;col=7&amp;number=0.00158&amp;sourceID=14","0.00158")</f>
        <v>0.00158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HYPERLINK("http://141.218.60.56/~jnz1568/getInfo.php?workbook=16_08.xlsx&amp;sheet=U0&amp;row=1543&amp;col=6&amp;number=4.9&amp;sourceID=14","4.9")</f>
        <v>4.9</v>
      </c>
      <c r="G1543" s="4" t="str">
        <f>HYPERLINK("http://141.218.60.56/~jnz1568/getInfo.php?workbook=16_08.xlsx&amp;sheet=U0&amp;row=1543&amp;col=7&amp;number=0.00157&amp;sourceID=14","0.00157")</f>
        <v>0.00157</v>
      </c>
    </row>
    <row r="1544" spans="1:7">
      <c r="A1544" s="3">
        <v>16</v>
      </c>
      <c r="B1544" s="3">
        <v>8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HYPERLINK("http://141.218.60.56/~jnz1568/getInfo.php?workbook=16_08.xlsx&amp;sheet=U0&amp;row=1544&amp;col=6&amp;number=3&amp;sourceID=14","3")</f>
        <v>3</v>
      </c>
      <c r="G1544" s="4" t="str">
        <f>HYPERLINK("http://141.218.60.56/~jnz1568/getInfo.php?workbook=16_08.xlsx&amp;sheet=U0&amp;row=1544&amp;col=7&amp;number=0.00872&amp;sourceID=14","0.00872")</f>
        <v>0.00872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HYPERLINK("http://141.218.60.56/~jnz1568/getInfo.php?workbook=16_08.xlsx&amp;sheet=U0&amp;row=1545&amp;col=6&amp;number=3.1&amp;sourceID=14","3.1")</f>
        <v>3.1</v>
      </c>
      <c r="G1545" s="4" t="str">
        <f>HYPERLINK("http://141.218.60.56/~jnz1568/getInfo.php?workbook=16_08.xlsx&amp;sheet=U0&amp;row=1545&amp;col=7&amp;number=0.00872&amp;sourceID=14","0.00872")</f>
        <v>0.00872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HYPERLINK("http://141.218.60.56/~jnz1568/getInfo.php?workbook=16_08.xlsx&amp;sheet=U0&amp;row=1546&amp;col=6&amp;number=3.2&amp;sourceID=14","3.2")</f>
        <v>3.2</v>
      </c>
      <c r="G1546" s="4" t="str">
        <f>HYPERLINK("http://141.218.60.56/~jnz1568/getInfo.php?workbook=16_08.xlsx&amp;sheet=U0&amp;row=1546&amp;col=7&amp;number=0.00872&amp;sourceID=14","0.00872")</f>
        <v>0.00872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HYPERLINK("http://141.218.60.56/~jnz1568/getInfo.php?workbook=16_08.xlsx&amp;sheet=U0&amp;row=1547&amp;col=6&amp;number=3.3&amp;sourceID=14","3.3")</f>
        <v>3.3</v>
      </c>
      <c r="G1547" s="4" t="str">
        <f>HYPERLINK("http://141.218.60.56/~jnz1568/getInfo.php?workbook=16_08.xlsx&amp;sheet=U0&amp;row=1547&amp;col=7&amp;number=0.00872&amp;sourceID=14","0.00872")</f>
        <v>0.00872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HYPERLINK("http://141.218.60.56/~jnz1568/getInfo.php?workbook=16_08.xlsx&amp;sheet=U0&amp;row=1548&amp;col=6&amp;number=3.4&amp;sourceID=14","3.4")</f>
        <v>3.4</v>
      </c>
      <c r="G1548" s="4" t="str">
        <f>HYPERLINK("http://141.218.60.56/~jnz1568/getInfo.php?workbook=16_08.xlsx&amp;sheet=U0&amp;row=1548&amp;col=7&amp;number=0.00872&amp;sourceID=14","0.00872")</f>
        <v>0.00872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HYPERLINK("http://141.218.60.56/~jnz1568/getInfo.php?workbook=16_08.xlsx&amp;sheet=U0&amp;row=1549&amp;col=6&amp;number=3.5&amp;sourceID=14","3.5")</f>
        <v>3.5</v>
      </c>
      <c r="G1549" s="4" t="str">
        <f>HYPERLINK("http://141.218.60.56/~jnz1568/getInfo.php?workbook=16_08.xlsx&amp;sheet=U0&amp;row=1549&amp;col=7&amp;number=0.00872&amp;sourceID=14","0.00872")</f>
        <v>0.00872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HYPERLINK("http://141.218.60.56/~jnz1568/getInfo.php?workbook=16_08.xlsx&amp;sheet=U0&amp;row=1550&amp;col=6&amp;number=3.6&amp;sourceID=14","3.6")</f>
        <v>3.6</v>
      </c>
      <c r="G1550" s="4" t="str">
        <f>HYPERLINK("http://141.218.60.56/~jnz1568/getInfo.php?workbook=16_08.xlsx&amp;sheet=U0&amp;row=1550&amp;col=7&amp;number=0.00872&amp;sourceID=14","0.00872")</f>
        <v>0.00872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HYPERLINK("http://141.218.60.56/~jnz1568/getInfo.php?workbook=16_08.xlsx&amp;sheet=U0&amp;row=1551&amp;col=6&amp;number=3.7&amp;sourceID=14","3.7")</f>
        <v>3.7</v>
      </c>
      <c r="G1551" s="4" t="str">
        <f>HYPERLINK("http://141.218.60.56/~jnz1568/getInfo.php?workbook=16_08.xlsx&amp;sheet=U0&amp;row=1551&amp;col=7&amp;number=0.00872&amp;sourceID=14","0.00872")</f>
        <v>0.00872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HYPERLINK("http://141.218.60.56/~jnz1568/getInfo.php?workbook=16_08.xlsx&amp;sheet=U0&amp;row=1552&amp;col=6&amp;number=3.8&amp;sourceID=14","3.8")</f>
        <v>3.8</v>
      </c>
      <c r="G1552" s="4" t="str">
        <f>HYPERLINK("http://141.218.60.56/~jnz1568/getInfo.php?workbook=16_08.xlsx&amp;sheet=U0&amp;row=1552&amp;col=7&amp;number=0.00872&amp;sourceID=14","0.00872")</f>
        <v>0.00872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HYPERLINK("http://141.218.60.56/~jnz1568/getInfo.php?workbook=16_08.xlsx&amp;sheet=U0&amp;row=1553&amp;col=6&amp;number=3.9&amp;sourceID=14","3.9")</f>
        <v>3.9</v>
      </c>
      <c r="G1553" s="4" t="str">
        <f>HYPERLINK("http://141.218.60.56/~jnz1568/getInfo.php?workbook=16_08.xlsx&amp;sheet=U0&amp;row=1553&amp;col=7&amp;number=0.00873&amp;sourceID=14","0.00873")</f>
        <v>0.00873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HYPERLINK("http://141.218.60.56/~jnz1568/getInfo.php?workbook=16_08.xlsx&amp;sheet=U0&amp;row=1554&amp;col=6&amp;number=4&amp;sourceID=14","4")</f>
        <v>4</v>
      </c>
      <c r="G1554" s="4" t="str">
        <f>HYPERLINK("http://141.218.60.56/~jnz1568/getInfo.php?workbook=16_08.xlsx&amp;sheet=U0&amp;row=1554&amp;col=7&amp;number=0.00873&amp;sourceID=14","0.00873")</f>
        <v>0.00873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HYPERLINK("http://141.218.60.56/~jnz1568/getInfo.php?workbook=16_08.xlsx&amp;sheet=U0&amp;row=1555&amp;col=6&amp;number=4.1&amp;sourceID=14","4.1")</f>
        <v>4.1</v>
      </c>
      <c r="G1555" s="4" t="str">
        <f>HYPERLINK("http://141.218.60.56/~jnz1568/getInfo.php?workbook=16_08.xlsx&amp;sheet=U0&amp;row=1555&amp;col=7&amp;number=0.00873&amp;sourceID=14","0.00873")</f>
        <v>0.00873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HYPERLINK("http://141.218.60.56/~jnz1568/getInfo.php?workbook=16_08.xlsx&amp;sheet=U0&amp;row=1556&amp;col=6&amp;number=4.2&amp;sourceID=14","4.2")</f>
        <v>4.2</v>
      </c>
      <c r="G1556" s="4" t="str">
        <f>HYPERLINK("http://141.218.60.56/~jnz1568/getInfo.php?workbook=16_08.xlsx&amp;sheet=U0&amp;row=1556&amp;col=7&amp;number=0.00874&amp;sourceID=14","0.00874")</f>
        <v>0.00874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HYPERLINK("http://141.218.60.56/~jnz1568/getInfo.php?workbook=16_08.xlsx&amp;sheet=U0&amp;row=1557&amp;col=6&amp;number=4.3&amp;sourceID=14","4.3")</f>
        <v>4.3</v>
      </c>
      <c r="G1557" s="4" t="str">
        <f>HYPERLINK("http://141.218.60.56/~jnz1568/getInfo.php?workbook=16_08.xlsx&amp;sheet=U0&amp;row=1557&amp;col=7&amp;number=0.00874&amp;sourceID=14","0.00874")</f>
        <v>0.00874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HYPERLINK("http://141.218.60.56/~jnz1568/getInfo.php?workbook=16_08.xlsx&amp;sheet=U0&amp;row=1558&amp;col=6&amp;number=4.4&amp;sourceID=14","4.4")</f>
        <v>4.4</v>
      </c>
      <c r="G1558" s="4" t="str">
        <f>HYPERLINK("http://141.218.60.56/~jnz1568/getInfo.php?workbook=16_08.xlsx&amp;sheet=U0&amp;row=1558&amp;col=7&amp;number=0.00875&amp;sourceID=14","0.00875")</f>
        <v>0.00875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HYPERLINK("http://141.218.60.56/~jnz1568/getInfo.php?workbook=16_08.xlsx&amp;sheet=U0&amp;row=1559&amp;col=6&amp;number=4.5&amp;sourceID=14","4.5")</f>
        <v>4.5</v>
      </c>
      <c r="G1559" s="4" t="str">
        <f>HYPERLINK("http://141.218.60.56/~jnz1568/getInfo.php?workbook=16_08.xlsx&amp;sheet=U0&amp;row=1559&amp;col=7&amp;number=0.00875&amp;sourceID=14","0.00875")</f>
        <v>0.00875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HYPERLINK("http://141.218.60.56/~jnz1568/getInfo.php?workbook=16_08.xlsx&amp;sheet=U0&amp;row=1560&amp;col=6&amp;number=4.6&amp;sourceID=14","4.6")</f>
        <v>4.6</v>
      </c>
      <c r="G1560" s="4" t="str">
        <f>HYPERLINK("http://141.218.60.56/~jnz1568/getInfo.php?workbook=16_08.xlsx&amp;sheet=U0&amp;row=1560&amp;col=7&amp;number=0.00876&amp;sourceID=14","0.00876")</f>
        <v>0.00876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HYPERLINK("http://141.218.60.56/~jnz1568/getInfo.php?workbook=16_08.xlsx&amp;sheet=U0&amp;row=1561&amp;col=6&amp;number=4.7&amp;sourceID=14","4.7")</f>
        <v>4.7</v>
      </c>
      <c r="G1561" s="4" t="str">
        <f>HYPERLINK("http://141.218.60.56/~jnz1568/getInfo.php?workbook=16_08.xlsx&amp;sheet=U0&amp;row=1561&amp;col=7&amp;number=0.00877&amp;sourceID=14","0.00877")</f>
        <v>0.00877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HYPERLINK("http://141.218.60.56/~jnz1568/getInfo.php?workbook=16_08.xlsx&amp;sheet=U0&amp;row=1562&amp;col=6&amp;number=4.8&amp;sourceID=14","4.8")</f>
        <v>4.8</v>
      </c>
      <c r="G1562" s="4" t="str">
        <f>HYPERLINK("http://141.218.60.56/~jnz1568/getInfo.php?workbook=16_08.xlsx&amp;sheet=U0&amp;row=1562&amp;col=7&amp;number=0.00879&amp;sourceID=14","0.00879")</f>
        <v>0.00879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HYPERLINK("http://141.218.60.56/~jnz1568/getInfo.php?workbook=16_08.xlsx&amp;sheet=U0&amp;row=1563&amp;col=6&amp;number=4.9&amp;sourceID=14","4.9")</f>
        <v>4.9</v>
      </c>
      <c r="G1563" s="4" t="str">
        <f>HYPERLINK("http://141.218.60.56/~jnz1568/getInfo.php?workbook=16_08.xlsx&amp;sheet=U0&amp;row=1563&amp;col=7&amp;number=0.00881&amp;sourceID=14","0.00881")</f>
        <v>0.00881</v>
      </c>
    </row>
    <row r="1564" spans="1:7">
      <c r="A1564" s="3">
        <v>16</v>
      </c>
      <c r="B1564" s="3">
        <v>8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HYPERLINK("http://141.218.60.56/~jnz1568/getInfo.php?workbook=16_08.xlsx&amp;sheet=U0&amp;row=1564&amp;col=6&amp;number=3&amp;sourceID=14","3")</f>
        <v>3</v>
      </c>
      <c r="G1564" s="4" t="str">
        <f>HYPERLINK("http://141.218.60.56/~jnz1568/getInfo.php?workbook=16_08.xlsx&amp;sheet=U0&amp;row=1564&amp;col=7&amp;number=0.02&amp;sourceID=14","0.02")</f>
        <v>0.02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HYPERLINK("http://141.218.60.56/~jnz1568/getInfo.php?workbook=16_08.xlsx&amp;sheet=U0&amp;row=1565&amp;col=6&amp;number=3.1&amp;sourceID=14","3.1")</f>
        <v>3.1</v>
      </c>
      <c r="G1565" s="4" t="str">
        <f>HYPERLINK("http://141.218.60.56/~jnz1568/getInfo.php?workbook=16_08.xlsx&amp;sheet=U0&amp;row=1565&amp;col=7&amp;number=0.02&amp;sourceID=14","0.02")</f>
        <v>0.02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HYPERLINK("http://141.218.60.56/~jnz1568/getInfo.php?workbook=16_08.xlsx&amp;sheet=U0&amp;row=1566&amp;col=6&amp;number=3.2&amp;sourceID=14","3.2")</f>
        <v>3.2</v>
      </c>
      <c r="G1566" s="4" t="str">
        <f>HYPERLINK("http://141.218.60.56/~jnz1568/getInfo.php?workbook=16_08.xlsx&amp;sheet=U0&amp;row=1566&amp;col=7&amp;number=0.02&amp;sourceID=14","0.02")</f>
        <v>0.02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HYPERLINK("http://141.218.60.56/~jnz1568/getInfo.php?workbook=16_08.xlsx&amp;sheet=U0&amp;row=1567&amp;col=6&amp;number=3.3&amp;sourceID=14","3.3")</f>
        <v>3.3</v>
      </c>
      <c r="G1567" s="4" t="str">
        <f>HYPERLINK("http://141.218.60.56/~jnz1568/getInfo.php?workbook=16_08.xlsx&amp;sheet=U0&amp;row=1567&amp;col=7&amp;number=0.02&amp;sourceID=14","0.02")</f>
        <v>0.02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HYPERLINK("http://141.218.60.56/~jnz1568/getInfo.php?workbook=16_08.xlsx&amp;sheet=U0&amp;row=1568&amp;col=6&amp;number=3.4&amp;sourceID=14","3.4")</f>
        <v>3.4</v>
      </c>
      <c r="G1568" s="4" t="str">
        <f>HYPERLINK("http://141.218.60.56/~jnz1568/getInfo.php?workbook=16_08.xlsx&amp;sheet=U0&amp;row=1568&amp;col=7&amp;number=0.02&amp;sourceID=14","0.02")</f>
        <v>0.02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HYPERLINK("http://141.218.60.56/~jnz1568/getInfo.php?workbook=16_08.xlsx&amp;sheet=U0&amp;row=1569&amp;col=6&amp;number=3.5&amp;sourceID=14","3.5")</f>
        <v>3.5</v>
      </c>
      <c r="G1569" s="4" t="str">
        <f>HYPERLINK("http://141.218.60.56/~jnz1568/getInfo.php?workbook=16_08.xlsx&amp;sheet=U0&amp;row=1569&amp;col=7&amp;number=0.02&amp;sourceID=14","0.02")</f>
        <v>0.02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HYPERLINK("http://141.218.60.56/~jnz1568/getInfo.php?workbook=16_08.xlsx&amp;sheet=U0&amp;row=1570&amp;col=6&amp;number=3.6&amp;sourceID=14","3.6")</f>
        <v>3.6</v>
      </c>
      <c r="G1570" s="4" t="str">
        <f>HYPERLINK("http://141.218.60.56/~jnz1568/getInfo.php?workbook=16_08.xlsx&amp;sheet=U0&amp;row=1570&amp;col=7&amp;number=0.02&amp;sourceID=14","0.02")</f>
        <v>0.02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HYPERLINK("http://141.218.60.56/~jnz1568/getInfo.php?workbook=16_08.xlsx&amp;sheet=U0&amp;row=1571&amp;col=6&amp;number=3.7&amp;sourceID=14","3.7")</f>
        <v>3.7</v>
      </c>
      <c r="G1571" s="4" t="str">
        <f>HYPERLINK("http://141.218.60.56/~jnz1568/getInfo.php?workbook=16_08.xlsx&amp;sheet=U0&amp;row=1571&amp;col=7&amp;number=0.02&amp;sourceID=14","0.02")</f>
        <v>0.02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HYPERLINK("http://141.218.60.56/~jnz1568/getInfo.php?workbook=16_08.xlsx&amp;sheet=U0&amp;row=1572&amp;col=6&amp;number=3.8&amp;sourceID=14","3.8")</f>
        <v>3.8</v>
      </c>
      <c r="G1572" s="4" t="str">
        <f>HYPERLINK("http://141.218.60.56/~jnz1568/getInfo.php?workbook=16_08.xlsx&amp;sheet=U0&amp;row=1572&amp;col=7&amp;number=0.02&amp;sourceID=14","0.02")</f>
        <v>0.02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HYPERLINK("http://141.218.60.56/~jnz1568/getInfo.php?workbook=16_08.xlsx&amp;sheet=U0&amp;row=1573&amp;col=6&amp;number=3.9&amp;sourceID=14","3.9")</f>
        <v>3.9</v>
      </c>
      <c r="G1573" s="4" t="str">
        <f>HYPERLINK("http://141.218.60.56/~jnz1568/getInfo.php?workbook=16_08.xlsx&amp;sheet=U0&amp;row=1573&amp;col=7&amp;number=0.02&amp;sourceID=14","0.02")</f>
        <v>0.02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HYPERLINK("http://141.218.60.56/~jnz1568/getInfo.php?workbook=16_08.xlsx&amp;sheet=U0&amp;row=1574&amp;col=6&amp;number=4&amp;sourceID=14","4")</f>
        <v>4</v>
      </c>
      <c r="G1574" s="4" t="str">
        <f>HYPERLINK("http://141.218.60.56/~jnz1568/getInfo.php?workbook=16_08.xlsx&amp;sheet=U0&amp;row=1574&amp;col=7&amp;number=0.0201&amp;sourceID=14","0.0201")</f>
        <v>0.0201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HYPERLINK("http://141.218.60.56/~jnz1568/getInfo.php?workbook=16_08.xlsx&amp;sheet=U0&amp;row=1575&amp;col=6&amp;number=4.1&amp;sourceID=14","4.1")</f>
        <v>4.1</v>
      </c>
      <c r="G1575" s="4" t="str">
        <f>HYPERLINK("http://141.218.60.56/~jnz1568/getInfo.php?workbook=16_08.xlsx&amp;sheet=U0&amp;row=1575&amp;col=7&amp;number=0.0201&amp;sourceID=14","0.0201")</f>
        <v>0.0201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HYPERLINK("http://141.218.60.56/~jnz1568/getInfo.php?workbook=16_08.xlsx&amp;sheet=U0&amp;row=1576&amp;col=6&amp;number=4.2&amp;sourceID=14","4.2")</f>
        <v>4.2</v>
      </c>
      <c r="G1576" s="4" t="str">
        <f>HYPERLINK("http://141.218.60.56/~jnz1568/getInfo.php?workbook=16_08.xlsx&amp;sheet=U0&amp;row=1576&amp;col=7&amp;number=0.0201&amp;sourceID=14","0.0201")</f>
        <v>0.0201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HYPERLINK("http://141.218.60.56/~jnz1568/getInfo.php?workbook=16_08.xlsx&amp;sheet=U0&amp;row=1577&amp;col=6&amp;number=4.3&amp;sourceID=14","4.3")</f>
        <v>4.3</v>
      </c>
      <c r="G1577" s="4" t="str">
        <f>HYPERLINK("http://141.218.60.56/~jnz1568/getInfo.php?workbook=16_08.xlsx&amp;sheet=U0&amp;row=1577&amp;col=7&amp;number=0.0201&amp;sourceID=14","0.0201")</f>
        <v>0.0201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HYPERLINK("http://141.218.60.56/~jnz1568/getInfo.php?workbook=16_08.xlsx&amp;sheet=U0&amp;row=1578&amp;col=6&amp;number=4.4&amp;sourceID=14","4.4")</f>
        <v>4.4</v>
      </c>
      <c r="G1578" s="4" t="str">
        <f>HYPERLINK("http://141.218.60.56/~jnz1568/getInfo.php?workbook=16_08.xlsx&amp;sheet=U0&amp;row=1578&amp;col=7&amp;number=0.0201&amp;sourceID=14","0.0201")</f>
        <v>0.0201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HYPERLINK("http://141.218.60.56/~jnz1568/getInfo.php?workbook=16_08.xlsx&amp;sheet=U0&amp;row=1579&amp;col=6&amp;number=4.5&amp;sourceID=14","4.5")</f>
        <v>4.5</v>
      </c>
      <c r="G1579" s="4" t="str">
        <f>HYPERLINK("http://141.218.60.56/~jnz1568/getInfo.php?workbook=16_08.xlsx&amp;sheet=U0&amp;row=1579&amp;col=7&amp;number=0.0202&amp;sourceID=14","0.0202")</f>
        <v>0.0202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HYPERLINK("http://141.218.60.56/~jnz1568/getInfo.php?workbook=16_08.xlsx&amp;sheet=U0&amp;row=1580&amp;col=6&amp;number=4.6&amp;sourceID=14","4.6")</f>
        <v>4.6</v>
      </c>
      <c r="G1580" s="4" t="str">
        <f>HYPERLINK("http://141.218.60.56/~jnz1568/getInfo.php?workbook=16_08.xlsx&amp;sheet=U0&amp;row=1580&amp;col=7&amp;number=0.0202&amp;sourceID=14","0.0202")</f>
        <v>0.0202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HYPERLINK("http://141.218.60.56/~jnz1568/getInfo.php?workbook=16_08.xlsx&amp;sheet=U0&amp;row=1581&amp;col=6&amp;number=4.7&amp;sourceID=14","4.7")</f>
        <v>4.7</v>
      </c>
      <c r="G1581" s="4" t="str">
        <f>HYPERLINK("http://141.218.60.56/~jnz1568/getInfo.php?workbook=16_08.xlsx&amp;sheet=U0&amp;row=1581&amp;col=7&amp;number=0.0203&amp;sourceID=14","0.0203")</f>
        <v>0.0203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HYPERLINK("http://141.218.60.56/~jnz1568/getInfo.php?workbook=16_08.xlsx&amp;sheet=U0&amp;row=1582&amp;col=6&amp;number=4.8&amp;sourceID=14","4.8")</f>
        <v>4.8</v>
      </c>
      <c r="G1582" s="4" t="str">
        <f>HYPERLINK("http://141.218.60.56/~jnz1568/getInfo.php?workbook=16_08.xlsx&amp;sheet=U0&amp;row=1582&amp;col=7&amp;number=0.0203&amp;sourceID=14","0.0203")</f>
        <v>0.0203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HYPERLINK("http://141.218.60.56/~jnz1568/getInfo.php?workbook=16_08.xlsx&amp;sheet=U0&amp;row=1583&amp;col=6&amp;number=4.9&amp;sourceID=14","4.9")</f>
        <v>4.9</v>
      </c>
      <c r="G1583" s="4" t="str">
        <f>HYPERLINK("http://141.218.60.56/~jnz1568/getInfo.php?workbook=16_08.xlsx&amp;sheet=U0&amp;row=1583&amp;col=7&amp;number=0.0204&amp;sourceID=14","0.0204")</f>
        <v>0.0204</v>
      </c>
    </row>
    <row r="1584" spans="1:7">
      <c r="A1584" s="3">
        <v>16</v>
      </c>
      <c r="B1584" s="3">
        <v>8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HYPERLINK("http://141.218.60.56/~jnz1568/getInfo.php?workbook=16_08.xlsx&amp;sheet=U0&amp;row=1584&amp;col=6&amp;number=3&amp;sourceID=14","3")</f>
        <v>3</v>
      </c>
      <c r="G1584" s="4" t="str">
        <f>HYPERLINK("http://141.218.60.56/~jnz1568/getInfo.php?workbook=16_08.xlsx&amp;sheet=U0&amp;row=1584&amp;col=7&amp;number=0.0259&amp;sourceID=14","0.0259")</f>
        <v>0.0259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HYPERLINK("http://141.218.60.56/~jnz1568/getInfo.php?workbook=16_08.xlsx&amp;sheet=U0&amp;row=1585&amp;col=6&amp;number=3.1&amp;sourceID=14","3.1")</f>
        <v>3.1</v>
      </c>
      <c r="G1585" s="4" t="str">
        <f>HYPERLINK("http://141.218.60.56/~jnz1568/getInfo.php?workbook=16_08.xlsx&amp;sheet=U0&amp;row=1585&amp;col=7&amp;number=0.0259&amp;sourceID=14","0.0259")</f>
        <v>0.0259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HYPERLINK("http://141.218.60.56/~jnz1568/getInfo.php?workbook=16_08.xlsx&amp;sheet=U0&amp;row=1586&amp;col=6&amp;number=3.2&amp;sourceID=14","3.2")</f>
        <v>3.2</v>
      </c>
      <c r="G1586" s="4" t="str">
        <f>HYPERLINK("http://141.218.60.56/~jnz1568/getInfo.php?workbook=16_08.xlsx&amp;sheet=U0&amp;row=1586&amp;col=7&amp;number=0.0259&amp;sourceID=14","0.0259")</f>
        <v>0.0259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HYPERLINK("http://141.218.60.56/~jnz1568/getInfo.php?workbook=16_08.xlsx&amp;sheet=U0&amp;row=1587&amp;col=6&amp;number=3.3&amp;sourceID=14","3.3")</f>
        <v>3.3</v>
      </c>
      <c r="G1587" s="4" t="str">
        <f>HYPERLINK("http://141.218.60.56/~jnz1568/getInfo.php?workbook=16_08.xlsx&amp;sheet=U0&amp;row=1587&amp;col=7&amp;number=0.0259&amp;sourceID=14","0.0259")</f>
        <v>0.0259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HYPERLINK("http://141.218.60.56/~jnz1568/getInfo.php?workbook=16_08.xlsx&amp;sheet=U0&amp;row=1588&amp;col=6&amp;number=3.4&amp;sourceID=14","3.4")</f>
        <v>3.4</v>
      </c>
      <c r="G1588" s="4" t="str">
        <f>HYPERLINK("http://141.218.60.56/~jnz1568/getInfo.php?workbook=16_08.xlsx&amp;sheet=U0&amp;row=1588&amp;col=7&amp;number=0.0259&amp;sourceID=14","0.0259")</f>
        <v>0.0259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HYPERLINK("http://141.218.60.56/~jnz1568/getInfo.php?workbook=16_08.xlsx&amp;sheet=U0&amp;row=1589&amp;col=6&amp;number=3.5&amp;sourceID=14","3.5")</f>
        <v>3.5</v>
      </c>
      <c r="G1589" s="4" t="str">
        <f>HYPERLINK("http://141.218.60.56/~jnz1568/getInfo.php?workbook=16_08.xlsx&amp;sheet=U0&amp;row=1589&amp;col=7&amp;number=0.0259&amp;sourceID=14","0.0259")</f>
        <v>0.0259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HYPERLINK("http://141.218.60.56/~jnz1568/getInfo.php?workbook=16_08.xlsx&amp;sheet=U0&amp;row=1590&amp;col=6&amp;number=3.6&amp;sourceID=14","3.6")</f>
        <v>3.6</v>
      </c>
      <c r="G1590" s="4" t="str">
        <f>HYPERLINK("http://141.218.60.56/~jnz1568/getInfo.php?workbook=16_08.xlsx&amp;sheet=U0&amp;row=1590&amp;col=7&amp;number=0.0259&amp;sourceID=14","0.0259")</f>
        <v>0.0259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HYPERLINK("http://141.218.60.56/~jnz1568/getInfo.php?workbook=16_08.xlsx&amp;sheet=U0&amp;row=1591&amp;col=6&amp;number=3.7&amp;sourceID=14","3.7")</f>
        <v>3.7</v>
      </c>
      <c r="G1591" s="4" t="str">
        <f>HYPERLINK("http://141.218.60.56/~jnz1568/getInfo.php?workbook=16_08.xlsx&amp;sheet=U0&amp;row=1591&amp;col=7&amp;number=0.0259&amp;sourceID=14","0.0259")</f>
        <v>0.0259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HYPERLINK("http://141.218.60.56/~jnz1568/getInfo.php?workbook=16_08.xlsx&amp;sheet=U0&amp;row=1592&amp;col=6&amp;number=3.8&amp;sourceID=14","3.8")</f>
        <v>3.8</v>
      </c>
      <c r="G1592" s="4" t="str">
        <f>HYPERLINK("http://141.218.60.56/~jnz1568/getInfo.php?workbook=16_08.xlsx&amp;sheet=U0&amp;row=1592&amp;col=7&amp;number=0.0259&amp;sourceID=14","0.0259")</f>
        <v>0.0259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HYPERLINK("http://141.218.60.56/~jnz1568/getInfo.php?workbook=16_08.xlsx&amp;sheet=U0&amp;row=1593&amp;col=6&amp;number=3.9&amp;sourceID=14","3.9")</f>
        <v>3.9</v>
      </c>
      <c r="G1593" s="4" t="str">
        <f>HYPERLINK("http://141.218.60.56/~jnz1568/getInfo.php?workbook=16_08.xlsx&amp;sheet=U0&amp;row=1593&amp;col=7&amp;number=0.0259&amp;sourceID=14","0.0259")</f>
        <v>0.0259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HYPERLINK("http://141.218.60.56/~jnz1568/getInfo.php?workbook=16_08.xlsx&amp;sheet=U0&amp;row=1594&amp;col=6&amp;number=4&amp;sourceID=14","4")</f>
        <v>4</v>
      </c>
      <c r="G1594" s="4" t="str">
        <f>HYPERLINK("http://141.218.60.56/~jnz1568/getInfo.php?workbook=16_08.xlsx&amp;sheet=U0&amp;row=1594&amp;col=7&amp;number=0.0259&amp;sourceID=14","0.0259")</f>
        <v>0.0259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HYPERLINK("http://141.218.60.56/~jnz1568/getInfo.php?workbook=16_08.xlsx&amp;sheet=U0&amp;row=1595&amp;col=6&amp;number=4.1&amp;sourceID=14","4.1")</f>
        <v>4.1</v>
      </c>
      <c r="G1595" s="4" t="str">
        <f>HYPERLINK("http://141.218.60.56/~jnz1568/getInfo.php?workbook=16_08.xlsx&amp;sheet=U0&amp;row=1595&amp;col=7&amp;number=0.0259&amp;sourceID=14","0.0259")</f>
        <v>0.0259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HYPERLINK("http://141.218.60.56/~jnz1568/getInfo.php?workbook=16_08.xlsx&amp;sheet=U0&amp;row=1596&amp;col=6&amp;number=4.2&amp;sourceID=14","4.2")</f>
        <v>4.2</v>
      </c>
      <c r="G1596" s="4" t="str">
        <f>HYPERLINK("http://141.218.60.56/~jnz1568/getInfo.php?workbook=16_08.xlsx&amp;sheet=U0&amp;row=1596&amp;col=7&amp;number=0.026&amp;sourceID=14","0.026")</f>
        <v>0.026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HYPERLINK("http://141.218.60.56/~jnz1568/getInfo.php?workbook=16_08.xlsx&amp;sheet=U0&amp;row=1597&amp;col=6&amp;number=4.3&amp;sourceID=14","4.3")</f>
        <v>4.3</v>
      </c>
      <c r="G1597" s="4" t="str">
        <f>HYPERLINK("http://141.218.60.56/~jnz1568/getInfo.php?workbook=16_08.xlsx&amp;sheet=U0&amp;row=1597&amp;col=7&amp;number=0.026&amp;sourceID=14","0.026")</f>
        <v>0.026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HYPERLINK("http://141.218.60.56/~jnz1568/getInfo.php?workbook=16_08.xlsx&amp;sheet=U0&amp;row=1598&amp;col=6&amp;number=4.4&amp;sourceID=14","4.4")</f>
        <v>4.4</v>
      </c>
      <c r="G1598" s="4" t="str">
        <f>HYPERLINK("http://141.218.60.56/~jnz1568/getInfo.php?workbook=16_08.xlsx&amp;sheet=U0&amp;row=1598&amp;col=7&amp;number=0.026&amp;sourceID=14","0.026")</f>
        <v>0.026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HYPERLINK("http://141.218.60.56/~jnz1568/getInfo.php?workbook=16_08.xlsx&amp;sheet=U0&amp;row=1599&amp;col=6&amp;number=4.5&amp;sourceID=14","4.5")</f>
        <v>4.5</v>
      </c>
      <c r="G1599" s="4" t="str">
        <f>HYPERLINK("http://141.218.60.56/~jnz1568/getInfo.php?workbook=16_08.xlsx&amp;sheet=U0&amp;row=1599&amp;col=7&amp;number=0.0261&amp;sourceID=14","0.0261")</f>
        <v>0.0261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HYPERLINK("http://141.218.60.56/~jnz1568/getInfo.php?workbook=16_08.xlsx&amp;sheet=U0&amp;row=1600&amp;col=6&amp;number=4.6&amp;sourceID=14","4.6")</f>
        <v>4.6</v>
      </c>
      <c r="G1600" s="4" t="str">
        <f>HYPERLINK("http://141.218.60.56/~jnz1568/getInfo.php?workbook=16_08.xlsx&amp;sheet=U0&amp;row=1600&amp;col=7&amp;number=0.0261&amp;sourceID=14","0.0261")</f>
        <v>0.0261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HYPERLINK("http://141.218.60.56/~jnz1568/getInfo.php?workbook=16_08.xlsx&amp;sheet=U0&amp;row=1601&amp;col=6&amp;number=4.7&amp;sourceID=14","4.7")</f>
        <v>4.7</v>
      </c>
      <c r="G1601" s="4" t="str">
        <f>HYPERLINK("http://141.218.60.56/~jnz1568/getInfo.php?workbook=16_08.xlsx&amp;sheet=U0&amp;row=1601&amp;col=7&amp;number=0.0262&amp;sourceID=14","0.0262")</f>
        <v>0.0262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HYPERLINK("http://141.218.60.56/~jnz1568/getInfo.php?workbook=16_08.xlsx&amp;sheet=U0&amp;row=1602&amp;col=6&amp;number=4.8&amp;sourceID=14","4.8")</f>
        <v>4.8</v>
      </c>
      <c r="G1602" s="4" t="str">
        <f>HYPERLINK("http://141.218.60.56/~jnz1568/getInfo.php?workbook=16_08.xlsx&amp;sheet=U0&amp;row=1602&amp;col=7&amp;number=0.0263&amp;sourceID=14","0.0263")</f>
        <v>0.0263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HYPERLINK("http://141.218.60.56/~jnz1568/getInfo.php?workbook=16_08.xlsx&amp;sheet=U0&amp;row=1603&amp;col=6&amp;number=4.9&amp;sourceID=14","4.9")</f>
        <v>4.9</v>
      </c>
      <c r="G1603" s="4" t="str">
        <f>HYPERLINK("http://141.218.60.56/~jnz1568/getInfo.php?workbook=16_08.xlsx&amp;sheet=U0&amp;row=1603&amp;col=7&amp;number=0.0264&amp;sourceID=14","0.0264")</f>
        <v>0.0264</v>
      </c>
    </row>
    <row r="1604" spans="1:7">
      <c r="A1604" s="3">
        <v>16</v>
      </c>
      <c r="B1604" s="3">
        <v>8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HYPERLINK("http://141.218.60.56/~jnz1568/getInfo.php?workbook=16_08.xlsx&amp;sheet=U0&amp;row=1604&amp;col=6&amp;number=3&amp;sourceID=14","3")</f>
        <v>3</v>
      </c>
      <c r="G1604" s="4" t="str">
        <f>HYPERLINK("http://141.218.60.56/~jnz1568/getInfo.php?workbook=16_08.xlsx&amp;sheet=U0&amp;row=1604&amp;col=7&amp;number=0.134&amp;sourceID=14","0.134")</f>
        <v>0.134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HYPERLINK("http://141.218.60.56/~jnz1568/getInfo.php?workbook=16_08.xlsx&amp;sheet=U0&amp;row=1605&amp;col=6&amp;number=3.1&amp;sourceID=14","3.1")</f>
        <v>3.1</v>
      </c>
      <c r="G1605" s="4" t="str">
        <f>HYPERLINK("http://141.218.60.56/~jnz1568/getInfo.php?workbook=16_08.xlsx&amp;sheet=U0&amp;row=1605&amp;col=7&amp;number=0.134&amp;sourceID=14","0.134")</f>
        <v>0.134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HYPERLINK("http://141.218.60.56/~jnz1568/getInfo.php?workbook=16_08.xlsx&amp;sheet=U0&amp;row=1606&amp;col=6&amp;number=3.2&amp;sourceID=14","3.2")</f>
        <v>3.2</v>
      </c>
      <c r="G1606" s="4" t="str">
        <f>HYPERLINK("http://141.218.60.56/~jnz1568/getInfo.php?workbook=16_08.xlsx&amp;sheet=U0&amp;row=1606&amp;col=7&amp;number=0.134&amp;sourceID=14","0.134")</f>
        <v>0.134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HYPERLINK("http://141.218.60.56/~jnz1568/getInfo.php?workbook=16_08.xlsx&amp;sheet=U0&amp;row=1607&amp;col=6&amp;number=3.3&amp;sourceID=14","3.3")</f>
        <v>3.3</v>
      </c>
      <c r="G1607" s="4" t="str">
        <f>HYPERLINK("http://141.218.60.56/~jnz1568/getInfo.php?workbook=16_08.xlsx&amp;sheet=U0&amp;row=1607&amp;col=7&amp;number=0.134&amp;sourceID=14","0.134")</f>
        <v>0.134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HYPERLINK("http://141.218.60.56/~jnz1568/getInfo.php?workbook=16_08.xlsx&amp;sheet=U0&amp;row=1608&amp;col=6&amp;number=3.4&amp;sourceID=14","3.4")</f>
        <v>3.4</v>
      </c>
      <c r="G1608" s="4" t="str">
        <f>HYPERLINK("http://141.218.60.56/~jnz1568/getInfo.php?workbook=16_08.xlsx&amp;sheet=U0&amp;row=1608&amp;col=7&amp;number=0.134&amp;sourceID=14","0.134")</f>
        <v>0.134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HYPERLINK("http://141.218.60.56/~jnz1568/getInfo.php?workbook=16_08.xlsx&amp;sheet=U0&amp;row=1609&amp;col=6&amp;number=3.5&amp;sourceID=14","3.5")</f>
        <v>3.5</v>
      </c>
      <c r="G1609" s="4" t="str">
        <f>HYPERLINK("http://141.218.60.56/~jnz1568/getInfo.php?workbook=16_08.xlsx&amp;sheet=U0&amp;row=1609&amp;col=7&amp;number=0.134&amp;sourceID=14","0.134")</f>
        <v>0.134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HYPERLINK("http://141.218.60.56/~jnz1568/getInfo.php?workbook=16_08.xlsx&amp;sheet=U0&amp;row=1610&amp;col=6&amp;number=3.6&amp;sourceID=14","3.6")</f>
        <v>3.6</v>
      </c>
      <c r="G1610" s="4" t="str">
        <f>HYPERLINK("http://141.218.60.56/~jnz1568/getInfo.php?workbook=16_08.xlsx&amp;sheet=U0&amp;row=1610&amp;col=7&amp;number=0.134&amp;sourceID=14","0.134")</f>
        <v>0.134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HYPERLINK("http://141.218.60.56/~jnz1568/getInfo.php?workbook=16_08.xlsx&amp;sheet=U0&amp;row=1611&amp;col=6&amp;number=3.7&amp;sourceID=14","3.7")</f>
        <v>3.7</v>
      </c>
      <c r="G1611" s="4" t="str">
        <f>HYPERLINK("http://141.218.60.56/~jnz1568/getInfo.php?workbook=16_08.xlsx&amp;sheet=U0&amp;row=1611&amp;col=7&amp;number=0.134&amp;sourceID=14","0.134")</f>
        <v>0.134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HYPERLINK("http://141.218.60.56/~jnz1568/getInfo.php?workbook=16_08.xlsx&amp;sheet=U0&amp;row=1612&amp;col=6&amp;number=3.8&amp;sourceID=14","3.8")</f>
        <v>3.8</v>
      </c>
      <c r="G1612" s="4" t="str">
        <f>HYPERLINK("http://141.218.60.56/~jnz1568/getInfo.php?workbook=16_08.xlsx&amp;sheet=U0&amp;row=1612&amp;col=7&amp;number=0.134&amp;sourceID=14","0.134")</f>
        <v>0.134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HYPERLINK("http://141.218.60.56/~jnz1568/getInfo.php?workbook=16_08.xlsx&amp;sheet=U0&amp;row=1613&amp;col=6&amp;number=3.9&amp;sourceID=14","3.9")</f>
        <v>3.9</v>
      </c>
      <c r="G1613" s="4" t="str">
        <f>HYPERLINK("http://141.218.60.56/~jnz1568/getInfo.php?workbook=16_08.xlsx&amp;sheet=U0&amp;row=1613&amp;col=7&amp;number=0.134&amp;sourceID=14","0.134")</f>
        <v>0.134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HYPERLINK("http://141.218.60.56/~jnz1568/getInfo.php?workbook=16_08.xlsx&amp;sheet=U0&amp;row=1614&amp;col=6&amp;number=4&amp;sourceID=14","4")</f>
        <v>4</v>
      </c>
      <c r="G1614" s="4" t="str">
        <f>HYPERLINK("http://141.218.60.56/~jnz1568/getInfo.php?workbook=16_08.xlsx&amp;sheet=U0&amp;row=1614&amp;col=7&amp;number=0.134&amp;sourceID=14","0.134")</f>
        <v>0.134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HYPERLINK("http://141.218.60.56/~jnz1568/getInfo.php?workbook=16_08.xlsx&amp;sheet=U0&amp;row=1615&amp;col=6&amp;number=4.1&amp;sourceID=14","4.1")</f>
        <v>4.1</v>
      </c>
      <c r="G1615" s="4" t="str">
        <f>HYPERLINK("http://141.218.60.56/~jnz1568/getInfo.php?workbook=16_08.xlsx&amp;sheet=U0&amp;row=1615&amp;col=7&amp;number=0.134&amp;sourceID=14","0.134")</f>
        <v>0.134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HYPERLINK("http://141.218.60.56/~jnz1568/getInfo.php?workbook=16_08.xlsx&amp;sheet=U0&amp;row=1616&amp;col=6&amp;number=4.2&amp;sourceID=14","4.2")</f>
        <v>4.2</v>
      </c>
      <c r="G1616" s="4" t="str">
        <f>HYPERLINK("http://141.218.60.56/~jnz1568/getInfo.php?workbook=16_08.xlsx&amp;sheet=U0&amp;row=1616&amp;col=7&amp;number=0.134&amp;sourceID=14","0.134")</f>
        <v>0.134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HYPERLINK("http://141.218.60.56/~jnz1568/getInfo.php?workbook=16_08.xlsx&amp;sheet=U0&amp;row=1617&amp;col=6&amp;number=4.3&amp;sourceID=14","4.3")</f>
        <v>4.3</v>
      </c>
      <c r="G1617" s="4" t="str">
        <f>HYPERLINK("http://141.218.60.56/~jnz1568/getInfo.php?workbook=16_08.xlsx&amp;sheet=U0&amp;row=1617&amp;col=7&amp;number=0.135&amp;sourceID=14","0.135")</f>
        <v>0.135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HYPERLINK("http://141.218.60.56/~jnz1568/getInfo.php?workbook=16_08.xlsx&amp;sheet=U0&amp;row=1618&amp;col=6&amp;number=4.4&amp;sourceID=14","4.4")</f>
        <v>4.4</v>
      </c>
      <c r="G1618" s="4" t="str">
        <f>HYPERLINK("http://141.218.60.56/~jnz1568/getInfo.php?workbook=16_08.xlsx&amp;sheet=U0&amp;row=1618&amp;col=7&amp;number=0.135&amp;sourceID=14","0.135")</f>
        <v>0.135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HYPERLINK("http://141.218.60.56/~jnz1568/getInfo.php?workbook=16_08.xlsx&amp;sheet=U0&amp;row=1619&amp;col=6&amp;number=4.5&amp;sourceID=14","4.5")</f>
        <v>4.5</v>
      </c>
      <c r="G1619" s="4" t="str">
        <f>HYPERLINK("http://141.218.60.56/~jnz1568/getInfo.php?workbook=16_08.xlsx&amp;sheet=U0&amp;row=1619&amp;col=7&amp;number=0.135&amp;sourceID=14","0.135")</f>
        <v>0.135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HYPERLINK("http://141.218.60.56/~jnz1568/getInfo.php?workbook=16_08.xlsx&amp;sheet=U0&amp;row=1620&amp;col=6&amp;number=4.6&amp;sourceID=14","4.6")</f>
        <v>4.6</v>
      </c>
      <c r="G1620" s="4" t="str">
        <f>HYPERLINK("http://141.218.60.56/~jnz1568/getInfo.php?workbook=16_08.xlsx&amp;sheet=U0&amp;row=1620&amp;col=7&amp;number=0.136&amp;sourceID=14","0.136")</f>
        <v>0.136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HYPERLINK("http://141.218.60.56/~jnz1568/getInfo.php?workbook=16_08.xlsx&amp;sheet=U0&amp;row=1621&amp;col=6&amp;number=4.7&amp;sourceID=14","4.7")</f>
        <v>4.7</v>
      </c>
      <c r="G1621" s="4" t="str">
        <f>HYPERLINK("http://141.218.60.56/~jnz1568/getInfo.php?workbook=16_08.xlsx&amp;sheet=U0&amp;row=1621&amp;col=7&amp;number=0.136&amp;sourceID=14","0.136")</f>
        <v>0.136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HYPERLINK("http://141.218.60.56/~jnz1568/getInfo.php?workbook=16_08.xlsx&amp;sheet=U0&amp;row=1622&amp;col=6&amp;number=4.8&amp;sourceID=14","4.8")</f>
        <v>4.8</v>
      </c>
      <c r="G1622" s="4" t="str">
        <f>HYPERLINK("http://141.218.60.56/~jnz1568/getInfo.php?workbook=16_08.xlsx&amp;sheet=U0&amp;row=1622&amp;col=7&amp;number=0.137&amp;sourceID=14","0.137")</f>
        <v>0.137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HYPERLINK("http://141.218.60.56/~jnz1568/getInfo.php?workbook=16_08.xlsx&amp;sheet=U0&amp;row=1623&amp;col=6&amp;number=4.9&amp;sourceID=14","4.9")</f>
        <v>4.9</v>
      </c>
      <c r="G1623" s="4" t="str">
        <f>HYPERLINK("http://141.218.60.56/~jnz1568/getInfo.php?workbook=16_08.xlsx&amp;sheet=U0&amp;row=1623&amp;col=7&amp;number=0.138&amp;sourceID=14","0.138")</f>
        <v>0.138</v>
      </c>
    </row>
    <row r="1624" spans="1:7">
      <c r="A1624" s="3">
        <v>16</v>
      </c>
      <c r="B1624" s="3">
        <v>8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HYPERLINK("http://141.218.60.56/~jnz1568/getInfo.php?workbook=16_08.xlsx&amp;sheet=U0&amp;row=1624&amp;col=6&amp;number=3&amp;sourceID=14","3")</f>
        <v>3</v>
      </c>
      <c r="G1624" s="4" t="str">
        <f>HYPERLINK("http://141.218.60.56/~jnz1568/getInfo.php?workbook=16_08.xlsx&amp;sheet=U0&amp;row=1624&amp;col=7&amp;number=0.00564&amp;sourceID=14","0.00564")</f>
        <v>0.00564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HYPERLINK("http://141.218.60.56/~jnz1568/getInfo.php?workbook=16_08.xlsx&amp;sheet=U0&amp;row=1625&amp;col=6&amp;number=3.1&amp;sourceID=14","3.1")</f>
        <v>3.1</v>
      </c>
      <c r="G1625" s="4" t="str">
        <f>HYPERLINK("http://141.218.60.56/~jnz1568/getInfo.php?workbook=16_08.xlsx&amp;sheet=U0&amp;row=1625&amp;col=7&amp;number=0.00564&amp;sourceID=14","0.00564")</f>
        <v>0.00564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HYPERLINK("http://141.218.60.56/~jnz1568/getInfo.php?workbook=16_08.xlsx&amp;sheet=U0&amp;row=1626&amp;col=6&amp;number=3.2&amp;sourceID=14","3.2")</f>
        <v>3.2</v>
      </c>
      <c r="G1626" s="4" t="str">
        <f>HYPERLINK("http://141.218.60.56/~jnz1568/getInfo.php?workbook=16_08.xlsx&amp;sheet=U0&amp;row=1626&amp;col=7&amp;number=0.00564&amp;sourceID=14","0.00564")</f>
        <v>0.00564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HYPERLINK("http://141.218.60.56/~jnz1568/getInfo.php?workbook=16_08.xlsx&amp;sheet=U0&amp;row=1627&amp;col=6&amp;number=3.3&amp;sourceID=14","3.3")</f>
        <v>3.3</v>
      </c>
      <c r="G1627" s="4" t="str">
        <f>HYPERLINK("http://141.218.60.56/~jnz1568/getInfo.php?workbook=16_08.xlsx&amp;sheet=U0&amp;row=1627&amp;col=7&amp;number=0.00564&amp;sourceID=14","0.00564")</f>
        <v>0.00564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HYPERLINK("http://141.218.60.56/~jnz1568/getInfo.php?workbook=16_08.xlsx&amp;sheet=U0&amp;row=1628&amp;col=6&amp;number=3.4&amp;sourceID=14","3.4")</f>
        <v>3.4</v>
      </c>
      <c r="G1628" s="4" t="str">
        <f>HYPERLINK("http://141.218.60.56/~jnz1568/getInfo.php?workbook=16_08.xlsx&amp;sheet=U0&amp;row=1628&amp;col=7&amp;number=0.00564&amp;sourceID=14","0.00564")</f>
        <v>0.00564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HYPERLINK("http://141.218.60.56/~jnz1568/getInfo.php?workbook=16_08.xlsx&amp;sheet=U0&amp;row=1629&amp;col=6&amp;number=3.5&amp;sourceID=14","3.5")</f>
        <v>3.5</v>
      </c>
      <c r="G1629" s="4" t="str">
        <f>HYPERLINK("http://141.218.60.56/~jnz1568/getInfo.php?workbook=16_08.xlsx&amp;sheet=U0&amp;row=1629&amp;col=7&amp;number=0.00564&amp;sourceID=14","0.00564")</f>
        <v>0.00564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HYPERLINK("http://141.218.60.56/~jnz1568/getInfo.php?workbook=16_08.xlsx&amp;sheet=U0&amp;row=1630&amp;col=6&amp;number=3.6&amp;sourceID=14","3.6")</f>
        <v>3.6</v>
      </c>
      <c r="G1630" s="4" t="str">
        <f>HYPERLINK("http://141.218.60.56/~jnz1568/getInfo.php?workbook=16_08.xlsx&amp;sheet=U0&amp;row=1630&amp;col=7&amp;number=0.00564&amp;sourceID=14","0.00564")</f>
        <v>0.00564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HYPERLINK("http://141.218.60.56/~jnz1568/getInfo.php?workbook=16_08.xlsx&amp;sheet=U0&amp;row=1631&amp;col=6&amp;number=3.7&amp;sourceID=14","3.7")</f>
        <v>3.7</v>
      </c>
      <c r="G1631" s="4" t="str">
        <f>HYPERLINK("http://141.218.60.56/~jnz1568/getInfo.php?workbook=16_08.xlsx&amp;sheet=U0&amp;row=1631&amp;col=7&amp;number=0.00564&amp;sourceID=14","0.00564")</f>
        <v>0.00564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HYPERLINK("http://141.218.60.56/~jnz1568/getInfo.php?workbook=16_08.xlsx&amp;sheet=U0&amp;row=1632&amp;col=6&amp;number=3.8&amp;sourceID=14","3.8")</f>
        <v>3.8</v>
      </c>
      <c r="G1632" s="4" t="str">
        <f>HYPERLINK("http://141.218.60.56/~jnz1568/getInfo.php?workbook=16_08.xlsx&amp;sheet=U0&amp;row=1632&amp;col=7&amp;number=0.00564&amp;sourceID=14","0.00564")</f>
        <v>0.00564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HYPERLINK("http://141.218.60.56/~jnz1568/getInfo.php?workbook=16_08.xlsx&amp;sheet=U0&amp;row=1633&amp;col=6&amp;number=3.9&amp;sourceID=14","3.9")</f>
        <v>3.9</v>
      </c>
      <c r="G1633" s="4" t="str">
        <f>HYPERLINK("http://141.218.60.56/~jnz1568/getInfo.php?workbook=16_08.xlsx&amp;sheet=U0&amp;row=1633&amp;col=7&amp;number=0.00564&amp;sourceID=14","0.00564")</f>
        <v>0.00564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HYPERLINK("http://141.218.60.56/~jnz1568/getInfo.php?workbook=16_08.xlsx&amp;sheet=U0&amp;row=1634&amp;col=6&amp;number=4&amp;sourceID=14","4")</f>
        <v>4</v>
      </c>
      <c r="G1634" s="4" t="str">
        <f>HYPERLINK("http://141.218.60.56/~jnz1568/getInfo.php?workbook=16_08.xlsx&amp;sheet=U0&amp;row=1634&amp;col=7&amp;number=0.00564&amp;sourceID=14","0.00564")</f>
        <v>0.00564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HYPERLINK("http://141.218.60.56/~jnz1568/getInfo.php?workbook=16_08.xlsx&amp;sheet=U0&amp;row=1635&amp;col=6&amp;number=4.1&amp;sourceID=14","4.1")</f>
        <v>4.1</v>
      </c>
      <c r="G1635" s="4" t="str">
        <f>HYPERLINK("http://141.218.60.56/~jnz1568/getInfo.php?workbook=16_08.xlsx&amp;sheet=U0&amp;row=1635&amp;col=7&amp;number=0.00564&amp;sourceID=14","0.00564")</f>
        <v>0.00564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HYPERLINK("http://141.218.60.56/~jnz1568/getInfo.php?workbook=16_08.xlsx&amp;sheet=U0&amp;row=1636&amp;col=6&amp;number=4.2&amp;sourceID=14","4.2")</f>
        <v>4.2</v>
      </c>
      <c r="G1636" s="4" t="str">
        <f>HYPERLINK("http://141.218.60.56/~jnz1568/getInfo.php?workbook=16_08.xlsx&amp;sheet=U0&amp;row=1636&amp;col=7&amp;number=0.00564&amp;sourceID=14","0.00564")</f>
        <v>0.00564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HYPERLINK("http://141.218.60.56/~jnz1568/getInfo.php?workbook=16_08.xlsx&amp;sheet=U0&amp;row=1637&amp;col=6&amp;number=4.3&amp;sourceID=14","4.3")</f>
        <v>4.3</v>
      </c>
      <c r="G1637" s="4" t="str">
        <f>HYPERLINK("http://141.218.60.56/~jnz1568/getInfo.php?workbook=16_08.xlsx&amp;sheet=U0&amp;row=1637&amp;col=7&amp;number=0.00564&amp;sourceID=14","0.00564")</f>
        <v>0.00564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HYPERLINK("http://141.218.60.56/~jnz1568/getInfo.php?workbook=16_08.xlsx&amp;sheet=U0&amp;row=1638&amp;col=6&amp;number=4.4&amp;sourceID=14","4.4")</f>
        <v>4.4</v>
      </c>
      <c r="G1638" s="4" t="str">
        <f>HYPERLINK("http://141.218.60.56/~jnz1568/getInfo.php?workbook=16_08.xlsx&amp;sheet=U0&amp;row=1638&amp;col=7&amp;number=0.00564&amp;sourceID=14","0.00564")</f>
        <v>0.00564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HYPERLINK("http://141.218.60.56/~jnz1568/getInfo.php?workbook=16_08.xlsx&amp;sheet=U0&amp;row=1639&amp;col=6&amp;number=4.5&amp;sourceID=14","4.5")</f>
        <v>4.5</v>
      </c>
      <c r="G1639" s="4" t="str">
        <f>HYPERLINK("http://141.218.60.56/~jnz1568/getInfo.php?workbook=16_08.xlsx&amp;sheet=U0&amp;row=1639&amp;col=7&amp;number=0.00564&amp;sourceID=14","0.00564")</f>
        <v>0.00564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HYPERLINK("http://141.218.60.56/~jnz1568/getInfo.php?workbook=16_08.xlsx&amp;sheet=U0&amp;row=1640&amp;col=6&amp;number=4.6&amp;sourceID=14","4.6")</f>
        <v>4.6</v>
      </c>
      <c r="G1640" s="4" t="str">
        <f>HYPERLINK("http://141.218.60.56/~jnz1568/getInfo.php?workbook=16_08.xlsx&amp;sheet=U0&amp;row=1640&amp;col=7&amp;number=0.00564&amp;sourceID=14","0.00564")</f>
        <v>0.00564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HYPERLINK("http://141.218.60.56/~jnz1568/getInfo.php?workbook=16_08.xlsx&amp;sheet=U0&amp;row=1641&amp;col=6&amp;number=4.7&amp;sourceID=14","4.7")</f>
        <v>4.7</v>
      </c>
      <c r="G1641" s="4" t="str">
        <f>HYPERLINK("http://141.218.60.56/~jnz1568/getInfo.php?workbook=16_08.xlsx&amp;sheet=U0&amp;row=1641&amp;col=7&amp;number=0.00564&amp;sourceID=14","0.00564")</f>
        <v>0.00564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HYPERLINK("http://141.218.60.56/~jnz1568/getInfo.php?workbook=16_08.xlsx&amp;sheet=U0&amp;row=1642&amp;col=6&amp;number=4.8&amp;sourceID=14","4.8")</f>
        <v>4.8</v>
      </c>
      <c r="G1642" s="4" t="str">
        <f>HYPERLINK("http://141.218.60.56/~jnz1568/getInfo.php?workbook=16_08.xlsx&amp;sheet=U0&amp;row=1642&amp;col=7&amp;number=0.00563&amp;sourceID=14","0.00563")</f>
        <v>0.00563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HYPERLINK("http://141.218.60.56/~jnz1568/getInfo.php?workbook=16_08.xlsx&amp;sheet=U0&amp;row=1643&amp;col=6&amp;number=4.9&amp;sourceID=14","4.9")</f>
        <v>4.9</v>
      </c>
      <c r="G1643" s="4" t="str">
        <f>HYPERLINK("http://141.218.60.56/~jnz1568/getInfo.php?workbook=16_08.xlsx&amp;sheet=U0&amp;row=1643&amp;col=7&amp;number=0.00563&amp;sourceID=14","0.00563")</f>
        <v>0.00563</v>
      </c>
    </row>
    <row r="1644" spans="1:7">
      <c r="A1644" s="3">
        <v>16</v>
      </c>
      <c r="B1644" s="3">
        <v>8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HYPERLINK("http://141.218.60.56/~jnz1568/getInfo.php?workbook=16_08.xlsx&amp;sheet=U0&amp;row=1644&amp;col=6&amp;number=3&amp;sourceID=14","3")</f>
        <v>3</v>
      </c>
      <c r="G1644" s="4" t="str">
        <f>HYPERLINK("http://141.218.60.56/~jnz1568/getInfo.php?workbook=16_08.xlsx&amp;sheet=U0&amp;row=1644&amp;col=7&amp;number=0.0142&amp;sourceID=14","0.0142")</f>
        <v>0.0142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HYPERLINK("http://141.218.60.56/~jnz1568/getInfo.php?workbook=16_08.xlsx&amp;sheet=U0&amp;row=1645&amp;col=6&amp;number=3.1&amp;sourceID=14","3.1")</f>
        <v>3.1</v>
      </c>
      <c r="G1645" s="4" t="str">
        <f>HYPERLINK("http://141.218.60.56/~jnz1568/getInfo.php?workbook=16_08.xlsx&amp;sheet=U0&amp;row=1645&amp;col=7&amp;number=0.0142&amp;sourceID=14","0.0142")</f>
        <v>0.0142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HYPERLINK("http://141.218.60.56/~jnz1568/getInfo.php?workbook=16_08.xlsx&amp;sheet=U0&amp;row=1646&amp;col=6&amp;number=3.2&amp;sourceID=14","3.2")</f>
        <v>3.2</v>
      </c>
      <c r="G1646" s="4" t="str">
        <f>HYPERLINK("http://141.218.60.56/~jnz1568/getInfo.php?workbook=16_08.xlsx&amp;sheet=U0&amp;row=1646&amp;col=7&amp;number=0.0142&amp;sourceID=14","0.0142")</f>
        <v>0.0142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HYPERLINK("http://141.218.60.56/~jnz1568/getInfo.php?workbook=16_08.xlsx&amp;sheet=U0&amp;row=1647&amp;col=6&amp;number=3.3&amp;sourceID=14","3.3")</f>
        <v>3.3</v>
      </c>
      <c r="G1647" s="4" t="str">
        <f>HYPERLINK("http://141.218.60.56/~jnz1568/getInfo.php?workbook=16_08.xlsx&amp;sheet=U0&amp;row=1647&amp;col=7&amp;number=0.0142&amp;sourceID=14","0.0142")</f>
        <v>0.0142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HYPERLINK("http://141.218.60.56/~jnz1568/getInfo.php?workbook=16_08.xlsx&amp;sheet=U0&amp;row=1648&amp;col=6&amp;number=3.4&amp;sourceID=14","3.4")</f>
        <v>3.4</v>
      </c>
      <c r="G1648" s="4" t="str">
        <f>HYPERLINK("http://141.218.60.56/~jnz1568/getInfo.php?workbook=16_08.xlsx&amp;sheet=U0&amp;row=1648&amp;col=7&amp;number=0.0142&amp;sourceID=14","0.0142")</f>
        <v>0.0142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HYPERLINK("http://141.218.60.56/~jnz1568/getInfo.php?workbook=16_08.xlsx&amp;sheet=U0&amp;row=1649&amp;col=6&amp;number=3.5&amp;sourceID=14","3.5")</f>
        <v>3.5</v>
      </c>
      <c r="G1649" s="4" t="str">
        <f>HYPERLINK("http://141.218.60.56/~jnz1568/getInfo.php?workbook=16_08.xlsx&amp;sheet=U0&amp;row=1649&amp;col=7&amp;number=0.0142&amp;sourceID=14","0.0142")</f>
        <v>0.0142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HYPERLINK("http://141.218.60.56/~jnz1568/getInfo.php?workbook=16_08.xlsx&amp;sheet=U0&amp;row=1650&amp;col=6&amp;number=3.6&amp;sourceID=14","3.6")</f>
        <v>3.6</v>
      </c>
      <c r="G1650" s="4" t="str">
        <f>HYPERLINK("http://141.218.60.56/~jnz1568/getInfo.php?workbook=16_08.xlsx&amp;sheet=U0&amp;row=1650&amp;col=7&amp;number=0.0142&amp;sourceID=14","0.0142")</f>
        <v>0.0142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HYPERLINK("http://141.218.60.56/~jnz1568/getInfo.php?workbook=16_08.xlsx&amp;sheet=U0&amp;row=1651&amp;col=6&amp;number=3.7&amp;sourceID=14","3.7")</f>
        <v>3.7</v>
      </c>
      <c r="G1651" s="4" t="str">
        <f>HYPERLINK("http://141.218.60.56/~jnz1568/getInfo.php?workbook=16_08.xlsx&amp;sheet=U0&amp;row=1651&amp;col=7&amp;number=0.0142&amp;sourceID=14","0.0142")</f>
        <v>0.0142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HYPERLINK("http://141.218.60.56/~jnz1568/getInfo.php?workbook=16_08.xlsx&amp;sheet=U0&amp;row=1652&amp;col=6&amp;number=3.8&amp;sourceID=14","3.8")</f>
        <v>3.8</v>
      </c>
      <c r="G1652" s="4" t="str">
        <f>HYPERLINK("http://141.218.60.56/~jnz1568/getInfo.php?workbook=16_08.xlsx&amp;sheet=U0&amp;row=1652&amp;col=7&amp;number=0.0142&amp;sourceID=14","0.0142")</f>
        <v>0.0142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HYPERLINK("http://141.218.60.56/~jnz1568/getInfo.php?workbook=16_08.xlsx&amp;sheet=U0&amp;row=1653&amp;col=6&amp;number=3.9&amp;sourceID=14","3.9")</f>
        <v>3.9</v>
      </c>
      <c r="G1653" s="4" t="str">
        <f>HYPERLINK("http://141.218.60.56/~jnz1568/getInfo.php?workbook=16_08.xlsx&amp;sheet=U0&amp;row=1653&amp;col=7&amp;number=0.0142&amp;sourceID=14","0.0142")</f>
        <v>0.0142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HYPERLINK("http://141.218.60.56/~jnz1568/getInfo.php?workbook=16_08.xlsx&amp;sheet=U0&amp;row=1654&amp;col=6&amp;number=4&amp;sourceID=14","4")</f>
        <v>4</v>
      </c>
      <c r="G1654" s="4" t="str">
        <f>HYPERLINK("http://141.218.60.56/~jnz1568/getInfo.php?workbook=16_08.xlsx&amp;sheet=U0&amp;row=1654&amp;col=7&amp;number=0.0142&amp;sourceID=14","0.0142")</f>
        <v>0.0142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HYPERLINK("http://141.218.60.56/~jnz1568/getInfo.php?workbook=16_08.xlsx&amp;sheet=U0&amp;row=1655&amp;col=6&amp;number=4.1&amp;sourceID=14","4.1")</f>
        <v>4.1</v>
      </c>
      <c r="G1655" s="4" t="str">
        <f>HYPERLINK("http://141.218.60.56/~jnz1568/getInfo.php?workbook=16_08.xlsx&amp;sheet=U0&amp;row=1655&amp;col=7&amp;number=0.0142&amp;sourceID=14","0.0142")</f>
        <v>0.0142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HYPERLINK("http://141.218.60.56/~jnz1568/getInfo.php?workbook=16_08.xlsx&amp;sheet=U0&amp;row=1656&amp;col=6&amp;number=4.2&amp;sourceID=14","4.2")</f>
        <v>4.2</v>
      </c>
      <c r="G1656" s="4" t="str">
        <f>HYPERLINK("http://141.218.60.56/~jnz1568/getInfo.php?workbook=16_08.xlsx&amp;sheet=U0&amp;row=1656&amp;col=7&amp;number=0.0142&amp;sourceID=14","0.0142")</f>
        <v>0.0142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HYPERLINK("http://141.218.60.56/~jnz1568/getInfo.php?workbook=16_08.xlsx&amp;sheet=U0&amp;row=1657&amp;col=6&amp;number=4.3&amp;sourceID=14","4.3")</f>
        <v>4.3</v>
      </c>
      <c r="G1657" s="4" t="str">
        <f>HYPERLINK("http://141.218.60.56/~jnz1568/getInfo.php?workbook=16_08.xlsx&amp;sheet=U0&amp;row=1657&amp;col=7&amp;number=0.0142&amp;sourceID=14","0.0142")</f>
        <v>0.0142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HYPERLINK("http://141.218.60.56/~jnz1568/getInfo.php?workbook=16_08.xlsx&amp;sheet=U0&amp;row=1658&amp;col=6&amp;number=4.4&amp;sourceID=14","4.4")</f>
        <v>4.4</v>
      </c>
      <c r="G1658" s="4" t="str">
        <f>HYPERLINK("http://141.218.60.56/~jnz1568/getInfo.php?workbook=16_08.xlsx&amp;sheet=U0&amp;row=1658&amp;col=7&amp;number=0.0142&amp;sourceID=14","0.0142")</f>
        <v>0.0142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HYPERLINK("http://141.218.60.56/~jnz1568/getInfo.php?workbook=16_08.xlsx&amp;sheet=U0&amp;row=1659&amp;col=6&amp;number=4.5&amp;sourceID=14","4.5")</f>
        <v>4.5</v>
      </c>
      <c r="G1659" s="4" t="str">
        <f>HYPERLINK("http://141.218.60.56/~jnz1568/getInfo.php?workbook=16_08.xlsx&amp;sheet=U0&amp;row=1659&amp;col=7&amp;number=0.0142&amp;sourceID=14","0.0142")</f>
        <v>0.0142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HYPERLINK("http://141.218.60.56/~jnz1568/getInfo.php?workbook=16_08.xlsx&amp;sheet=U0&amp;row=1660&amp;col=6&amp;number=4.6&amp;sourceID=14","4.6")</f>
        <v>4.6</v>
      </c>
      <c r="G1660" s="4" t="str">
        <f>HYPERLINK("http://141.218.60.56/~jnz1568/getInfo.php?workbook=16_08.xlsx&amp;sheet=U0&amp;row=1660&amp;col=7&amp;number=0.0142&amp;sourceID=14","0.0142")</f>
        <v>0.0142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HYPERLINK("http://141.218.60.56/~jnz1568/getInfo.php?workbook=16_08.xlsx&amp;sheet=U0&amp;row=1661&amp;col=6&amp;number=4.7&amp;sourceID=14","4.7")</f>
        <v>4.7</v>
      </c>
      <c r="G1661" s="4" t="str">
        <f>HYPERLINK("http://141.218.60.56/~jnz1568/getInfo.php?workbook=16_08.xlsx&amp;sheet=U0&amp;row=1661&amp;col=7&amp;number=0.0142&amp;sourceID=14","0.0142")</f>
        <v>0.0142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HYPERLINK("http://141.218.60.56/~jnz1568/getInfo.php?workbook=16_08.xlsx&amp;sheet=U0&amp;row=1662&amp;col=6&amp;number=4.8&amp;sourceID=14","4.8")</f>
        <v>4.8</v>
      </c>
      <c r="G1662" s="4" t="str">
        <f>HYPERLINK("http://141.218.60.56/~jnz1568/getInfo.php?workbook=16_08.xlsx&amp;sheet=U0&amp;row=1662&amp;col=7&amp;number=0.0143&amp;sourceID=14","0.0143")</f>
        <v>0.0143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HYPERLINK("http://141.218.60.56/~jnz1568/getInfo.php?workbook=16_08.xlsx&amp;sheet=U0&amp;row=1663&amp;col=6&amp;number=4.9&amp;sourceID=14","4.9")</f>
        <v>4.9</v>
      </c>
      <c r="G1663" s="4" t="str">
        <f>HYPERLINK("http://141.218.60.56/~jnz1568/getInfo.php?workbook=16_08.xlsx&amp;sheet=U0&amp;row=1663&amp;col=7&amp;number=0.0143&amp;sourceID=14","0.0143")</f>
        <v>0.0143</v>
      </c>
    </row>
    <row r="1664" spans="1:7">
      <c r="A1664" s="3">
        <v>16</v>
      </c>
      <c r="B1664" s="3">
        <v>8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HYPERLINK("http://141.218.60.56/~jnz1568/getInfo.php?workbook=16_08.xlsx&amp;sheet=U0&amp;row=1664&amp;col=6&amp;number=3&amp;sourceID=14","3")</f>
        <v>3</v>
      </c>
      <c r="G1664" s="4" t="str">
        <f>HYPERLINK("http://141.218.60.56/~jnz1568/getInfo.php?workbook=16_08.xlsx&amp;sheet=U0&amp;row=1664&amp;col=7&amp;number=0.0115&amp;sourceID=14","0.0115")</f>
        <v>0.0115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HYPERLINK("http://141.218.60.56/~jnz1568/getInfo.php?workbook=16_08.xlsx&amp;sheet=U0&amp;row=1665&amp;col=6&amp;number=3.1&amp;sourceID=14","3.1")</f>
        <v>3.1</v>
      </c>
      <c r="G1665" s="4" t="str">
        <f>HYPERLINK("http://141.218.60.56/~jnz1568/getInfo.php?workbook=16_08.xlsx&amp;sheet=U0&amp;row=1665&amp;col=7&amp;number=0.0115&amp;sourceID=14","0.0115")</f>
        <v>0.0115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HYPERLINK("http://141.218.60.56/~jnz1568/getInfo.php?workbook=16_08.xlsx&amp;sheet=U0&amp;row=1666&amp;col=6&amp;number=3.2&amp;sourceID=14","3.2")</f>
        <v>3.2</v>
      </c>
      <c r="G1666" s="4" t="str">
        <f>HYPERLINK("http://141.218.60.56/~jnz1568/getInfo.php?workbook=16_08.xlsx&amp;sheet=U0&amp;row=1666&amp;col=7&amp;number=0.0115&amp;sourceID=14","0.0115")</f>
        <v>0.0115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HYPERLINK("http://141.218.60.56/~jnz1568/getInfo.php?workbook=16_08.xlsx&amp;sheet=U0&amp;row=1667&amp;col=6&amp;number=3.3&amp;sourceID=14","3.3")</f>
        <v>3.3</v>
      </c>
      <c r="G1667" s="4" t="str">
        <f>HYPERLINK("http://141.218.60.56/~jnz1568/getInfo.php?workbook=16_08.xlsx&amp;sheet=U0&amp;row=1667&amp;col=7&amp;number=0.0115&amp;sourceID=14","0.0115")</f>
        <v>0.0115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HYPERLINK("http://141.218.60.56/~jnz1568/getInfo.php?workbook=16_08.xlsx&amp;sheet=U0&amp;row=1668&amp;col=6&amp;number=3.4&amp;sourceID=14","3.4")</f>
        <v>3.4</v>
      </c>
      <c r="G1668" s="4" t="str">
        <f>HYPERLINK("http://141.218.60.56/~jnz1568/getInfo.php?workbook=16_08.xlsx&amp;sheet=U0&amp;row=1668&amp;col=7&amp;number=0.0115&amp;sourceID=14","0.0115")</f>
        <v>0.0115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HYPERLINK("http://141.218.60.56/~jnz1568/getInfo.php?workbook=16_08.xlsx&amp;sheet=U0&amp;row=1669&amp;col=6&amp;number=3.5&amp;sourceID=14","3.5")</f>
        <v>3.5</v>
      </c>
      <c r="G1669" s="4" t="str">
        <f>HYPERLINK("http://141.218.60.56/~jnz1568/getInfo.php?workbook=16_08.xlsx&amp;sheet=U0&amp;row=1669&amp;col=7&amp;number=0.0115&amp;sourceID=14","0.0115")</f>
        <v>0.0115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HYPERLINK("http://141.218.60.56/~jnz1568/getInfo.php?workbook=16_08.xlsx&amp;sheet=U0&amp;row=1670&amp;col=6&amp;number=3.6&amp;sourceID=14","3.6")</f>
        <v>3.6</v>
      </c>
      <c r="G1670" s="4" t="str">
        <f>HYPERLINK("http://141.218.60.56/~jnz1568/getInfo.php?workbook=16_08.xlsx&amp;sheet=U0&amp;row=1670&amp;col=7&amp;number=0.0115&amp;sourceID=14","0.0115")</f>
        <v>0.0115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HYPERLINK("http://141.218.60.56/~jnz1568/getInfo.php?workbook=16_08.xlsx&amp;sheet=U0&amp;row=1671&amp;col=6&amp;number=3.7&amp;sourceID=14","3.7")</f>
        <v>3.7</v>
      </c>
      <c r="G1671" s="4" t="str">
        <f>HYPERLINK("http://141.218.60.56/~jnz1568/getInfo.php?workbook=16_08.xlsx&amp;sheet=U0&amp;row=1671&amp;col=7&amp;number=0.0115&amp;sourceID=14","0.0115")</f>
        <v>0.0115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HYPERLINK("http://141.218.60.56/~jnz1568/getInfo.php?workbook=16_08.xlsx&amp;sheet=U0&amp;row=1672&amp;col=6&amp;number=3.8&amp;sourceID=14","3.8")</f>
        <v>3.8</v>
      </c>
      <c r="G1672" s="4" t="str">
        <f>HYPERLINK("http://141.218.60.56/~jnz1568/getInfo.php?workbook=16_08.xlsx&amp;sheet=U0&amp;row=1672&amp;col=7&amp;number=0.0115&amp;sourceID=14","0.0115")</f>
        <v>0.0115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HYPERLINK("http://141.218.60.56/~jnz1568/getInfo.php?workbook=16_08.xlsx&amp;sheet=U0&amp;row=1673&amp;col=6&amp;number=3.9&amp;sourceID=14","3.9")</f>
        <v>3.9</v>
      </c>
      <c r="G1673" s="4" t="str">
        <f>HYPERLINK("http://141.218.60.56/~jnz1568/getInfo.php?workbook=16_08.xlsx&amp;sheet=U0&amp;row=1673&amp;col=7&amp;number=0.0115&amp;sourceID=14","0.0115")</f>
        <v>0.0115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HYPERLINK("http://141.218.60.56/~jnz1568/getInfo.php?workbook=16_08.xlsx&amp;sheet=U0&amp;row=1674&amp;col=6&amp;number=4&amp;sourceID=14","4")</f>
        <v>4</v>
      </c>
      <c r="G1674" s="4" t="str">
        <f>HYPERLINK("http://141.218.60.56/~jnz1568/getInfo.php?workbook=16_08.xlsx&amp;sheet=U0&amp;row=1674&amp;col=7&amp;number=0.0115&amp;sourceID=14","0.0115")</f>
        <v>0.0115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HYPERLINK("http://141.218.60.56/~jnz1568/getInfo.php?workbook=16_08.xlsx&amp;sheet=U0&amp;row=1675&amp;col=6&amp;number=4.1&amp;sourceID=14","4.1")</f>
        <v>4.1</v>
      </c>
      <c r="G1675" s="4" t="str">
        <f>HYPERLINK("http://141.218.60.56/~jnz1568/getInfo.php?workbook=16_08.xlsx&amp;sheet=U0&amp;row=1675&amp;col=7&amp;number=0.0115&amp;sourceID=14","0.0115")</f>
        <v>0.0115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HYPERLINK("http://141.218.60.56/~jnz1568/getInfo.php?workbook=16_08.xlsx&amp;sheet=U0&amp;row=1676&amp;col=6&amp;number=4.2&amp;sourceID=14","4.2")</f>
        <v>4.2</v>
      </c>
      <c r="G1676" s="4" t="str">
        <f>HYPERLINK("http://141.218.60.56/~jnz1568/getInfo.php?workbook=16_08.xlsx&amp;sheet=U0&amp;row=1676&amp;col=7&amp;number=0.0115&amp;sourceID=14","0.0115")</f>
        <v>0.0115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HYPERLINK("http://141.218.60.56/~jnz1568/getInfo.php?workbook=16_08.xlsx&amp;sheet=U0&amp;row=1677&amp;col=6&amp;number=4.3&amp;sourceID=14","4.3")</f>
        <v>4.3</v>
      </c>
      <c r="G1677" s="4" t="str">
        <f>HYPERLINK("http://141.218.60.56/~jnz1568/getInfo.php?workbook=16_08.xlsx&amp;sheet=U0&amp;row=1677&amp;col=7&amp;number=0.0115&amp;sourceID=14","0.0115")</f>
        <v>0.0115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HYPERLINK("http://141.218.60.56/~jnz1568/getInfo.php?workbook=16_08.xlsx&amp;sheet=U0&amp;row=1678&amp;col=6&amp;number=4.4&amp;sourceID=14","4.4")</f>
        <v>4.4</v>
      </c>
      <c r="G1678" s="4" t="str">
        <f>HYPERLINK("http://141.218.60.56/~jnz1568/getInfo.php?workbook=16_08.xlsx&amp;sheet=U0&amp;row=1678&amp;col=7&amp;number=0.0115&amp;sourceID=14","0.0115")</f>
        <v>0.0115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HYPERLINK("http://141.218.60.56/~jnz1568/getInfo.php?workbook=16_08.xlsx&amp;sheet=U0&amp;row=1679&amp;col=6&amp;number=4.5&amp;sourceID=14","4.5")</f>
        <v>4.5</v>
      </c>
      <c r="G1679" s="4" t="str">
        <f>HYPERLINK("http://141.218.60.56/~jnz1568/getInfo.php?workbook=16_08.xlsx&amp;sheet=U0&amp;row=1679&amp;col=7&amp;number=0.0114&amp;sourceID=14","0.0114")</f>
        <v>0.0114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HYPERLINK("http://141.218.60.56/~jnz1568/getInfo.php?workbook=16_08.xlsx&amp;sheet=U0&amp;row=1680&amp;col=6&amp;number=4.6&amp;sourceID=14","4.6")</f>
        <v>4.6</v>
      </c>
      <c r="G1680" s="4" t="str">
        <f>HYPERLINK("http://141.218.60.56/~jnz1568/getInfo.php?workbook=16_08.xlsx&amp;sheet=U0&amp;row=1680&amp;col=7&amp;number=0.0114&amp;sourceID=14","0.0114")</f>
        <v>0.0114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HYPERLINK("http://141.218.60.56/~jnz1568/getInfo.php?workbook=16_08.xlsx&amp;sheet=U0&amp;row=1681&amp;col=6&amp;number=4.7&amp;sourceID=14","4.7")</f>
        <v>4.7</v>
      </c>
      <c r="G1681" s="4" t="str">
        <f>HYPERLINK("http://141.218.60.56/~jnz1568/getInfo.php?workbook=16_08.xlsx&amp;sheet=U0&amp;row=1681&amp;col=7&amp;number=0.0114&amp;sourceID=14","0.0114")</f>
        <v>0.0114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HYPERLINK("http://141.218.60.56/~jnz1568/getInfo.php?workbook=16_08.xlsx&amp;sheet=U0&amp;row=1682&amp;col=6&amp;number=4.8&amp;sourceID=14","4.8")</f>
        <v>4.8</v>
      </c>
      <c r="G1682" s="4" t="str">
        <f>HYPERLINK("http://141.218.60.56/~jnz1568/getInfo.php?workbook=16_08.xlsx&amp;sheet=U0&amp;row=1682&amp;col=7&amp;number=0.0114&amp;sourceID=14","0.0114")</f>
        <v>0.0114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HYPERLINK("http://141.218.60.56/~jnz1568/getInfo.php?workbook=16_08.xlsx&amp;sheet=U0&amp;row=1683&amp;col=6&amp;number=4.9&amp;sourceID=14","4.9")</f>
        <v>4.9</v>
      </c>
      <c r="G1683" s="4" t="str">
        <f>HYPERLINK("http://141.218.60.56/~jnz1568/getInfo.php?workbook=16_08.xlsx&amp;sheet=U0&amp;row=1683&amp;col=7&amp;number=0.0113&amp;sourceID=14","0.0113")</f>
        <v>0.0113</v>
      </c>
    </row>
    <row r="1684" spans="1:7">
      <c r="A1684" s="3">
        <v>16</v>
      </c>
      <c r="B1684" s="3">
        <v>8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HYPERLINK("http://141.218.60.56/~jnz1568/getInfo.php?workbook=16_08.xlsx&amp;sheet=U0&amp;row=1684&amp;col=6&amp;number=3&amp;sourceID=14","3")</f>
        <v>3</v>
      </c>
      <c r="G1684" s="4" t="str">
        <f>HYPERLINK("http://141.218.60.56/~jnz1568/getInfo.php?workbook=16_08.xlsx&amp;sheet=U0&amp;row=1684&amp;col=7&amp;number=0.00531&amp;sourceID=14","0.00531")</f>
        <v>0.00531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HYPERLINK("http://141.218.60.56/~jnz1568/getInfo.php?workbook=16_08.xlsx&amp;sheet=U0&amp;row=1685&amp;col=6&amp;number=3.1&amp;sourceID=14","3.1")</f>
        <v>3.1</v>
      </c>
      <c r="G1685" s="4" t="str">
        <f>HYPERLINK("http://141.218.60.56/~jnz1568/getInfo.php?workbook=16_08.xlsx&amp;sheet=U0&amp;row=1685&amp;col=7&amp;number=0.00531&amp;sourceID=14","0.00531")</f>
        <v>0.00531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HYPERLINK("http://141.218.60.56/~jnz1568/getInfo.php?workbook=16_08.xlsx&amp;sheet=U0&amp;row=1686&amp;col=6&amp;number=3.2&amp;sourceID=14","3.2")</f>
        <v>3.2</v>
      </c>
      <c r="G1686" s="4" t="str">
        <f>HYPERLINK("http://141.218.60.56/~jnz1568/getInfo.php?workbook=16_08.xlsx&amp;sheet=U0&amp;row=1686&amp;col=7&amp;number=0.00531&amp;sourceID=14","0.00531")</f>
        <v>0.00531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HYPERLINK("http://141.218.60.56/~jnz1568/getInfo.php?workbook=16_08.xlsx&amp;sheet=U0&amp;row=1687&amp;col=6&amp;number=3.3&amp;sourceID=14","3.3")</f>
        <v>3.3</v>
      </c>
      <c r="G1687" s="4" t="str">
        <f>HYPERLINK("http://141.218.60.56/~jnz1568/getInfo.php?workbook=16_08.xlsx&amp;sheet=U0&amp;row=1687&amp;col=7&amp;number=0.00531&amp;sourceID=14","0.00531")</f>
        <v>0.00531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HYPERLINK("http://141.218.60.56/~jnz1568/getInfo.php?workbook=16_08.xlsx&amp;sheet=U0&amp;row=1688&amp;col=6&amp;number=3.4&amp;sourceID=14","3.4")</f>
        <v>3.4</v>
      </c>
      <c r="G1688" s="4" t="str">
        <f>HYPERLINK("http://141.218.60.56/~jnz1568/getInfo.php?workbook=16_08.xlsx&amp;sheet=U0&amp;row=1688&amp;col=7&amp;number=0.00531&amp;sourceID=14","0.00531")</f>
        <v>0.00531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HYPERLINK("http://141.218.60.56/~jnz1568/getInfo.php?workbook=16_08.xlsx&amp;sheet=U0&amp;row=1689&amp;col=6&amp;number=3.5&amp;sourceID=14","3.5")</f>
        <v>3.5</v>
      </c>
      <c r="G1689" s="4" t="str">
        <f>HYPERLINK("http://141.218.60.56/~jnz1568/getInfo.php?workbook=16_08.xlsx&amp;sheet=U0&amp;row=1689&amp;col=7&amp;number=0.00531&amp;sourceID=14","0.00531")</f>
        <v>0.00531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HYPERLINK("http://141.218.60.56/~jnz1568/getInfo.php?workbook=16_08.xlsx&amp;sheet=U0&amp;row=1690&amp;col=6&amp;number=3.6&amp;sourceID=14","3.6")</f>
        <v>3.6</v>
      </c>
      <c r="G1690" s="4" t="str">
        <f>HYPERLINK("http://141.218.60.56/~jnz1568/getInfo.php?workbook=16_08.xlsx&amp;sheet=U0&amp;row=1690&amp;col=7&amp;number=0.0053&amp;sourceID=14","0.0053")</f>
        <v>0.0053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HYPERLINK("http://141.218.60.56/~jnz1568/getInfo.php?workbook=16_08.xlsx&amp;sheet=U0&amp;row=1691&amp;col=6&amp;number=3.7&amp;sourceID=14","3.7")</f>
        <v>3.7</v>
      </c>
      <c r="G1691" s="4" t="str">
        <f>HYPERLINK("http://141.218.60.56/~jnz1568/getInfo.php?workbook=16_08.xlsx&amp;sheet=U0&amp;row=1691&amp;col=7&amp;number=0.0053&amp;sourceID=14","0.0053")</f>
        <v>0.0053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HYPERLINK("http://141.218.60.56/~jnz1568/getInfo.php?workbook=16_08.xlsx&amp;sheet=U0&amp;row=1692&amp;col=6&amp;number=3.8&amp;sourceID=14","3.8")</f>
        <v>3.8</v>
      </c>
      <c r="G1692" s="4" t="str">
        <f>HYPERLINK("http://141.218.60.56/~jnz1568/getInfo.php?workbook=16_08.xlsx&amp;sheet=U0&amp;row=1692&amp;col=7&amp;number=0.0053&amp;sourceID=14","0.0053")</f>
        <v>0.0053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HYPERLINK("http://141.218.60.56/~jnz1568/getInfo.php?workbook=16_08.xlsx&amp;sheet=U0&amp;row=1693&amp;col=6&amp;number=3.9&amp;sourceID=14","3.9")</f>
        <v>3.9</v>
      </c>
      <c r="G1693" s="4" t="str">
        <f>HYPERLINK("http://141.218.60.56/~jnz1568/getInfo.php?workbook=16_08.xlsx&amp;sheet=U0&amp;row=1693&amp;col=7&amp;number=0.00529&amp;sourceID=14","0.00529")</f>
        <v>0.00529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HYPERLINK("http://141.218.60.56/~jnz1568/getInfo.php?workbook=16_08.xlsx&amp;sheet=U0&amp;row=1694&amp;col=6&amp;number=4&amp;sourceID=14","4")</f>
        <v>4</v>
      </c>
      <c r="G1694" s="4" t="str">
        <f>HYPERLINK("http://141.218.60.56/~jnz1568/getInfo.php?workbook=16_08.xlsx&amp;sheet=U0&amp;row=1694&amp;col=7&amp;number=0.00529&amp;sourceID=14","0.00529")</f>
        <v>0.00529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HYPERLINK("http://141.218.60.56/~jnz1568/getInfo.php?workbook=16_08.xlsx&amp;sheet=U0&amp;row=1695&amp;col=6&amp;number=4.1&amp;sourceID=14","4.1")</f>
        <v>4.1</v>
      </c>
      <c r="G1695" s="4" t="str">
        <f>HYPERLINK("http://141.218.60.56/~jnz1568/getInfo.php?workbook=16_08.xlsx&amp;sheet=U0&amp;row=1695&amp;col=7&amp;number=0.00528&amp;sourceID=14","0.00528")</f>
        <v>0.00528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HYPERLINK("http://141.218.60.56/~jnz1568/getInfo.php?workbook=16_08.xlsx&amp;sheet=U0&amp;row=1696&amp;col=6&amp;number=4.2&amp;sourceID=14","4.2")</f>
        <v>4.2</v>
      </c>
      <c r="G1696" s="4" t="str">
        <f>HYPERLINK("http://141.218.60.56/~jnz1568/getInfo.php?workbook=16_08.xlsx&amp;sheet=U0&amp;row=1696&amp;col=7&amp;number=0.00527&amp;sourceID=14","0.00527")</f>
        <v>0.00527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HYPERLINK("http://141.218.60.56/~jnz1568/getInfo.php?workbook=16_08.xlsx&amp;sheet=U0&amp;row=1697&amp;col=6&amp;number=4.3&amp;sourceID=14","4.3")</f>
        <v>4.3</v>
      </c>
      <c r="G1697" s="4" t="str">
        <f>HYPERLINK("http://141.218.60.56/~jnz1568/getInfo.php?workbook=16_08.xlsx&amp;sheet=U0&amp;row=1697&amp;col=7&amp;number=0.00526&amp;sourceID=14","0.00526")</f>
        <v>0.00526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HYPERLINK("http://141.218.60.56/~jnz1568/getInfo.php?workbook=16_08.xlsx&amp;sheet=U0&amp;row=1698&amp;col=6&amp;number=4.4&amp;sourceID=14","4.4")</f>
        <v>4.4</v>
      </c>
      <c r="G1698" s="4" t="str">
        <f>HYPERLINK("http://141.218.60.56/~jnz1568/getInfo.php?workbook=16_08.xlsx&amp;sheet=U0&amp;row=1698&amp;col=7&amp;number=0.00525&amp;sourceID=14","0.00525")</f>
        <v>0.00525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HYPERLINK("http://141.218.60.56/~jnz1568/getInfo.php?workbook=16_08.xlsx&amp;sheet=U0&amp;row=1699&amp;col=6&amp;number=4.5&amp;sourceID=14","4.5")</f>
        <v>4.5</v>
      </c>
      <c r="G1699" s="4" t="str">
        <f>HYPERLINK("http://141.218.60.56/~jnz1568/getInfo.php?workbook=16_08.xlsx&amp;sheet=U0&amp;row=1699&amp;col=7&amp;number=0.00523&amp;sourceID=14","0.00523")</f>
        <v>0.00523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HYPERLINK("http://141.218.60.56/~jnz1568/getInfo.php?workbook=16_08.xlsx&amp;sheet=U0&amp;row=1700&amp;col=6&amp;number=4.6&amp;sourceID=14","4.6")</f>
        <v>4.6</v>
      </c>
      <c r="G1700" s="4" t="str">
        <f>HYPERLINK("http://141.218.60.56/~jnz1568/getInfo.php?workbook=16_08.xlsx&amp;sheet=U0&amp;row=1700&amp;col=7&amp;number=0.00521&amp;sourceID=14","0.00521")</f>
        <v>0.00521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HYPERLINK("http://141.218.60.56/~jnz1568/getInfo.php?workbook=16_08.xlsx&amp;sheet=U0&amp;row=1701&amp;col=6&amp;number=4.7&amp;sourceID=14","4.7")</f>
        <v>4.7</v>
      </c>
      <c r="G1701" s="4" t="str">
        <f>HYPERLINK("http://141.218.60.56/~jnz1568/getInfo.php?workbook=16_08.xlsx&amp;sheet=U0&amp;row=1701&amp;col=7&amp;number=0.00518&amp;sourceID=14","0.00518")</f>
        <v>0.00518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HYPERLINK("http://141.218.60.56/~jnz1568/getInfo.php?workbook=16_08.xlsx&amp;sheet=U0&amp;row=1702&amp;col=6&amp;number=4.8&amp;sourceID=14","4.8")</f>
        <v>4.8</v>
      </c>
      <c r="G1702" s="4" t="str">
        <f>HYPERLINK("http://141.218.60.56/~jnz1568/getInfo.php?workbook=16_08.xlsx&amp;sheet=U0&amp;row=1702&amp;col=7&amp;number=0.00514&amp;sourceID=14","0.00514")</f>
        <v>0.00514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HYPERLINK("http://141.218.60.56/~jnz1568/getInfo.php?workbook=16_08.xlsx&amp;sheet=U0&amp;row=1703&amp;col=6&amp;number=4.9&amp;sourceID=14","4.9")</f>
        <v>4.9</v>
      </c>
      <c r="G1703" s="4" t="str">
        <f>HYPERLINK("http://141.218.60.56/~jnz1568/getInfo.php?workbook=16_08.xlsx&amp;sheet=U0&amp;row=1703&amp;col=7&amp;number=0.0051&amp;sourceID=14","0.0051")</f>
        <v>0.0051</v>
      </c>
    </row>
    <row r="1704" spans="1:7">
      <c r="A1704" s="3">
        <v>16</v>
      </c>
      <c r="B1704" s="3">
        <v>8</v>
      </c>
      <c r="C1704" s="3">
        <v>2</v>
      </c>
      <c r="D1704" s="3">
        <v>3</v>
      </c>
      <c r="E1704" s="3">
        <v>1</v>
      </c>
      <c r="F1704" s="4" t="str">
        <f>HYPERLINK("http://141.218.60.56/~jnz1568/getInfo.php?workbook=16_08.xlsx&amp;sheet=U0&amp;row=1704&amp;col=6&amp;number=3&amp;sourceID=14","3")</f>
        <v>3</v>
      </c>
      <c r="G1704" s="4" t="str">
        <f>HYPERLINK("http://141.218.60.56/~jnz1568/getInfo.php?workbook=16_08.xlsx&amp;sheet=U0&amp;row=1704&amp;col=7&amp;number=0.0617&amp;sourceID=14","0.0617")</f>
        <v>0.0617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HYPERLINK("http://141.218.60.56/~jnz1568/getInfo.php?workbook=16_08.xlsx&amp;sheet=U0&amp;row=1705&amp;col=6&amp;number=3.1&amp;sourceID=14","3.1")</f>
        <v>3.1</v>
      </c>
      <c r="G1705" s="4" t="str">
        <f>HYPERLINK("http://141.218.60.56/~jnz1568/getInfo.php?workbook=16_08.xlsx&amp;sheet=U0&amp;row=1705&amp;col=7&amp;number=0.0617&amp;sourceID=14","0.0617")</f>
        <v>0.0617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HYPERLINK("http://141.218.60.56/~jnz1568/getInfo.php?workbook=16_08.xlsx&amp;sheet=U0&amp;row=1706&amp;col=6&amp;number=3.2&amp;sourceID=14","3.2")</f>
        <v>3.2</v>
      </c>
      <c r="G1706" s="4" t="str">
        <f>HYPERLINK("http://141.218.60.56/~jnz1568/getInfo.php?workbook=16_08.xlsx&amp;sheet=U0&amp;row=1706&amp;col=7&amp;number=0.0617&amp;sourceID=14","0.0617")</f>
        <v>0.0617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HYPERLINK("http://141.218.60.56/~jnz1568/getInfo.php?workbook=16_08.xlsx&amp;sheet=U0&amp;row=1707&amp;col=6&amp;number=3.3&amp;sourceID=14","3.3")</f>
        <v>3.3</v>
      </c>
      <c r="G1707" s="4" t="str">
        <f>HYPERLINK("http://141.218.60.56/~jnz1568/getInfo.php?workbook=16_08.xlsx&amp;sheet=U0&amp;row=1707&amp;col=7&amp;number=0.0617&amp;sourceID=14","0.0617")</f>
        <v>0.0617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HYPERLINK("http://141.218.60.56/~jnz1568/getInfo.php?workbook=16_08.xlsx&amp;sheet=U0&amp;row=1708&amp;col=6&amp;number=3.4&amp;sourceID=14","3.4")</f>
        <v>3.4</v>
      </c>
      <c r="G1708" s="4" t="str">
        <f>HYPERLINK("http://141.218.60.56/~jnz1568/getInfo.php?workbook=16_08.xlsx&amp;sheet=U0&amp;row=1708&amp;col=7&amp;number=0.0617&amp;sourceID=14","0.0617")</f>
        <v>0.0617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HYPERLINK("http://141.218.60.56/~jnz1568/getInfo.php?workbook=16_08.xlsx&amp;sheet=U0&amp;row=1709&amp;col=6&amp;number=3.5&amp;sourceID=14","3.5")</f>
        <v>3.5</v>
      </c>
      <c r="G1709" s="4" t="str">
        <f>HYPERLINK("http://141.218.60.56/~jnz1568/getInfo.php?workbook=16_08.xlsx&amp;sheet=U0&amp;row=1709&amp;col=7&amp;number=0.0617&amp;sourceID=14","0.0617")</f>
        <v>0.0617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HYPERLINK("http://141.218.60.56/~jnz1568/getInfo.php?workbook=16_08.xlsx&amp;sheet=U0&amp;row=1710&amp;col=6&amp;number=3.6&amp;sourceID=14","3.6")</f>
        <v>3.6</v>
      </c>
      <c r="G1710" s="4" t="str">
        <f>HYPERLINK("http://141.218.60.56/~jnz1568/getInfo.php?workbook=16_08.xlsx&amp;sheet=U0&amp;row=1710&amp;col=7&amp;number=0.0617&amp;sourceID=14","0.0617")</f>
        <v>0.0617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HYPERLINK("http://141.218.60.56/~jnz1568/getInfo.php?workbook=16_08.xlsx&amp;sheet=U0&amp;row=1711&amp;col=6&amp;number=3.7&amp;sourceID=14","3.7")</f>
        <v>3.7</v>
      </c>
      <c r="G1711" s="4" t="str">
        <f>HYPERLINK("http://141.218.60.56/~jnz1568/getInfo.php?workbook=16_08.xlsx&amp;sheet=U0&amp;row=1711&amp;col=7&amp;number=0.0617&amp;sourceID=14","0.0617")</f>
        <v>0.0617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HYPERLINK("http://141.218.60.56/~jnz1568/getInfo.php?workbook=16_08.xlsx&amp;sheet=U0&amp;row=1712&amp;col=6&amp;number=3.8&amp;sourceID=14","3.8")</f>
        <v>3.8</v>
      </c>
      <c r="G1712" s="4" t="str">
        <f>HYPERLINK("http://141.218.60.56/~jnz1568/getInfo.php?workbook=16_08.xlsx&amp;sheet=U0&amp;row=1712&amp;col=7&amp;number=0.0617&amp;sourceID=14","0.0617")</f>
        <v>0.0617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HYPERLINK("http://141.218.60.56/~jnz1568/getInfo.php?workbook=16_08.xlsx&amp;sheet=U0&amp;row=1713&amp;col=6&amp;number=3.9&amp;sourceID=14","3.9")</f>
        <v>3.9</v>
      </c>
      <c r="G1713" s="4" t="str">
        <f>HYPERLINK("http://141.218.60.56/~jnz1568/getInfo.php?workbook=16_08.xlsx&amp;sheet=U0&amp;row=1713&amp;col=7&amp;number=0.0616&amp;sourceID=14","0.0616")</f>
        <v>0.0616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HYPERLINK("http://141.218.60.56/~jnz1568/getInfo.php?workbook=16_08.xlsx&amp;sheet=U0&amp;row=1714&amp;col=6&amp;number=4&amp;sourceID=14","4")</f>
        <v>4</v>
      </c>
      <c r="G1714" s="4" t="str">
        <f>HYPERLINK("http://141.218.60.56/~jnz1568/getInfo.php?workbook=16_08.xlsx&amp;sheet=U0&amp;row=1714&amp;col=7&amp;number=0.0616&amp;sourceID=14","0.0616")</f>
        <v>0.0616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HYPERLINK("http://141.218.60.56/~jnz1568/getInfo.php?workbook=16_08.xlsx&amp;sheet=U0&amp;row=1715&amp;col=6&amp;number=4.1&amp;sourceID=14","4.1")</f>
        <v>4.1</v>
      </c>
      <c r="G1715" s="4" t="str">
        <f>HYPERLINK("http://141.218.60.56/~jnz1568/getInfo.php?workbook=16_08.xlsx&amp;sheet=U0&amp;row=1715&amp;col=7&amp;number=0.0616&amp;sourceID=14","0.0616")</f>
        <v>0.0616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HYPERLINK("http://141.218.60.56/~jnz1568/getInfo.php?workbook=16_08.xlsx&amp;sheet=U0&amp;row=1716&amp;col=6&amp;number=4.2&amp;sourceID=14","4.2")</f>
        <v>4.2</v>
      </c>
      <c r="G1716" s="4" t="str">
        <f>HYPERLINK("http://141.218.60.56/~jnz1568/getInfo.php?workbook=16_08.xlsx&amp;sheet=U0&amp;row=1716&amp;col=7&amp;number=0.0616&amp;sourceID=14","0.0616")</f>
        <v>0.0616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HYPERLINK("http://141.218.60.56/~jnz1568/getInfo.php?workbook=16_08.xlsx&amp;sheet=U0&amp;row=1717&amp;col=6&amp;number=4.3&amp;sourceID=14","4.3")</f>
        <v>4.3</v>
      </c>
      <c r="G1717" s="4" t="str">
        <f>HYPERLINK("http://141.218.60.56/~jnz1568/getInfo.php?workbook=16_08.xlsx&amp;sheet=U0&amp;row=1717&amp;col=7&amp;number=0.0615&amp;sourceID=14","0.0615")</f>
        <v>0.0615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HYPERLINK("http://141.218.60.56/~jnz1568/getInfo.php?workbook=16_08.xlsx&amp;sheet=U0&amp;row=1718&amp;col=6&amp;number=4.4&amp;sourceID=14","4.4")</f>
        <v>4.4</v>
      </c>
      <c r="G1718" s="4" t="str">
        <f>HYPERLINK("http://141.218.60.56/~jnz1568/getInfo.php?workbook=16_08.xlsx&amp;sheet=U0&amp;row=1718&amp;col=7&amp;number=0.0615&amp;sourceID=14","0.0615")</f>
        <v>0.0615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HYPERLINK("http://141.218.60.56/~jnz1568/getInfo.php?workbook=16_08.xlsx&amp;sheet=U0&amp;row=1719&amp;col=6&amp;number=4.5&amp;sourceID=14","4.5")</f>
        <v>4.5</v>
      </c>
      <c r="G1719" s="4" t="str">
        <f>HYPERLINK("http://141.218.60.56/~jnz1568/getInfo.php?workbook=16_08.xlsx&amp;sheet=U0&amp;row=1719&amp;col=7&amp;number=0.0614&amp;sourceID=14","0.0614")</f>
        <v>0.0614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HYPERLINK("http://141.218.60.56/~jnz1568/getInfo.php?workbook=16_08.xlsx&amp;sheet=U0&amp;row=1720&amp;col=6&amp;number=4.6&amp;sourceID=14","4.6")</f>
        <v>4.6</v>
      </c>
      <c r="G1720" s="4" t="str">
        <f>HYPERLINK("http://141.218.60.56/~jnz1568/getInfo.php?workbook=16_08.xlsx&amp;sheet=U0&amp;row=1720&amp;col=7&amp;number=0.0614&amp;sourceID=14","0.0614")</f>
        <v>0.0614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HYPERLINK("http://141.218.60.56/~jnz1568/getInfo.php?workbook=16_08.xlsx&amp;sheet=U0&amp;row=1721&amp;col=6&amp;number=4.7&amp;sourceID=14","4.7")</f>
        <v>4.7</v>
      </c>
      <c r="G1721" s="4" t="str">
        <f>HYPERLINK("http://141.218.60.56/~jnz1568/getInfo.php?workbook=16_08.xlsx&amp;sheet=U0&amp;row=1721&amp;col=7&amp;number=0.0613&amp;sourceID=14","0.0613")</f>
        <v>0.0613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HYPERLINK("http://141.218.60.56/~jnz1568/getInfo.php?workbook=16_08.xlsx&amp;sheet=U0&amp;row=1722&amp;col=6&amp;number=4.8&amp;sourceID=14","4.8")</f>
        <v>4.8</v>
      </c>
      <c r="G1722" s="4" t="str">
        <f>HYPERLINK("http://141.218.60.56/~jnz1568/getInfo.php?workbook=16_08.xlsx&amp;sheet=U0&amp;row=1722&amp;col=7&amp;number=0.0611&amp;sourceID=14","0.0611")</f>
        <v>0.0611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HYPERLINK("http://141.218.60.56/~jnz1568/getInfo.php?workbook=16_08.xlsx&amp;sheet=U0&amp;row=1723&amp;col=6&amp;number=4.9&amp;sourceID=14","4.9")</f>
        <v>4.9</v>
      </c>
      <c r="G1723" s="4" t="str">
        <f>HYPERLINK("http://141.218.60.56/~jnz1568/getInfo.php?workbook=16_08.xlsx&amp;sheet=U0&amp;row=1723&amp;col=7&amp;number=0.061&amp;sourceID=14","0.061")</f>
        <v>0.061</v>
      </c>
    </row>
    <row r="1724" spans="1:7">
      <c r="A1724" s="3">
        <v>16</v>
      </c>
      <c r="B1724" s="3">
        <v>8</v>
      </c>
      <c r="C1724" s="3">
        <v>2</v>
      </c>
      <c r="D1724" s="3">
        <v>4</v>
      </c>
      <c r="E1724" s="3">
        <v>1</v>
      </c>
      <c r="F1724" s="4" t="str">
        <f>HYPERLINK("http://141.218.60.56/~jnz1568/getInfo.php?workbook=16_08.xlsx&amp;sheet=U0&amp;row=1724&amp;col=6&amp;number=3&amp;sourceID=14","3")</f>
        <v>3</v>
      </c>
      <c r="G1724" s="4" t="str">
        <f>HYPERLINK("http://141.218.60.56/~jnz1568/getInfo.php?workbook=16_08.xlsx&amp;sheet=U0&amp;row=1724&amp;col=7&amp;number=0.11&amp;sourceID=14","0.11")</f>
        <v>0.11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HYPERLINK("http://141.218.60.56/~jnz1568/getInfo.php?workbook=16_08.xlsx&amp;sheet=U0&amp;row=1725&amp;col=6&amp;number=3.1&amp;sourceID=14","3.1")</f>
        <v>3.1</v>
      </c>
      <c r="G1725" s="4" t="str">
        <f>HYPERLINK("http://141.218.60.56/~jnz1568/getInfo.php?workbook=16_08.xlsx&amp;sheet=U0&amp;row=1725&amp;col=7&amp;number=0.11&amp;sourceID=14","0.11")</f>
        <v>0.11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HYPERLINK("http://141.218.60.56/~jnz1568/getInfo.php?workbook=16_08.xlsx&amp;sheet=U0&amp;row=1726&amp;col=6&amp;number=3.2&amp;sourceID=14","3.2")</f>
        <v>3.2</v>
      </c>
      <c r="G1726" s="4" t="str">
        <f>HYPERLINK("http://141.218.60.56/~jnz1568/getInfo.php?workbook=16_08.xlsx&amp;sheet=U0&amp;row=1726&amp;col=7&amp;number=0.11&amp;sourceID=14","0.11")</f>
        <v>0.11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HYPERLINK("http://141.218.60.56/~jnz1568/getInfo.php?workbook=16_08.xlsx&amp;sheet=U0&amp;row=1727&amp;col=6&amp;number=3.3&amp;sourceID=14","3.3")</f>
        <v>3.3</v>
      </c>
      <c r="G1727" s="4" t="str">
        <f>HYPERLINK("http://141.218.60.56/~jnz1568/getInfo.php?workbook=16_08.xlsx&amp;sheet=U0&amp;row=1727&amp;col=7&amp;number=0.11&amp;sourceID=14","0.11")</f>
        <v>0.11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HYPERLINK("http://141.218.60.56/~jnz1568/getInfo.php?workbook=16_08.xlsx&amp;sheet=U0&amp;row=1728&amp;col=6&amp;number=3.4&amp;sourceID=14","3.4")</f>
        <v>3.4</v>
      </c>
      <c r="G1728" s="4" t="str">
        <f>HYPERLINK("http://141.218.60.56/~jnz1568/getInfo.php?workbook=16_08.xlsx&amp;sheet=U0&amp;row=1728&amp;col=7&amp;number=0.11&amp;sourceID=14","0.11")</f>
        <v>0.11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HYPERLINK("http://141.218.60.56/~jnz1568/getInfo.php?workbook=16_08.xlsx&amp;sheet=U0&amp;row=1729&amp;col=6&amp;number=3.5&amp;sourceID=14","3.5")</f>
        <v>3.5</v>
      </c>
      <c r="G1729" s="4" t="str">
        <f>HYPERLINK("http://141.218.60.56/~jnz1568/getInfo.php?workbook=16_08.xlsx&amp;sheet=U0&amp;row=1729&amp;col=7&amp;number=0.11&amp;sourceID=14","0.11")</f>
        <v>0.11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HYPERLINK("http://141.218.60.56/~jnz1568/getInfo.php?workbook=16_08.xlsx&amp;sheet=U0&amp;row=1730&amp;col=6&amp;number=3.6&amp;sourceID=14","3.6")</f>
        <v>3.6</v>
      </c>
      <c r="G1730" s="4" t="str">
        <f>HYPERLINK("http://141.218.60.56/~jnz1568/getInfo.php?workbook=16_08.xlsx&amp;sheet=U0&amp;row=1730&amp;col=7&amp;number=0.11&amp;sourceID=14","0.11")</f>
        <v>0.11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HYPERLINK("http://141.218.60.56/~jnz1568/getInfo.php?workbook=16_08.xlsx&amp;sheet=U0&amp;row=1731&amp;col=6&amp;number=3.7&amp;sourceID=14","3.7")</f>
        <v>3.7</v>
      </c>
      <c r="G1731" s="4" t="str">
        <f>HYPERLINK("http://141.218.60.56/~jnz1568/getInfo.php?workbook=16_08.xlsx&amp;sheet=U0&amp;row=1731&amp;col=7&amp;number=0.11&amp;sourceID=14","0.11")</f>
        <v>0.11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HYPERLINK("http://141.218.60.56/~jnz1568/getInfo.php?workbook=16_08.xlsx&amp;sheet=U0&amp;row=1732&amp;col=6&amp;number=3.8&amp;sourceID=14","3.8")</f>
        <v>3.8</v>
      </c>
      <c r="G1732" s="4" t="str">
        <f>HYPERLINK("http://141.218.60.56/~jnz1568/getInfo.php?workbook=16_08.xlsx&amp;sheet=U0&amp;row=1732&amp;col=7&amp;number=0.11&amp;sourceID=14","0.11")</f>
        <v>0.11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HYPERLINK("http://141.218.60.56/~jnz1568/getInfo.php?workbook=16_08.xlsx&amp;sheet=U0&amp;row=1733&amp;col=6&amp;number=3.9&amp;sourceID=14","3.9")</f>
        <v>3.9</v>
      </c>
      <c r="G1733" s="4" t="str">
        <f>HYPERLINK("http://141.218.60.56/~jnz1568/getInfo.php?workbook=16_08.xlsx&amp;sheet=U0&amp;row=1733&amp;col=7&amp;number=0.11&amp;sourceID=14","0.11")</f>
        <v>0.11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HYPERLINK("http://141.218.60.56/~jnz1568/getInfo.php?workbook=16_08.xlsx&amp;sheet=U0&amp;row=1734&amp;col=6&amp;number=4&amp;sourceID=14","4")</f>
        <v>4</v>
      </c>
      <c r="G1734" s="4" t="str">
        <f>HYPERLINK("http://141.218.60.56/~jnz1568/getInfo.php?workbook=16_08.xlsx&amp;sheet=U0&amp;row=1734&amp;col=7&amp;number=0.11&amp;sourceID=14","0.11")</f>
        <v>0.11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HYPERLINK("http://141.218.60.56/~jnz1568/getInfo.php?workbook=16_08.xlsx&amp;sheet=U0&amp;row=1735&amp;col=6&amp;number=4.1&amp;sourceID=14","4.1")</f>
        <v>4.1</v>
      </c>
      <c r="G1735" s="4" t="str">
        <f>HYPERLINK("http://141.218.60.56/~jnz1568/getInfo.php?workbook=16_08.xlsx&amp;sheet=U0&amp;row=1735&amp;col=7&amp;number=0.11&amp;sourceID=14","0.11")</f>
        <v>0.11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HYPERLINK("http://141.218.60.56/~jnz1568/getInfo.php?workbook=16_08.xlsx&amp;sheet=U0&amp;row=1736&amp;col=6&amp;number=4.2&amp;sourceID=14","4.2")</f>
        <v>4.2</v>
      </c>
      <c r="G1736" s="4" t="str">
        <f>HYPERLINK("http://141.218.60.56/~jnz1568/getInfo.php?workbook=16_08.xlsx&amp;sheet=U0&amp;row=1736&amp;col=7&amp;number=0.11&amp;sourceID=14","0.11")</f>
        <v>0.11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HYPERLINK("http://141.218.60.56/~jnz1568/getInfo.php?workbook=16_08.xlsx&amp;sheet=U0&amp;row=1737&amp;col=6&amp;number=4.3&amp;sourceID=14","4.3")</f>
        <v>4.3</v>
      </c>
      <c r="G1737" s="4" t="str">
        <f>HYPERLINK("http://141.218.60.56/~jnz1568/getInfo.php?workbook=16_08.xlsx&amp;sheet=U0&amp;row=1737&amp;col=7&amp;number=0.11&amp;sourceID=14","0.11")</f>
        <v>0.11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HYPERLINK("http://141.218.60.56/~jnz1568/getInfo.php?workbook=16_08.xlsx&amp;sheet=U0&amp;row=1738&amp;col=6&amp;number=4.4&amp;sourceID=14","4.4")</f>
        <v>4.4</v>
      </c>
      <c r="G1738" s="4" t="str">
        <f>HYPERLINK("http://141.218.60.56/~jnz1568/getInfo.php?workbook=16_08.xlsx&amp;sheet=U0&amp;row=1738&amp;col=7&amp;number=0.109&amp;sourceID=14","0.109")</f>
        <v>0.109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HYPERLINK("http://141.218.60.56/~jnz1568/getInfo.php?workbook=16_08.xlsx&amp;sheet=U0&amp;row=1739&amp;col=6&amp;number=4.5&amp;sourceID=14","4.5")</f>
        <v>4.5</v>
      </c>
      <c r="G1739" s="4" t="str">
        <f>HYPERLINK("http://141.218.60.56/~jnz1568/getInfo.php?workbook=16_08.xlsx&amp;sheet=U0&amp;row=1739&amp;col=7&amp;number=0.109&amp;sourceID=14","0.109")</f>
        <v>0.109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HYPERLINK("http://141.218.60.56/~jnz1568/getInfo.php?workbook=16_08.xlsx&amp;sheet=U0&amp;row=1740&amp;col=6&amp;number=4.6&amp;sourceID=14","4.6")</f>
        <v>4.6</v>
      </c>
      <c r="G1740" s="4" t="str">
        <f>HYPERLINK("http://141.218.60.56/~jnz1568/getInfo.php?workbook=16_08.xlsx&amp;sheet=U0&amp;row=1740&amp;col=7&amp;number=0.109&amp;sourceID=14","0.109")</f>
        <v>0.109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HYPERLINK("http://141.218.60.56/~jnz1568/getInfo.php?workbook=16_08.xlsx&amp;sheet=U0&amp;row=1741&amp;col=6&amp;number=4.7&amp;sourceID=14","4.7")</f>
        <v>4.7</v>
      </c>
      <c r="G1741" s="4" t="str">
        <f>HYPERLINK("http://141.218.60.56/~jnz1568/getInfo.php?workbook=16_08.xlsx&amp;sheet=U0&amp;row=1741&amp;col=7&amp;number=0.109&amp;sourceID=14","0.109")</f>
        <v>0.109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HYPERLINK("http://141.218.60.56/~jnz1568/getInfo.php?workbook=16_08.xlsx&amp;sheet=U0&amp;row=1742&amp;col=6&amp;number=4.8&amp;sourceID=14","4.8")</f>
        <v>4.8</v>
      </c>
      <c r="G1742" s="4" t="str">
        <f>HYPERLINK("http://141.218.60.56/~jnz1568/getInfo.php?workbook=16_08.xlsx&amp;sheet=U0&amp;row=1742&amp;col=7&amp;number=0.109&amp;sourceID=14","0.109")</f>
        <v>0.109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HYPERLINK("http://141.218.60.56/~jnz1568/getInfo.php?workbook=16_08.xlsx&amp;sheet=U0&amp;row=1743&amp;col=6&amp;number=4.9&amp;sourceID=14","4.9")</f>
        <v>4.9</v>
      </c>
      <c r="G1743" s="4" t="str">
        <f>HYPERLINK("http://141.218.60.56/~jnz1568/getInfo.php?workbook=16_08.xlsx&amp;sheet=U0&amp;row=1743&amp;col=7&amp;number=0.109&amp;sourceID=14","0.109")</f>
        <v>0.109</v>
      </c>
    </row>
    <row r="1744" spans="1:7">
      <c r="A1744" s="3">
        <v>16</v>
      </c>
      <c r="B1744" s="3">
        <v>8</v>
      </c>
      <c r="C1744" s="3">
        <v>2</v>
      </c>
      <c r="D1744" s="3">
        <v>5</v>
      </c>
      <c r="E1744" s="3">
        <v>1</v>
      </c>
      <c r="F1744" s="4" t="str">
        <f>HYPERLINK("http://141.218.60.56/~jnz1568/getInfo.php?workbook=16_08.xlsx&amp;sheet=U0&amp;row=1744&amp;col=6&amp;number=3&amp;sourceID=14","3")</f>
        <v>3</v>
      </c>
      <c r="G1744" s="4" t="str">
        <f>HYPERLINK("http://141.218.60.56/~jnz1568/getInfo.php?workbook=16_08.xlsx&amp;sheet=U0&amp;row=1744&amp;col=7&amp;number=0.0158&amp;sourceID=14","0.0158")</f>
        <v>0.0158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HYPERLINK("http://141.218.60.56/~jnz1568/getInfo.php?workbook=16_08.xlsx&amp;sheet=U0&amp;row=1745&amp;col=6&amp;number=3.1&amp;sourceID=14","3.1")</f>
        <v>3.1</v>
      </c>
      <c r="G1745" s="4" t="str">
        <f>HYPERLINK("http://141.218.60.56/~jnz1568/getInfo.php?workbook=16_08.xlsx&amp;sheet=U0&amp;row=1745&amp;col=7&amp;number=0.0158&amp;sourceID=14","0.0158")</f>
        <v>0.0158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HYPERLINK("http://141.218.60.56/~jnz1568/getInfo.php?workbook=16_08.xlsx&amp;sheet=U0&amp;row=1746&amp;col=6&amp;number=3.2&amp;sourceID=14","3.2")</f>
        <v>3.2</v>
      </c>
      <c r="G1746" s="4" t="str">
        <f>HYPERLINK("http://141.218.60.56/~jnz1568/getInfo.php?workbook=16_08.xlsx&amp;sheet=U0&amp;row=1746&amp;col=7&amp;number=0.0158&amp;sourceID=14","0.0158")</f>
        <v>0.0158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HYPERLINK("http://141.218.60.56/~jnz1568/getInfo.php?workbook=16_08.xlsx&amp;sheet=U0&amp;row=1747&amp;col=6&amp;number=3.3&amp;sourceID=14","3.3")</f>
        <v>3.3</v>
      </c>
      <c r="G1747" s="4" t="str">
        <f>HYPERLINK("http://141.218.60.56/~jnz1568/getInfo.php?workbook=16_08.xlsx&amp;sheet=U0&amp;row=1747&amp;col=7&amp;number=0.0158&amp;sourceID=14","0.0158")</f>
        <v>0.0158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HYPERLINK("http://141.218.60.56/~jnz1568/getInfo.php?workbook=16_08.xlsx&amp;sheet=U0&amp;row=1748&amp;col=6&amp;number=3.4&amp;sourceID=14","3.4")</f>
        <v>3.4</v>
      </c>
      <c r="G1748" s="4" t="str">
        <f>HYPERLINK("http://141.218.60.56/~jnz1568/getInfo.php?workbook=16_08.xlsx&amp;sheet=U0&amp;row=1748&amp;col=7&amp;number=0.0158&amp;sourceID=14","0.0158")</f>
        <v>0.0158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HYPERLINK("http://141.218.60.56/~jnz1568/getInfo.php?workbook=16_08.xlsx&amp;sheet=U0&amp;row=1749&amp;col=6&amp;number=3.5&amp;sourceID=14","3.5")</f>
        <v>3.5</v>
      </c>
      <c r="G1749" s="4" t="str">
        <f>HYPERLINK("http://141.218.60.56/~jnz1568/getInfo.php?workbook=16_08.xlsx&amp;sheet=U0&amp;row=1749&amp;col=7&amp;number=0.0158&amp;sourceID=14","0.0158")</f>
        <v>0.0158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HYPERLINK("http://141.218.60.56/~jnz1568/getInfo.php?workbook=16_08.xlsx&amp;sheet=U0&amp;row=1750&amp;col=6&amp;number=3.6&amp;sourceID=14","3.6")</f>
        <v>3.6</v>
      </c>
      <c r="G1750" s="4" t="str">
        <f>HYPERLINK("http://141.218.60.56/~jnz1568/getInfo.php?workbook=16_08.xlsx&amp;sheet=U0&amp;row=1750&amp;col=7&amp;number=0.0158&amp;sourceID=14","0.0158")</f>
        <v>0.0158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HYPERLINK("http://141.218.60.56/~jnz1568/getInfo.php?workbook=16_08.xlsx&amp;sheet=U0&amp;row=1751&amp;col=6&amp;number=3.7&amp;sourceID=14","3.7")</f>
        <v>3.7</v>
      </c>
      <c r="G1751" s="4" t="str">
        <f>HYPERLINK("http://141.218.60.56/~jnz1568/getInfo.php?workbook=16_08.xlsx&amp;sheet=U0&amp;row=1751&amp;col=7&amp;number=0.0158&amp;sourceID=14","0.0158")</f>
        <v>0.0158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HYPERLINK("http://141.218.60.56/~jnz1568/getInfo.php?workbook=16_08.xlsx&amp;sheet=U0&amp;row=1752&amp;col=6&amp;number=3.8&amp;sourceID=14","3.8")</f>
        <v>3.8</v>
      </c>
      <c r="G1752" s="4" t="str">
        <f>HYPERLINK("http://141.218.60.56/~jnz1568/getInfo.php?workbook=16_08.xlsx&amp;sheet=U0&amp;row=1752&amp;col=7&amp;number=0.0158&amp;sourceID=14","0.0158")</f>
        <v>0.0158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HYPERLINK("http://141.218.60.56/~jnz1568/getInfo.php?workbook=16_08.xlsx&amp;sheet=U0&amp;row=1753&amp;col=6&amp;number=3.9&amp;sourceID=14","3.9")</f>
        <v>3.9</v>
      </c>
      <c r="G1753" s="4" t="str">
        <f>HYPERLINK("http://141.218.60.56/~jnz1568/getInfo.php?workbook=16_08.xlsx&amp;sheet=U0&amp;row=1753&amp;col=7&amp;number=0.0158&amp;sourceID=14","0.0158")</f>
        <v>0.0158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HYPERLINK("http://141.218.60.56/~jnz1568/getInfo.php?workbook=16_08.xlsx&amp;sheet=U0&amp;row=1754&amp;col=6&amp;number=4&amp;sourceID=14","4")</f>
        <v>4</v>
      </c>
      <c r="G1754" s="4" t="str">
        <f>HYPERLINK("http://141.218.60.56/~jnz1568/getInfo.php?workbook=16_08.xlsx&amp;sheet=U0&amp;row=1754&amp;col=7&amp;number=0.0158&amp;sourceID=14","0.0158")</f>
        <v>0.0158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HYPERLINK("http://141.218.60.56/~jnz1568/getInfo.php?workbook=16_08.xlsx&amp;sheet=U0&amp;row=1755&amp;col=6&amp;number=4.1&amp;sourceID=14","4.1")</f>
        <v>4.1</v>
      </c>
      <c r="G1755" s="4" t="str">
        <f>HYPERLINK("http://141.218.60.56/~jnz1568/getInfo.php?workbook=16_08.xlsx&amp;sheet=U0&amp;row=1755&amp;col=7&amp;number=0.0158&amp;sourceID=14","0.0158")</f>
        <v>0.0158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HYPERLINK("http://141.218.60.56/~jnz1568/getInfo.php?workbook=16_08.xlsx&amp;sheet=U0&amp;row=1756&amp;col=6&amp;number=4.2&amp;sourceID=14","4.2")</f>
        <v>4.2</v>
      </c>
      <c r="G1756" s="4" t="str">
        <f>HYPERLINK("http://141.218.60.56/~jnz1568/getInfo.php?workbook=16_08.xlsx&amp;sheet=U0&amp;row=1756&amp;col=7&amp;number=0.0158&amp;sourceID=14","0.0158")</f>
        <v>0.0158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HYPERLINK("http://141.218.60.56/~jnz1568/getInfo.php?workbook=16_08.xlsx&amp;sheet=U0&amp;row=1757&amp;col=6&amp;number=4.3&amp;sourceID=14","4.3")</f>
        <v>4.3</v>
      </c>
      <c r="G1757" s="4" t="str">
        <f>HYPERLINK("http://141.218.60.56/~jnz1568/getInfo.php?workbook=16_08.xlsx&amp;sheet=U0&amp;row=1757&amp;col=7&amp;number=0.0158&amp;sourceID=14","0.0158")</f>
        <v>0.0158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HYPERLINK("http://141.218.60.56/~jnz1568/getInfo.php?workbook=16_08.xlsx&amp;sheet=U0&amp;row=1758&amp;col=6&amp;number=4.4&amp;sourceID=14","4.4")</f>
        <v>4.4</v>
      </c>
      <c r="G1758" s="4" t="str">
        <f>HYPERLINK("http://141.218.60.56/~jnz1568/getInfo.php?workbook=16_08.xlsx&amp;sheet=U0&amp;row=1758&amp;col=7&amp;number=0.0158&amp;sourceID=14","0.0158")</f>
        <v>0.0158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HYPERLINK("http://141.218.60.56/~jnz1568/getInfo.php?workbook=16_08.xlsx&amp;sheet=U0&amp;row=1759&amp;col=6&amp;number=4.5&amp;sourceID=14","4.5")</f>
        <v>4.5</v>
      </c>
      <c r="G1759" s="4" t="str">
        <f>HYPERLINK("http://141.218.60.56/~jnz1568/getInfo.php?workbook=16_08.xlsx&amp;sheet=U0&amp;row=1759&amp;col=7&amp;number=0.0158&amp;sourceID=14","0.0158")</f>
        <v>0.0158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HYPERLINK("http://141.218.60.56/~jnz1568/getInfo.php?workbook=16_08.xlsx&amp;sheet=U0&amp;row=1760&amp;col=6&amp;number=4.6&amp;sourceID=14","4.6")</f>
        <v>4.6</v>
      </c>
      <c r="G1760" s="4" t="str">
        <f>HYPERLINK("http://141.218.60.56/~jnz1568/getInfo.php?workbook=16_08.xlsx&amp;sheet=U0&amp;row=1760&amp;col=7&amp;number=0.0157&amp;sourceID=14","0.0157")</f>
        <v>0.0157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HYPERLINK("http://141.218.60.56/~jnz1568/getInfo.php?workbook=16_08.xlsx&amp;sheet=U0&amp;row=1761&amp;col=6&amp;number=4.7&amp;sourceID=14","4.7")</f>
        <v>4.7</v>
      </c>
      <c r="G1761" s="4" t="str">
        <f>HYPERLINK("http://141.218.60.56/~jnz1568/getInfo.php?workbook=16_08.xlsx&amp;sheet=U0&amp;row=1761&amp;col=7&amp;number=0.0157&amp;sourceID=14","0.0157")</f>
        <v>0.0157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HYPERLINK("http://141.218.60.56/~jnz1568/getInfo.php?workbook=16_08.xlsx&amp;sheet=U0&amp;row=1762&amp;col=6&amp;number=4.8&amp;sourceID=14","4.8")</f>
        <v>4.8</v>
      </c>
      <c r="G1762" s="4" t="str">
        <f>HYPERLINK("http://141.218.60.56/~jnz1568/getInfo.php?workbook=16_08.xlsx&amp;sheet=U0&amp;row=1762&amp;col=7&amp;number=0.0157&amp;sourceID=14","0.0157")</f>
        <v>0.0157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HYPERLINK("http://141.218.60.56/~jnz1568/getInfo.php?workbook=16_08.xlsx&amp;sheet=U0&amp;row=1763&amp;col=6&amp;number=4.9&amp;sourceID=14","4.9")</f>
        <v>4.9</v>
      </c>
      <c r="G1763" s="4" t="str">
        <f>HYPERLINK("http://141.218.60.56/~jnz1568/getInfo.php?workbook=16_08.xlsx&amp;sheet=U0&amp;row=1763&amp;col=7&amp;number=0.0156&amp;sourceID=14","0.0156")</f>
        <v>0.0156</v>
      </c>
    </row>
    <row r="1764" spans="1:7">
      <c r="A1764" s="3">
        <v>16</v>
      </c>
      <c r="B1764" s="3">
        <v>8</v>
      </c>
      <c r="C1764" s="3">
        <v>2</v>
      </c>
      <c r="D1764" s="3">
        <v>6</v>
      </c>
      <c r="E1764" s="3">
        <v>1</v>
      </c>
      <c r="F1764" s="4" t="str">
        <f>HYPERLINK("http://141.218.60.56/~jnz1568/getInfo.php?workbook=16_08.xlsx&amp;sheet=U0&amp;row=1764&amp;col=6&amp;number=3&amp;sourceID=14","3")</f>
        <v>3</v>
      </c>
      <c r="G1764" s="4" t="str">
        <f>HYPERLINK("http://141.218.60.56/~jnz1568/getInfo.php?workbook=16_08.xlsx&amp;sheet=U0&amp;row=1764&amp;col=7&amp;number=0.37&amp;sourceID=14","0.37")</f>
        <v>0.37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HYPERLINK("http://141.218.60.56/~jnz1568/getInfo.php?workbook=16_08.xlsx&amp;sheet=U0&amp;row=1765&amp;col=6&amp;number=3.1&amp;sourceID=14","3.1")</f>
        <v>3.1</v>
      </c>
      <c r="G1765" s="4" t="str">
        <f>HYPERLINK("http://141.218.60.56/~jnz1568/getInfo.php?workbook=16_08.xlsx&amp;sheet=U0&amp;row=1765&amp;col=7&amp;number=0.37&amp;sourceID=14","0.37")</f>
        <v>0.37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HYPERLINK("http://141.218.60.56/~jnz1568/getInfo.php?workbook=16_08.xlsx&amp;sheet=U0&amp;row=1766&amp;col=6&amp;number=3.2&amp;sourceID=14","3.2")</f>
        <v>3.2</v>
      </c>
      <c r="G1766" s="4" t="str">
        <f>HYPERLINK("http://141.218.60.56/~jnz1568/getInfo.php?workbook=16_08.xlsx&amp;sheet=U0&amp;row=1766&amp;col=7&amp;number=0.37&amp;sourceID=14","0.37")</f>
        <v>0.37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HYPERLINK("http://141.218.60.56/~jnz1568/getInfo.php?workbook=16_08.xlsx&amp;sheet=U0&amp;row=1767&amp;col=6&amp;number=3.3&amp;sourceID=14","3.3")</f>
        <v>3.3</v>
      </c>
      <c r="G1767" s="4" t="str">
        <f>HYPERLINK("http://141.218.60.56/~jnz1568/getInfo.php?workbook=16_08.xlsx&amp;sheet=U0&amp;row=1767&amp;col=7&amp;number=0.37&amp;sourceID=14","0.37")</f>
        <v>0.37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HYPERLINK("http://141.218.60.56/~jnz1568/getInfo.php?workbook=16_08.xlsx&amp;sheet=U0&amp;row=1768&amp;col=6&amp;number=3.4&amp;sourceID=14","3.4")</f>
        <v>3.4</v>
      </c>
      <c r="G1768" s="4" t="str">
        <f>HYPERLINK("http://141.218.60.56/~jnz1568/getInfo.php?workbook=16_08.xlsx&amp;sheet=U0&amp;row=1768&amp;col=7&amp;number=0.37&amp;sourceID=14","0.37")</f>
        <v>0.37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HYPERLINK("http://141.218.60.56/~jnz1568/getInfo.php?workbook=16_08.xlsx&amp;sheet=U0&amp;row=1769&amp;col=6&amp;number=3.5&amp;sourceID=14","3.5")</f>
        <v>3.5</v>
      </c>
      <c r="G1769" s="4" t="str">
        <f>HYPERLINK("http://141.218.60.56/~jnz1568/getInfo.php?workbook=16_08.xlsx&amp;sheet=U0&amp;row=1769&amp;col=7&amp;number=0.37&amp;sourceID=14","0.37")</f>
        <v>0.37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HYPERLINK("http://141.218.60.56/~jnz1568/getInfo.php?workbook=16_08.xlsx&amp;sheet=U0&amp;row=1770&amp;col=6&amp;number=3.6&amp;sourceID=14","3.6")</f>
        <v>3.6</v>
      </c>
      <c r="G1770" s="4" t="str">
        <f>HYPERLINK("http://141.218.60.56/~jnz1568/getInfo.php?workbook=16_08.xlsx&amp;sheet=U0&amp;row=1770&amp;col=7&amp;number=0.371&amp;sourceID=14","0.371")</f>
        <v>0.371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HYPERLINK("http://141.218.60.56/~jnz1568/getInfo.php?workbook=16_08.xlsx&amp;sheet=U0&amp;row=1771&amp;col=6&amp;number=3.7&amp;sourceID=14","3.7")</f>
        <v>3.7</v>
      </c>
      <c r="G1771" s="4" t="str">
        <f>HYPERLINK("http://141.218.60.56/~jnz1568/getInfo.php?workbook=16_08.xlsx&amp;sheet=U0&amp;row=1771&amp;col=7&amp;number=0.371&amp;sourceID=14","0.371")</f>
        <v>0.371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HYPERLINK("http://141.218.60.56/~jnz1568/getInfo.php?workbook=16_08.xlsx&amp;sheet=U0&amp;row=1772&amp;col=6&amp;number=3.8&amp;sourceID=14","3.8")</f>
        <v>3.8</v>
      </c>
      <c r="G1772" s="4" t="str">
        <f>HYPERLINK("http://141.218.60.56/~jnz1568/getInfo.php?workbook=16_08.xlsx&amp;sheet=U0&amp;row=1772&amp;col=7&amp;number=0.371&amp;sourceID=14","0.371")</f>
        <v>0.371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HYPERLINK("http://141.218.60.56/~jnz1568/getInfo.php?workbook=16_08.xlsx&amp;sheet=U0&amp;row=1773&amp;col=6&amp;number=3.9&amp;sourceID=14","3.9")</f>
        <v>3.9</v>
      </c>
      <c r="G1773" s="4" t="str">
        <f>HYPERLINK("http://141.218.60.56/~jnz1568/getInfo.php?workbook=16_08.xlsx&amp;sheet=U0&amp;row=1773&amp;col=7&amp;number=0.371&amp;sourceID=14","0.371")</f>
        <v>0.371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HYPERLINK("http://141.218.60.56/~jnz1568/getInfo.php?workbook=16_08.xlsx&amp;sheet=U0&amp;row=1774&amp;col=6&amp;number=4&amp;sourceID=14","4")</f>
        <v>4</v>
      </c>
      <c r="G1774" s="4" t="str">
        <f>HYPERLINK("http://141.218.60.56/~jnz1568/getInfo.php?workbook=16_08.xlsx&amp;sheet=U0&amp;row=1774&amp;col=7&amp;number=0.371&amp;sourceID=14","0.371")</f>
        <v>0.371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HYPERLINK("http://141.218.60.56/~jnz1568/getInfo.php?workbook=16_08.xlsx&amp;sheet=U0&amp;row=1775&amp;col=6&amp;number=4.1&amp;sourceID=14","4.1")</f>
        <v>4.1</v>
      </c>
      <c r="G1775" s="4" t="str">
        <f>HYPERLINK("http://141.218.60.56/~jnz1568/getInfo.php?workbook=16_08.xlsx&amp;sheet=U0&amp;row=1775&amp;col=7&amp;number=0.372&amp;sourceID=14","0.372")</f>
        <v>0.372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HYPERLINK("http://141.218.60.56/~jnz1568/getInfo.php?workbook=16_08.xlsx&amp;sheet=U0&amp;row=1776&amp;col=6&amp;number=4.2&amp;sourceID=14","4.2")</f>
        <v>4.2</v>
      </c>
      <c r="G1776" s="4" t="str">
        <f>HYPERLINK("http://141.218.60.56/~jnz1568/getInfo.php?workbook=16_08.xlsx&amp;sheet=U0&amp;row=1776&amp;col=7&amp;number=0.372&amp;sourceID=14","0.372")</f>
        <v>0.372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HYPERLINK("http://141.218.60.56/~jnz1568/getInfo.php?workbook=16_08.xlsx&amp;sheet=U0&amp;row=1777&amp;col=6&amp;number=4.3&amp;sourceID=14","4.3")</f>
        <v>4.3</v>
      </c>
      <c r="G1777" s="4" t="str">
        <f>HYPERLINK("http://141.218.60.56/~jnz1568/getInfo.php?workbook=16_08.xlsx&amp;sheet=U0&amp;row=1777&amp;col=7&amp;number=0.373&amp;sourceID=14","0.373")</f>
        <v>0.373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HYPERLINK("http://141.218.60.56/~jnz1568/getInfo.php?workbook=16_08.xlsx&amp;sheet=U0&amp;row=1778&amp;col=6&amp;number=4.4&amp;sourceID=14","4.4")</f>
        <v>4.4</v>
      </c>
      <c r="G1778" s="4" t="str">
        <f>HYPERLINK("http://141.218.60.56/~jnz1568/getInfo.php?workbook=16_08.xlsx&amp;sheet=U0&amp;row=1778&amp;col=7&amp;number=0.374&amp;sourceID=14","0.374")</f>
        <v>0.374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HYPERLINK("http://141.218.60.56/~jnz1568/getInfo.php?workbook=16_08.xlsx&amp;sheet=U0&amp;row=1779&amp;col=6&amp;number=4.5&amp;sourceID=14","4.5")</f>
        <v>4.5</v>
      </c>
      <c r="G1779" s="4" t="str">
        <f>HYPERLINK("http://141.218.60.56/~jnz1568/getInfo.php?workbook=16_08.xlsx&amp;sheet=U0&amp;row=1779&amp;col=7&amp;number=0.375&amp;sourceID=14","0.375")</f>
        <v>0.375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HYPERLINK("http://141.218.60.56/~jnz1568/getInfo.php?workbook=16_08.xlsx&amp;sheet=U0&amp;row=1780&amp;col=6&amp;number=4.6&amp;sourceID=14","4.6")</f>
        <v>4.6</v>
      </c>
      <c r="G1780" s="4" t="str">
        <f>HYPERLINK("http://141.218.60.56/~jnz1568/getInfo.php?workbook=16_08.xlsx&amp;sheet=U0&amp;row=1780&amp;col=7&amp;number=0.376&amp;sourceID=14","0.376")</f>
        <v>0.376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HYPERLINK("http://141.218.60.56/~jnz1568/getInfo.php?workbook=16_08.xlsx&amp;sheet=U0&amp;row=1781&amp;col=6&amp;number=4.7&amp;sourceID=14","4.7")</f>
        <v>4.7</v>
      </c>
      <c r="G1781" s="4" t="str">
        <f>HYPERLINK("http://141.218.60.56/~jnz1568/getInfo.php?workbook=16_08.xlsx&amp;sheet=U0&amp;row=1781&amp;col=7&amp;number=0.377&amp;sourceID=14","0.377")</f>
        <v>0.377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HYPERLINK("http://141.218.60.56/~jnz1568/getInfo.php?workbook=16_08.xlsx&amp;sheet=U0&amp;row=1782&amp;col=6&amp;number=4.8&amp;sourceID=14","4.8")</f>
        <v>4.8</v>
      </c>
      <c r="G1782" s="4" t="str">
        <f>HYPERLINK("http://141.218.60.56/~jnz1568/getInfo.php?workbook=16_08.xlsx&amp;sheet=U0&amp;row=1782&amp;col=7&amp;number=0.379&amp;sourceID=14","0.379")</f>
        <v>0.379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HYPERLINK("http://141.218.60.56/~jnz1568/getInfo.php?workbook=16_08.xlsx&amp;sheet=U0&amp;row=1783&amp;col=6&amp;number=4.9&amp;sourceID=14","4.9")</f>
        <v>4.9</v>
      </c>
      <c r="G1783" s="4" t="str">
        <f>HYPERLINK("http://141.218.60.56/~jnz1568/getInfo.php?workbook=16_08.xlsx&amp;sheet=U0&amp;row=1783&amp;col=7&amp;number=0.381&amp;sourceID=14","0.381")</f>
        <v>0.381</v>
      </c>
    </row>
    <row r="1784" spans="1:7">
      <c r="A1784" s="3">
        <v>16</v>
      </c>
      <c r="B1784" s="3">
        <v>8</v>
      </c>
      <c r="C1784" s="3">
        <v>2</v>
      </c>
      <c r="D1784" s="3">
        <v>7</v>
      </c>
      <c r="E1784" s="3">
        <v>1</v>
      </c>
      <c r="F1784" s="4" t="str">
        <f>HYPERLINK("http://141.218.60.56/~jnz1568/getInfo.php?workbook=16_08.xlsx&amp;sheet=U0&amp;row=1784&amp;col=6&amp;number=3&amp;sourceID=14","3")</f>
        <v>3</v>
      </c>
      <c r="G1784" s="4" t="str">
        <f>HYPERLINK("http://141.218.60.56/~jnz1568/getInfo.php?workbook=16_08.xlsx&amp;sheet=U0&amp;row=1784&amp;col=7&amp;number=0.231&amp;sourceID=14","0.231")</f>
        <v>0.231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HYPERLINK("http://141.218.60.56/~jnz1568/getInfo.php?workbook=16_08.xlsx&amp;sheet=U0&amp;row=1785&amp;col=6&amp;number=3.1&amp;sourceID=14","3.1")</f>
        <v>3.1</v>
      </c>
      <c r="G1785" s="4" t="str">
        <f>HYPERLINK("http://141.218.60.56/~jnz1568/getInfo.php?workbook=16_08.xlsx&amp;sheet=U0&amp;row=1785&amp;col=7&amp;number=0.231&amp;sourceID=14","0.231")</f>
        <v>0.231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HYPERLINK("http://141.218.60.56/~jnz1568/getInfo.php?workbook=16_08.xlsx&amp;sheet=U0&amp;row=1786&amp;col=6&amp;number=3.2&amp;sourceID=14","3.2")</f>
        <v>3.2</v>
      </c>
      <c r="G1786" s="4" t="str">
        <f>HYPERLINK("http://141.218.60.56/~jnz1568/getInfo.php?workbook=16_08.xlsx&amp;sheet=U0&amp;row=1786&amp;col=7&amp;number=0.231&amp;sourceID=14","0.231")</f>
        <v>0.231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HYPERLINK("http://141.218.60.56/~jnz1568/getInfo.php?workbook=16_08.xlsx&amp;sheet=U0&amp;row=1787&amp;col=6&amp;number=3.3&amp;sourceID=14","3.3")</f>
        <v>3.3</v>
      </c>
      <c r="G1787" s="4" t="str">
        <f>HYPERLINK("http://141.218.60.56/~jnz1568/getInfo.php?workbook=16_08.xlsx&amp;sheet=U0&amp;row=1787&amp;col=7&amp;number=0.231&amp;sourceID=14","0.231")</f>
        <v>0.231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HYPERLINK("http://141.218.60.56/~jnz1568/getInfo.php?workbook=16_08.xlsx&amp;sheet=U0&amp;row=1788&amp;col=6&amp;number=3.4&amp;sourceID=14","3.4")</f>
        <v>3.4</v>
      </c>
      <c r="G1788" s="4" t="str">
        <f>HYPERLINK("http://141.218.60.56/~jnz1568/getInfo.php?workbook=16_08.xlsx&amp;sheet=U0&amp;row=1788&amp;col=7&amp;number=0.231&amp;sourceID=14","0.231")</f>
        <v>0.231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HYPERLINK("http://141.218.60.56/~jnz1568/getInfo.php?workbook=16_08.xlsx&amp;sheet=U0&amp;row=1789&amp;col=6&amp;number=3.5&amp;sourceID=14","3.5")</f>
        <v>3.5</v>
      </c>
      <c r="G1789" s="4" t="str">
        <f>HYPERLINK("http://141.218.60.56/~jnz1568/getInfo.php?workbook=16_08.xlsx&amp;sheet=U0&amp;row=1789&amp;col=7&amp;number=0.231&amp;sourceID=14","0.231")</f>
        <v>0.231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HYPERLINK("http://141.218.60.56/~jnz1568/getInfo.php?workbook=16_08.xlsx&amp;sheet=U0&amp;row=1790&amp;col=6&amp;number=3.6&amp;sourceID=14","3.6")</f>
        <v>3.6</v>
      </c>
      <c r="G1790" s="4" t="str">
        <f>HYPERLINK("http://141.218.60.56/~jnz1568/getInfo.php?workbook=16_08.xlsx&amp;sheet=U0&amp;row=1790&amp;col=7&amp;number=0.231&amp;sourceID=14","0.231")</f>
        <v>0.231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HYPERLINK("http://141.218.60.56/~jnz1568/getInfo.php?workbook=16_08.xlsx&amp;sheet=U0&amp;row=1791&amp;col=6&amp;number=3.7&amp;sourceID=14","3.7")</f>
        <v>3.7</v>
      </c>
      <c r="G1791" s="4" t="str">
        <f>HYPERLINK("http://141.218.60.56/~jnz1568/getInfo.php?workbook=16_08.xlsx&amp;sheet=U0&amp;row=1791&amp;col=7&amp;number=0.231&amp;sourceID=14","0.231")</f>
        <v>0.231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HYPERLINK("http://141.218.60.56/~jnz1568/getInfo.php?workbook=16_08.xlsx&amp;sheet=U0&amp;row=1792&amp;col=6&amp;number=3.8&amp;sourceID=14","3.8")</f>
        <v>3.8</v>
      </c>
      <c r="G1792" s="4" t="str">
        <f>HYPERLINK("http://141.218.60.56/~jnz1568/getInfo.php?workbook=16_08.xlsx&amp;sheet=U0&amp;row=1792&amp;col=7&amp;number=0.231&amp;sourceID=14","0.231")</f>
        <v>0.231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HYPERLINK("http://141.218.60.56/~jnz1568/getInfo.php?workbook=16_08.xlsx&amp;sheet=U0&amp;row=1793&amp;col=6&amp;number=3.9&amp;sourceID=14","3.9")</f>
        <v>3.9</v>
      </c>
      <c r="G1793" s="4" t="str">
        <f>HYPERLINK("http://141.218.60.56/~jnz1568/getInfo.php?workbook=16_08.xlsx&amp;sheet=U0&amp;row=1793&amp;col=7&amp;number=0.231&amp;sourceID=14","0.231")</f>
        <v>0.231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HYPERLINK("http://141.218.60.56/~jnz1568/getInfo.php?workbook=16_08.xlsx&amp;sheet=U0&amp;row=1794&amp;col=6&amp;number=4&amp;sourceID=14","4")</f>
        <v>4</v>
      </c>
      <c r="G1794" s="4" t="str">
        <f>HYPERLINK("http://141.218.60.56/~jnz1568/getInfo.php?workbook=16_08.xlsx&amp;sheet=U0&amp;row=1794&amp;col=7&amp;number=0.232&amp;sourceID=14","0.232")</f>
        <v>0.232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HYPERLINK("http://141.218.60.56/~jnz1568/getInfo.php?workbook=16_08.xlsx&amp;sheet=U0&amp;row=1795&amp;col=6&amp;number=4.1&amp;sourceID=14","4.1")</f>
        <v>4.1</v>
      </c>
      <c r="G1795" s="4" t="str">
        <f>HYPERLINK("http://141.218.60.56/~jnz1568/getInfo.php?workbook=16_08.xlsx&amp;sheet=U0&amp;row=1795&amp;col=7&amp;number=0.232&amp;sourceID=14","0.232")</f>
        <v>0.232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HYPERLINK("http://141.218.60.56/~jnz1568/getInfo.php?workbook=16_08.xlsx&amp;sheet=U0&amp;row=1796&amp;col=6&amp;number=4.2&amp;sourceID=14","4.2")</f>
        <v>4.2</v>
      </c>
      <c r="G1796" s="4" t="str">
        <f>HYPERLINK("http://141.218.60.56/~jnz1568/getInfo.php?workbook=16_08.xlsx&amp;sheet=U0&amp;row=1796&amp;col=7&amp;number=0.232&amp;sourceID=14","0.232")</f>
        <v>0.232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HYPERLINK("http://141.218.60.56/~jnz1568/getInfo.php?workbook=16_08.xlsx&amp;sheet=U0&amp;row=1797&amp;col=6&amp;number=4.3&amp;sourceID=14","4.3")</f>
        <v>4.3</v>
      </c>
      <c r="G1797" s="4" t="str">
        <f>HYPERLINK("http://141.218.60.56/~jnz1568/getInfo.php?workbook=16_08.xlsx&amp;sheet=U0&amp;row=1797&amp;col=7&amp;number=0.232&amp;sourceID=14","0.232")</f>
        <v>0.232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HYPERLINK("http://141.218.60.56/~jnz1568/getInfo.php?workbook=16_08.xlsx&amp;sheet=U0&amp;row=1798&amp;col=6&amp;number=4.4&amp;sourceID=14","4.4")</f>
        <v>4.4</v>
      </c>
      <c r="G1798" s="4" t="str">
        <f>HYPERLINK("http://141.218.60.56/~jnz1568/getInfo.php?workbook=16_08.xlsx&amp;sheet=U0&amp;row=1798&amp;col=7&amp;number=0.233&amp;sourceID=14","0.233")</f>
        <v>0.233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HYPERLINK("http://141.218.60.56/~jnz1568/getInfo.php?workbook=16_08.xlsx&amp;sheet=U0&amp;row=1799&amp;col=6&amp;number=4.5&amp;sourceID=14","4.5")</f>
        <v>4.5</v>
      </c>
      <c r="G1799" s="4" t="str">
        <f>HYPERLINK("http://141.218.60.56/~jnz1568/getInfo.php?workbook=16_08.xlsx&amp;sheet=U0&amp;row=1799&amp;col=7&amp;number=0.233&amp;sourceID=14","0.233")</f>
        <v>0.233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HYPERLINK("http://141.218.60.56/~jnz1568/getInfo.php?workbook=16_08.xlsx&amp;sheet=U0&amp;row=1800&amp;col=6&amp;number=4.6&amp;sourceID=14","4.6")</f>
        <v>4.6</v>
      </c>
      <c r="G1800" s="4" t="str">
        <f>HYPERLINK("http://141.218.60.56/~jnz1568/getInfo.php?workbook=16_08.xlsx&amp;sheet=U0&amp;row=1800&amp;col=7&amp;number=0.234&amp;sourceID=14","0.234")</f>
        <v>0.234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HYPERLINK("http://141.218.60.56/~jnz1568/getInfo.php?workbook=16_08.xlsx&amp;sheet=U0&amp;row=1801&amp;col=6&amp;number=4.7&amp;sourceID=14","4.7")</f>
        <v>4.7</v>
      </c>
      <c r="G1801" s="4" t="str">
        <f>HYPERLINK("http://141.218.60.56/~jnz1568/getInfo.php?workbook=16_08.xlsx&amp;sheet=U0&amp;row=1801&amp;col=7&amp;number=0.235&amp;sourceID=14","0.235")</f>
        <v>0.235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HYPERLINK("http://141.218.60.56/~jnz1568/getInfo.php?workbook=16_08.xlsx&amp;sheet=U0&amp;row=1802&amp;col=6&amp;number=4.8&amp;sourceID=14","4.8")</f>
        <v>4.8</v>
      </c>
      <c r="G1802" s="4" t="str">
        <f>HYPERLINK("http://141.218.60.56/~jnz1568/getInfo.php?workbook=16_08.xlsx&amp;sheet=U0&amp;row=1802&amp;col=7&amp;number=0.236&amp;sourceID=14","0.236")</f>
        <v>0.236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HYPERLINK("http://141.218.60.56/~jnz1568/getInfo.php?workbook=16_08.xlsx&amp;sheet=U0&amp;row=1803&amp;col=6&amp;number=4.9&amp;sourceID=14","4.9")</f>
        <v>4.9</v>
      </c>
      <c r="G1803" s="4" t="str">
        <f>HYPERLINK("http://141.218.60.56/~jnz1568/getInfo.php?workbook=16_08.xlsx&amp;sheet=U0&amp;row=1803&amp;col=7&amp;number=0.238&amp;sourceID=14","0.238")</f>
        <v>0.238</v>
      </c>
    </row>
    <row r="1804" spans="1:7">
      <c r="A1804" s="3">
        <v>16</v>
      </c>
      <c r="B1804" s="3">
        <v>8</v>
      </c>
      <c r="C1804" s="3">
        <v>2</v>
      </c>
      <c r="D1804" s="3">
        <v>8</v>
      </c>
      <c r="E1804" s="3">
        <v>1</v>
      </c>
      <c r="F1804" s="4" t="str">
        <f>HYPERLINK("http://141.218.60.56/~jnz1568/getInfo.php?workbook=16_08.xlsx&amp;sheet=U0&amp;row=1804&amp;col=6&amp;number=3&amp;sourceID=14","3")</f>
        <v>3</v>
      </c>
      <c r="G1804" s="4" t="str">
        <f>HYPERLINK("http://141.218.60.56/~jnz1568/getInfo.php?workbook=16_08.xlsx&amp;sheet=U0&amp;row=1804&amp;col=7&amp;number=0.294&amp;sourceID=14","0.294")</f>
        <v>0.294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HYPERLINK("http://141.218.60.56/~jnz1568/getInfo.php?workbook=16_08.xlsx&amp;sheet=U0&amp;row=1805&amp;col=6&amp;number=3.1&amp;sourceID=14","3.1")</f>
        <v>3.1</v>
      </c>
      <c r="G1805" s="4" t="str">
        <f>HYPERLINK("http://141.218.60.56/~jnz1568/getInfo.php?workbook=16_08.xlsx&amp;sheet=U0&amp;row=1805&amp;col=7&amp;number=0.294&amp;sourceID=14","0.294")</f>
        <v>0.294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HYPERLINK("http://141.218.60.56/~jnz1568/getInfo.php?workbook=16_08.xlsx&amp;sheet=U0&amp;row=1806&amp;col=6&amp;number=3.2&amp;sourceID=14","3.2")</f>
        <v>3.2</v>
      </c>
      <c r="G1806" s="4" t="str">
        <f>HYPERLINK("http://141.218.60.56/~jnz1568/getInfo.php?workbook=16_08.xlsx&amp;sheet=U0&amp;row=1806&amp;col=7&amp;number=0.294&amp;sourceID=14","0.294")</f>
        <v>0.294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HYPERLINK("http://141.218.60.56/~jnz1568/getInfo.php?workbook=16_08.xlsx&amp;sheet=U0&amp;row=1807&amp;col=6&amp;number=3.3&amp;sourceID=14","3.3")</f>
        <v>3.3</v>
      </c>
      <c r="G1807" s="4" t="str">
        <f>HYPERLINK("http://141.218.60.56/~jnz1568/getInfo.php?workbook=16_08.xlsx&amp;sheet=U0&amp;row=1807&amp;col=7&amp;number=0.294&amp;sourceID=14","0.294")</f>
        <v>0.294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HYPERLINK("http://141.218.60.56/~jnz1568/getInfo.php?workbook=16_08.xlsx&amp;sheet=U0&amp;row=1808&amp;col=6&amp;number=3.4&amp;sourceID=14","3.4")</f>
        <v>3.4</v>
      </c>
      <c r="G1808" s="4" t="str">
        <f>HYPERLINK("http://141.218.60.56/~jnz1568/getInfo.php?workbook=16_08.xlsx&amp;sheet=U0&amp;row=1808&amp;col=7&amp;number=0.294&amp;sourceID=14","0.294")</f>
        <v>0.294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HYPERLINK("http://141.218.60.56/~jnz1568/getInfo.php?workbook=16_08.xlsx&amp;sheet=U0&amp;row=1809&amp;col=6&amp;number=3.5&amp;sourceID=14","3.5")</f>
        <v>3.5</v>
      </c>
      <c r="G1809" s="4" t="str">
        <f>HYPERLINK("http://141.218.60.56/~jnz1568/getInfo.php?workbook=16_08.xlsx&amp;sheet=U0&amp;row=1809&amp;col=7&amp;number=0.294&amp;sourceID=14","0.294")</f>
        <v>0.294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HYPERLINK("http://141.218.60.56/~jnz1568/getInfo.php?workbook=16_08.xlsx&amp;sheet=U0&amp;row=1810&amp;col=6&amp;number=3.6&amp;sourceID=14","3.6")</f>
        <v>3.6</v>
      </c>
      <c r="G1810" s="4" t="str">
        <f>HYPERLINK("http://141.218.60.56/~jnz1568/getInfo.php?workbook=16_08.xlsx&amp;sheet=U0&amp;row=1810&amp;col=7&amp;number=0.294&amp;sourceID=14","0.294")</f>
        <v>0.294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HYPERLINK("http://141.218.60.56/~jnz1568/getInfo.php?workbook=16_08.xlsx&amp;sheet=U0&amp;row=1811&amp;col=6&amp;number=3.7&amp;sourceID=14","3.7")</f>
        <v>3.7</v>
      </c>
      <c r="G1811" s="4" t="str">
        <f>HYPERLINK("http://141.218.60.56/~jnz1568/getInfo.php?workbook=16_08.xlsx&amp;sheet=U0&amp;row=1811&amp;col=7&amp;number=0.294&amp;sourceID=14","0.294")</f>
        <v>0.294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HYPERLINK("http://141.218.60.56/~jnz1568/getInfo.php?workbook=16_08.xlsx&amp;sheet=U0&amp;row=1812&amp;col=6&amp;number=3.8&amp;sourceID=14","3.8")</f>
        <v>3.8</v>
      </c>
      <c r="G1812" s="4" t="str">
        <f>HYPERLINK("http://141.218.60.56/~jnz1568/getInfo.php?workbook=16_08.xlsx&amp;sheet=U0&amp;row=1812&amp;col=7&amp;number=0.294&amp;sourceID=14","0.294")</f>
        <v>0.294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HYPERLINK("http://141.218.60.56/~jnz1568/getInfo.php?workbook=16_08.xlsx&amp;sheet=U0&amp;row=1813&amp;col=6&amp;number=3.9&amp;sourceID=14","3.9")</f>
        <v>3.9</v>
      </c>
      <c r="G1813" s="4" t="str">
        <f>HYPERLINK("http://141.218.60.56/~jnz1568/getInfo.php?workbook=16_08.xlsx&amp;sheet=U0&amp;row=1813&amp;col=7&amp;number=0.295&amp;sourceID=14","0.295")</f>
        <v>0.295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HYPERLINK("http://141.218.60.56/~jnz1568/getInfo.php?workbook=16_08.xlsx&amp;sheet=U0&amp;row=1814&amp;col=6&amp;number=4&amp;sourceID=14","4")</f>
        <v>4</v>
      </c>
      <c r="G1814" s="4" t="str">
        <f>HYPERLINK("http://141.218.60.56/~jnz1568/getInfo.php?workbook=16_08.xlsx&amp;sheet=U0&amp;row=1814&amp;col=7&amp;number=0.295&amp;sourceID=14","0.295")</f>
        <v>0.295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HYPERLINK("http://141.218.60.56/~jnz1568/getInfo.php?workbook=16_08.xlsx&amp;sheet=U0&amp;row=1815&amp;col=6&amp;number=4.1&amp;sourceID=14","4.1")</f>
        <v>4.1</v>
      </c>
      <c r="G1815" s="4" t="str">
        <f>HYPERLINK("http://141.218.60.56/~jnz1568/getInfo.php?workbook=16_08.xlsx&amp;sheet=U0&amp;row=1815&amp;col=7&amp;number=0.295&amp;sourceID=14","0.295")</f>
        <v>0.295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HYPERLINK("http://141.218.60.56/~jnz1568/getInfo.php?workbook=16_08.xlsx&amp;sheet=U0&amp;row=1816&amp;col=6&amp;number=4.2&amp;sourceID=14","4.2")</f>
        <v>4.2</v>
      </c>
      <c r="G1816" s="4" t="str">
        <f>HYPERLINK("http://141.218.60.56/~jnz1568/getInfo.php?workbook=16_08.xlsx&amp;sheet=U0&amp;row=1816&amp;col=7&amp;number=0.296&amp;sourceID=14","0.296")</f>
        <v>0.296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HYPERLINK("http://141.218.60.56/~jnz1568/getInfo.php?workbook=16_08.xlsx&amp;sheet=U0&amp;row=1817&amp;col=6&amp;number=4.3&amp;sourceID=14","4.3")</f>
        <v>4.3</v>
      </c>
      <c r="G1817" s="4" t="str">
        <f>HYPERLINK("http://141.218.60.56/~jnz1568/getInfo.php?workbook=16_08.xlsx&amp;sheet=U0&amp;row=1817&amp;col=7&amp;number=0.296&amp;sourceID=14","0.296")</f>
        <v>0.296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HYPERLINK("http://141.218.60.56/~jnz1568/getInfo.php?workbook=16_08.xlsx&amp;sheet=U0&amp;row=1818&amp;col=6&amp;number=4.4&amp;sourceID=14","4.4")</f>
        <v>4.4</v>
      </c>
      <c r="G1818" s="4" t="str">
        <f>HYPERLINK("http://141.218.60.56/~jnz1568/getInfo.php?workbook=16_08.xlsx&amp;sheet=U0&amp;row=1818&amp;col=7&amp;number=0.297&amp;sourceID=14","0.297")</f>
        <v>0.297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HYPERLINK("http://141.218.60.56/~jnz1568/getInfo.php?workbook=16_08.xlsx&amp;sheet=U0&amp;row=1819&amp;col=6&amp;number=4.5&amp;sourceID=14","4.5")</f>
        <v>4.5</v>
      </c>
      <c r="G1819" s="4" t="str">
        <f>HYPERLINK("http://141.218.60.56/~jnz1568/getInfo.php?workbook=16_08.xlsx&amp;sheet=U0&amp;row=1819&amp;col=7&amp;number=0.297&amp;sourceID=14","0.297")</f>
        <v>0.297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HYPERLINK("http://141.218.60.56/~jnz1568/getInfo.php?workbook=16_08.xlsx&amp;sheet=U0&amp;row=1820&amp;col=6&amp;number=4.6&amp;sourceID=14","4.6")</f>
        <v>4.6</v>
      </c>
      <c r="G1820" s="4" t="str">
        <f>HYPERLINK("http://141.218.60.56/~jnz1568/getInfo.php?workbook=16_08.xlsx&amp;sheet=U0&amp;row=1820&amp;col=7&amp;number=0.298&amp;sourceID=14","0.298")</f>
        <v>0.298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HYPERLINK("http://141.218.60.56/~jnz1568/getInfo.php?workbook=16_08.xlsx&amp;sheet=U0&amp;row=1821&amp;col=6&amp;number=4.7&amp;sourceID=14","4.7")</f>
        <v>4.7</v>
      </c>
      <c r="G1821" s="4" t="str">
        <f>HYPERLINK("http://141.218.60.56/~jnz1568/getInfo.php?workbook=16_08.xlsx&amp;sheet=U0&amp;row=1821&amp;col=7&amp;number=0.299&amp;sourceID=14","0.299")</f>
        <v>0.299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HYPERLINK("http://141.218.60.56/~jnz1568/getInfo.php?workbook=16_08.xlsx&amp;sheet=U0&amp;row=1822&amp;col=6&amp;number=4.8&amp;sourceID=14","4.8")</f>
        <v>4.8</v>
      </c>
      <c r="G1822" s="4" t="str">
        <f>HYPERLINK("http://141.218.60.56/~jnz1568/getInfo.php?workbook=16_08.xlsx&amp;sheet=U0&amp;row=1822&amp;col=7&amp;number=0.301&amp;sourceID=14","0.301")</f>
        <v>0.301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HYPERLINK("http://141.218.60.56/~jnz1568/getInfo.php?workbook=16_08.xlsx&amp;sheet=U0&amp;row=1823&amp;col=6&amp;number=4.9&amp;sourceID=14","4.9")</f>
        <v>4.9</v>
      </c>
      <c r="G1823" s="4" t="str">
        <f>HYPERLINK("http://141.218.60.56/~jnz1568/getInfo.php?workbook=16_08.xlsx&amp;sheet=U0&amp;row=1823&amp;col=7&amp;number=0.303&amp;sourceID=14","0.303")</f>
        <v>0.303</v>
      </c>
    </row>
    <row r="1824" spans="1:7">
      <c r="A1824" s="3">
        <v>16</v>
      </c>
      <c r="B1824" s="3">
        <v>8</v>
      </c>
      <c r="C1824" s="3">
        <v>2</v>
      </c>
      <c r="D1824" s="3">
        <v>9</v>
      </c>
      <c r="E1824" s="3">
        <v>1</v>
      </c>
      <c r="F1824" s="4" t="str">
        <f>HYPERLINK("http://141.218.60.56/~jnz1568/getInfo.php?workbook=16_08.xlsx&amp;sheet=U0&amp;row=1824&amp;col=6&amp;number=3&amp;sourceID=14","3")</f>
        <v>3</v>
      </c>
      <c r="G1824" s="4" t="str">
        <f>HYPERLINK("http://141.218.60.56/~jnz1568/getInfo.php?workbook=16_08.xlsx&amp;sheet=U0&amp;row=1824&amp;col=7&amp;number=0.0182&amp;sourceID=14","0.0182")</f>
        <v>0.0182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HYPERLINK("http://141.218.60.56/~jnz1568/getInfo.php?workbook=16_08.xlsx&amp;sheet=U0&amp;row=1825&amp;col=6&amp;number=3.1&amp;sourceID=14","3.1")</f>
        <v>3.1</v>
      </c>
      <c r="G1825" s="4" t="str">
        <f>HYPERLINK("http://141.218.60.56/~jnz1568/getInfo.php?workbook=16_08.xlsx&amp;sheet=U0&amp;row=1825&amp;col=7&amp;number=0.0182&amp;sourceID=14","0.0182")</f>
        <v>0.0182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HYPERLINK("http://141.218.60.56/~jnz1568/getInfo.php?workbook=16_08.xlsx&amp;sheet=U0&amp;row=1826&amp;col=6&amp;number=3.2&amp;sourceID=14","3.2")</f>
        <v>3.2</v>
      </c>
      <c r="G1826" s="4" t="str">
        <f>HYPERLINK("http://141.218.60.56/~jnz1568/getInfo.php?workbook=16_08.xlsx&amp;sheet=U0&amp;row=1826&amp;col=7&amp;number=0.0182&amp;sourceID=14","0.0182")</f>
        <v>0.0182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HYPERLINK("http://141.218.60.56/~jnz1568/getInfo.php?workbook=16_08.xlsx&amp;sheet=U0&amp;row=1827&amp;col=6&amp;number=3.3&amp;sourceID=14","3.3")</f>
        <v>3.3</v>
      </c>
      <c r="G1827" s="4" t="str">
        <f>HYPERLINK("http://141.218.60.56/~jnz1568/getInfo.php?workbook=16_08.xlsx&amp;sheet=U0&amp;row=1827&amp;col=7&amp;number=0.0182&amp;sourceID=14","0.0182")</f>
        <v>0.0182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HYPERLINK("http://141.218.60.56/~jnz1568/getInfo.php?workbook=16_08.xlsx&amp;sheet=U0&amp;row=1828&amp;col=6&amp;number=3.4&amp;sourceID=14","3.4")</f>
        <v>3.4</v>
      </c>
      <c r="G1828" s="4" t="str">
        <f>HYPERLINK("http://141.218.60.56/~jnz1568/getInfo.php?workbook=16_08.xlsx&amp;sheet=U0&amp;row=1828&amp;col=7&amp;number=0.0182&amp;sourceID=14","0.0182")</f>
        <v>0.0182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HYPERLINK("http://141.218.60.56/~jnz1568/getInfo.php?workbook=16_08.xlsx&amp;sheet=U0&amp;row=1829&amp;col=6&amp;number=3.5&amp;sourceID=14","3.5")</f>
        <v>3.5</v>
      </c>
      <c r="G1829" s="4" t="str">
        <f>HYPERLINK("http://141.218.60.56/~jnz1568/getInfo.php?workbook=16_08.xlsx&amp;sheet=U0&amp;row=1829&amp;col=7&amp;number=0.0182&amp;sourceID=14","0.0182")</f>
        <v>0.0182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HYPERLINK("http://141.218.60.56/~jnz1568/getInfo.php?workbook=16_08.xlsx&amp;sheet=U0&amp;row=1830&amp;col=6&amp;number=3.6&amp;sourceID=14","3.6")</f>
        <v>3.6</v>
      </c>
      <c r="G1830" s="4" t="str">
        <f>HYPERLINK("http://141.218.60.56/~jnz1568/getInfo.php?workbook=16_08.xlsx&amp;sheet=U0&amp;row=1830&amp;col=7&amp;number=0.0182&amp;sourceID=14","0.0182")</f>
        <v>0.0182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HYPERLINK("http://141.218.60.56/~jnz1568/getInfo.php?workbook=16_08.xlsx&amp;sheet=U0&amp;row=1831&amp;col=6&amp;number=3.7&amp;sourceID=14","3.7")</f>
        <v>3.7</v>
      </c>
      <c r="G1831" s="4" t="str">
        <f>HYPERLINK("http://141.218.60.56/~jnz1568/getInfo.php?workbook=16_08.xlsx&amp;sheet=U0&amp;row=1831&amp;col=7&amp;number=0.0182&amp;sourceID=14","0.0182")</f>
        <v>0.0182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HYPERLINK("http://141.218.60.56/~jnz1568/getInfo.php?workbook=16_08.xlsx&amp;sheet=U0&amp;row=1832&amp;col=6&amp;number=3.8&amp;sourceID=14","3.8")</f>
        <v>3.8</v>
      </c>
      <c r="G1832" s="4" t="str">
        <f>HYPERLINK("http://141.218.60.56/~jnz1568/getInfo.php?workbook=16_08.xlsx&amp;sheet=U0&amp;row=1832&amp;col=7&amp;number=0.0182&amp;sourceID=14","0.0182")</f>
        <v>0.0182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HYPERLINK("http://141.218.60.56/~jnz1568/getInfo.php?workbook=16_08.xlsx&amp;sheet=U0&amp;row=1833&amp;col=6&amp;number=3.9&amp;sourceID=14","3.9")</f>
        <v>3.9</v>
      </c>
      <c r="G1833" s="4" t="str">
        <f>HYPERLINK("http://141.218.60.56/~jnz1568/getInfo.php?workbook=16_08.xlsx&amp;sheet=U0&amp;row=1833&amp;col=7&amp;number=0.0182&amp;sourceID=14","0.0182")</f>
        <v>0.0182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HYPERLINK("http://141.218.60.56/~jnz1568/getInfo.php?workbook=16_08.xlsx&amp;sheet=U0&amp;row=1834&amp;col=6&amp;number=4&amp;sourceID=14","4")</f>
        <v>4</v>
      </c>
      <c r="G1834" s="4" t="str">
        <f>HYPERLINK("http://141.218.60.56/~jnz1568/getInfo.php?workbook=16_08.xlsx&amp;sheet=U0&amp;row=1834&amp;col=7&amp;number=0.0182&amp;sourceID=14","0.0182")</f>
        <v>0.0182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HYPERLINK("http://141.218.60.56/~jnz1568/getInfo.php?workbook=16_08.xlsx&amp;sheet=U0&amp;row=1835&amp;col=6&amp;number=4.1&amp;sourceID=14","4.1")</f>
        <v>4.1</v>
      </c>
      <c r="G1835" s="4" t="str">
        <f>HYPERLINK("http://141.218.60.56/~jnz1568/getInfo.php?workbook=16_08.xlsx&amp;sheet=U0&amp;row=1835&amp;col=7&amp;number=0.0182&amp;sourceID=14","0.0182")</f>
        <v>0.0182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HYPERLINK("http://141.218.60.56/~jnz1568/getInfo.php?workbook=16_08.xlsx&amp;sheet=U0&amp;row=1836&amp;col=6&amp;number=4.2&amp;sourceID=14","4.2")</f>
        <v>4.2</v>
      </c>
      <c r="G1836" s="4" t="str">
        <f>HYPERLINK("http://141.218.60.56/~jnz1568/getInfo.php?workbook=16_08.xlsx&amp;sheet=U0&amp;row=1836&amp;col=7&amp;number=0.0182&amp;sourceID=14","0.0182")</f>
        <v>0.0182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HYPERLINK("http://141.218.60.56/~jnz1568/getInfo.php?workbook=16_08.xlsx&amp;sheet=U0&amp;row=1837&amp;col=6&amp;number=4.3&amp;sourceID=14","4.3")</f>
        <v>4.3</v>
      </c>
      <c r="G1837" s="4" t="str">
        <f>HYPERLINK("http://141.218.60.56/~jnz1568/getInfo.php?workbook=16_08.xlsx&amp;sheet=U0&amp;row=1837&amp;col=7&amp;number=0.0181&amp;sourceID=14","0.0181")</f>
        <v>0.0181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HYPERLINK("http://141.218.60.56/~jnz1568/getInfo.php?workbook=16_08.xlsx&amp;sheet=U0&amp;row=1838&amp;col=6&amp;number=4.4&amp;sourceID=14","4.4")</f>
        <v>4.4</v>
      </c>
      <c r="G1838" s="4" t="str">
        <f>HYPERLINK("http://141.218.60.56/~jnz1568/getInfo.php?workbook=16_08.xlsx&amp;sheet=U0&amp;row=1838&amp;col=7&amp;number=0.0181&amp;sourceID=14","0.0181")</f>
        <v>0.0181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HYPERLINK("http://141.218.60.56/~jnz1568/getInfo.php?workbook=16_08.xlsx&amp;sheet=U0&amp;row=1839&amp;col=6&amp;number=4.5&amp;sourceID=14","4.5")</f>
        <v>4.5</v>
      </c>
      <c r="G1839" s="4" t="str">
        <f>HYPERLINK("http://141.218.60.56/~jnz1568/getInfo.php?workbook=16_08.xlsx&amp;sheet=U0&amp;row=1839&amp;col=7&amp;number=0.0181&amp;sourceID=14","0.0181")</f>
        <v>0.0181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HYPERLINK("http://141.218.60.56/~jnz1568/getInfo.php?workbook=16_08.xlsx&amp;sheet=U0&amp;row=1840&amp;col=6&amp;number=4.6&amp;sourceID=14","4.6")</f>
        <v>4.6</v>
      </c>
      <c r="G1840" s="4" t="str">
        <f>HYPERLINK("http://141.218.60.56/~jnz1568/getInfo.php?workbook=16_08.xlsx&amp;sheet=U0&amp;row=1840&amp;col=7&amp;number=0.0181&amp;sourceID=14","0.0181")</f>
        <v>0.0181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HYPERLINK("http://141.218.60.56/~jnz1568/getInfo.php?workbook=16_08.xlsx&amp;sheet=U0&amp;row=1841&amp;col=6&amp;number=4.7&amp;sourceID=14","4.7")</f>
        <v>4.7</v>
      </c>
      <c r="G1841" s="4" t="str">
        <f>HYPERLINK("http://141.218.60.56/~jnz1568/getInfo.php?workbook=16_08.xlsx&amp;sheet=U0&amp;row=1841&amp;col=7&amp;number=0.0181&amp;sourceID=14","0.0181")</f>
        <v>0.0181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HYPERLINK("http://141.218.60.56/~jnz1568/getInfo.php?workbook=16_08.xlsx&amp;sheet=U0&amp;row=1842&amp;col=6&amp;number=4.8&amp;sourceID=14","4.8")</f>
        <v>4.8</v>
      </c>
      <c r="G1842" s="4" t="str">
        <f>HYPERLINK("http://141.218.60.56/~jnz1568/getInfo.php?workbook=16_08.xlsx&amp;sheet=U0&amp;row=1842&amp;col=7&amp;number=0.018&amp;sourceID=14","0.018")</f>
        <v>0.018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HYPERLINK("http://141.218.60.56/~jnz1568/getInfo.php?workbook=16_08.xlsx&amp;sheet=U0&amp;row=1843&amp;col=6&amp;number=4.9&amp;sourceID=14","4.9")</f>
        <v>4.9</v>
      </c>
      <c r="G1843" s="4" t="str">
        <f>HYPERLINK("http://141.218.60.56/~jnz1568/getInfo.php?workbook=16_08.xlsx&amp;sheet=U0&amp;row=1843&amp;col=7&amp;number=0.018&amp;sourceID=14","0.018")</f>
        <v>0.018</v>
      </c>
    </row>
    <row r="1844" spans="1:7">
      <c r="A1844" s="3">
        <v>16</v>
      </c>
      <c r="B1844" s="3">
        <v>8</v>
      </c>
      <c r="C1844" s="3">
        <v>2</v>
      </c>
      <c r="D1844" s="3">
        <v>10</v>
      </c>
      <c r="E1844" s="3">
        <v>1</v>
      </c>
      <c r="F1844" s="4" t="str">
        <f>HYPERLINK("http://141.218.60.56/~jnz1568/getInfo.php?workbook=16_08.xlsx&amp;sheet=U0&amp;row=1844&amp;col=6&amp;number=3&amp;sourceID=14","3")</f>
        <v>3</v>
      </c>
      <c r="G1844" s="4" t="str">
        <f>HYPERLINK("http://141.218.60.56/~jnz1568/getInfo.php?workbook=16_08.xlsx&amp;sheet=U0&amp;row=1844&amp;col=7&amp;number=0.000946&amp;sourceID=14","0.000946")</f>
        <v>0.000946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HYPERLINK("http://141.218.60.56/~jnz1568/getInfo.php?workbook=16_08.xlsx&amp;sheet=U0&amp;row=1845&amp;col=6&amp;number=3.1&amp;sourceID=14","3.1")</f>
        <v>3.1</v>
      </c>
      <c r="G1845" s="4" t="str">
        <f>HYPERLINK("http://141.218.60.56/~jnz1568/getInfo.php?workbook=16_08.xlsx&amp;sheet=U0&amp;row=1845&amp;col=7&amp;number=0.000946&amp;sourceID=14","0.000946")</f>
        <v>0.000946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HYPERLINK("http://141.218.60.56/~jnz1568/getInfo.php?workbook=16_08.xlsx&amp;sheet=U0&amp;row=1846&amp;col=6&amp;number=3.2&amp;sourceID=14","3.2")</f>
        <v>3.2</v>
      </c>
      <c r="G1846" s="4" t="str">
        <f>HYPERLINK("http://141.218.60.56/~jnz1568/getInfo.php?workbook=16_08.xlsx&amp;sheet=U0&amp;row=1846&amp;col=7&amp;number=0.000945&amp;sourceID=14","0.000945")</f>
        <v>0.000945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HYPERLINK("http://141.218.60.56/~jnz1568/getInfo.php?workbook=16_08.xlsx&amp;sheet=U0&amp;row=1847&amp;col=6&amp;number=3.3&amp;sourceID=14","3.3")</f>
        <v>3.3</v>
      </c>
      <c r="G1847" s="4" t="str">
        <f>HYPERLINK("http://141.218.60.56/~jnz1568/getInfo.php?workbook=16_08.xlsx&amp;sheet=U0&amp;row=1847&amp;col=7&amp;number=0.000945&amp;sourceID=14","0.000945")</f>
        <v>0.000945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HYPERLINK("http://141.218.60.56/~jnz1568/getInfo.php?workbook=16_08.xlsx&amp;sheet=U0&amp;row=1848&amp;col=6&amp;number=3.4&amp;sourceID=14","3.4")</f>
        <v>3.4</v>
      </c>
      <c r="G1848" s="4" t="str">
        <f>HYPERLINK("http://141.218.60.56/~jnz1568/getInfo.php?workbook=16_08.xlsx&amp;sheet=U0&amp;row=1848&amp;col=7&amp;number=0.000945&amp;sourceID=14","0.000945")</f>
        <v>0.000945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HYPERLINK("http://141.218.60.56/~jnz1568/getInfo.php?workbook=16_08.xlsx&amp;sheet=U0&amp;row=1849&amp;col=6&amp;number=3.5&amp;sourceID=14","3.5")</f>
        <v>3.5</v>
      </c>
      <c r="G1849" s="4" t="str">
        <f>HYPERLINK("http://141.218.60.56/~jnz1568/getInfo.php?workbook=16_08.xlsx&amp;sheet=U0&amp;row=1849&amp;col=7&amp;number=0.000944&amp;sourceID=14","0.000944")</f>
        <v>0.000944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HYPERLINK("http://141.218.60.56/~jnz1568/getInfo.php?workbook=16_08.xlsx&amp;sheet=U0&amp;row=1850&amp;col=6&amp;number=3.6&amp;sourceID=14","3.6")</f>
        <v>3.6</v>
      </c>
      <c r="G1850" s="4" t="str">
        <f>HYPERLINK("http://141.218.60.56/~jnz1568/getInfo.php?workbook=16_08.xlsx&amp;sheet=U0&amp;row=1850&amp;col=7&amp;number=0.000944&amp;sourceID=14","0.000944")</f>
        <v>0.000944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HYPERLINK("http://141.218.60.56/~jnz1568/getInfo.php?workbook=16_08.xlsx&amp;sheet=U0&amp;row=1851&amp;col=6&amp;number=3.7&amp;sourceID=14","3.7")</f>
        <v>3.7</v>
      </c>
      <c r="G1851" s="4" t="str">
        <f>HYPERLINK("http://141.218.60.56/~jnz1568/getInfo.php?workbook=16_08.xlsx&amp;sheet=U0&amp;row=1851&amp;col=7&amp;number=0.000943&amp;sourceID=14","0.000943")</f>
        <v>0.000943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HYPERLINK("http://141.218.60.56/~jnz1568/getInfo.php?workbook=16_08.xlsx&amp;sheet=U0&amp;row=1852&amp;col=6&amp;number=3.8&amp;sourceID=14","3.8")</f>
        <v>3.8</v>
      </c>
      <c r="G1852" s="4" t="str">
        <f>HYPERLINK("http://141.218.60.56/~jnz1568/getInfo.php?workbook=16_08.xlsx&amp;sheet=U0&amp;row=1852&amp;col=7&amp;number=0.000942&amp;sourceID=14","0.000942")</f>
        <v>0.000942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HYPERLINK("http://141.218.60.56/~jnz1568/getInfo.php?workbook=16_08.xlsx&amp;sheet=U0&amp;row=1853&amp;col=6&amp;number=3.9&amp;sourceID=14","3.9")</f>
        <v>3.9</v>
      </c>
      <c r="G1853" s="4" t="str">
        <f>HYPERLINK("http://141.218.60.56/~jnz1568/getInfo.php?workbook=16_08.xlsx&amp;sheet=U0&amp;row=1853&amp;col=7&amp;number=0.000941&amp;sourceID=14","0.000941")</f>
        <v>0.000941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HYPERLINK("http://141.218.60.56/~jnz1568/getInfo.php?workbook=16_08.xlsx&amp;sheet=U0&amp;row=1854&amp;col=6&amp;number=4&amp;sourceID=14","4")</f>
        <v>4</v>
      </c>
      <c r="G1854" s="4" t="str">
        <f>HYPERLINK("http://141.218.60.56/~jnz1568/getInfo.php?workbook=16_08.xlsx&amp;sheet=U0&amp;row=1854&amp;col=7&amp;number=0.00094&amp;sourceID=14","0.00094")</f>
        <v>0.00094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HYPERLINK("http://141.218.60.56/~jnz1568/getInfo.php?workbook=16_08.xlsx&amp;sheet=U0&amp;row=1855&amp;col=6&amp;number=4.1&amp;sourceID=14","4.1")</f>
        <v>4.1</v>
      </c>
      <c r="G1855" s="4" t="str">
        <f>HYPERLINK("http://141.218.60.56/~jnz1568/getInfo.php?workbook=16_08.xlsx&amp;sheet=U0&amp;row=1855&amp;col=7&amp;number=0.000938&amp;sourceID=14","0.000938")</f>
        <v>0.000938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HYPERLINK("http://141.218.60.56/~jnz1568/getInfo.php?workbook=16_08.xlsx&amp;sheet=U0&amp;row=1856&amp;col=6&amp;number=4.2&amp;sourceID=14","4.2")</f>
        <v>4.2</v>
      </c>
      <c r="G1856" s="4" t="str">
        <f>HYPERLINK("http://141.218.60.56/~jnz1568/getInfo.php?workbook=16_08.xlsx&amp;sheet=U0&amp;row=1856&amp;col=7&amp;number=0.000936&amp;sourceID=14","0.000936")</f>
        <v>0.000936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HYPERLINK("http://141.218.60.56/~jnz1568/getInfo.php?workbook=16_08.xlsx&amp;sheet=U0&amp;row=1857&amp;col=6&amp;number=4.3&amp;sourceID=14","4.3")</f>
        <v>4.3</v>
      </c>
      <c r="G1857" s="4" t="str">
        <f>HYPERLINK("http://141.218.60.56/~jnz1568/getInfo.php?workbook=16_08.xlsx&amp;sheet=U0&amp;row=1857&amp;col=7&amp;number=0.000933&amp;sourceID=14","0.000933")</f>
        <v>0.000933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HYPERLINK("http://141.218.60.56/~jnz1568/getInfo.php?workbook=16_08.xlsx&amp;sheet=U0&amp;row=1858&amp;col=6&amp;number=4.4&amp;sourceID=14","4.4")</f>
        <v>4.4</v>
      </c>
      <c r="G1858" s="4" t="str">
        <f>HYPERLINK("http://141.218.60.56/~jnz1568/getInfo.php?workbook=16_08.xlsx&amp;sheet=U0&amp;row=1858&amp;col=7&amp;number=0.00093&amp;sourceID=14","0.00093")</f>
        <v>0.00093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HYPERLINK("http://141.218.60.56/~jnz1568/getInfo.php?workbook=16_08.xlsx&amp;sheet=U0&amp;row=1859&amp;col=6&amp;number=4.5&amp;sourceID=14","4.5")</f>
        <v>4.5</v>
      </c>
      <c r="G1859" s="4" t="str">
        <f>HYPERLINK("http://141.218.60.56/~jnz1568/getInfo.php?workbook=16_08.xlsx&amp;sheet=U0&amp;row=1859&amp;col=7&amp;number=0.000926&amp;sourceID=14","0.000926")</f>
        <v>0.000926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HYPERLINK("http://141.218.60.56/~jnz1568/getInfo.php?workbook=16_08.xlsx&amp;sheet=U0&amp;row=1860&amp;col=6&amp;number=4.6&amp;sourceID=14","4.6")</f>
        <v>4.6</v>
      </c>
      <c r="G1860" s="4" t="str">
        <f>HYPERLINK("http://141.218.60.56/~jnz1568/getInfo.php?workbook=16_08.xlsx&amp;sheet=U0&amp;row=1860&amp;col=7&amp;number=0.000921&amp;sourceID=14","0.000921")</f>
        <v>0.000921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HYPERLINK("http://141.218.60.56/~jnz1568/getInfo.php?workbook=16_08.xlsx&amp;sheet=U0&amp;row=1861&amp;col=6&amp;number=4.7&amp;sourceID=14","4.7")</f>
        <v>4.7</v>
      </c>
      <c r="G1861" s="4" t="str">
        <f>HYPERLINK("http://141.218.60.56/~jnz1568/getInfo.php?workbook=16_08.xlsx&amp;sheet=U0&amp;row=1861&amp;col=7&amp;number=0.000915&amp;sourceID=14","0.000915")</f>
        <v>0.000915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HYPERLINK("http://141.218.60.56/~jnz1568/getInfo.php?workbook=16_08.xlsx&amp;sheet=U0&amp;row=1862&amp;col=6&amp;number=4.8&amp;sourceID=14","4.8")</f>
        <v>4.8</v>
      </c>
      <c r="G1862" s="4" t="str">
        <f>HYPERLINK("http://141.218.60.56/~jnz1568/getInfo.php?workbook=16_08.xlsx&amp;sheet=U0&amp;row=1862&amp;col=7&amp;number=0.000907&amp;sourceID=14","0.000907")</f>
        <v>0.000907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HYPERLINK("http://141.218.60.56/~jnz1568/getInfo.php?workbook=16_08.xlsx&amp;sheet=U0&amp;row=1863&amp;col=6&amp;number=4.9&amp;sourceID=14","4.9")</f>
        <v>4.9</v>
      </c>
      <c r="G1863" s="4" t="str">
        <f>HYPERLINK("http://141.218.60.56/~jnz1568/getInfo.php?workbook=16_08.xlsx&amp;sheet=U0&amp;row=1863&amp;col=7&amp;number=0.000897&amp;sourceID=14","0.000897")</f>
        <v>0.000897</v>
      </c>
    </row>
    <row r="1864" spans="1:7">
      <c r="A1864" s="3">
        <v>16</v>
      </c>
      <c r="B1864" s="3">
        <v>8</v>
      </c>
      <c r="C1864" s="3">
        <v>2</v>
      </c>
      <c r="D1864" s="3">
        <v>11</v>
      </c>
      <c r="E1864" s="3">
        <v>1</v>
      </c>
      <c r="F1864" s="4" t="str">
        <f>HYPERLINK("http://141.218.60.56/~jnz1568/getInfo.php?workbook=16_08.xlsx&amp;sheet=U0&amp;row=1864&amp;col=6&amp;number=3&amp;sourceID=14","3")</f>
        <v>3</v>
      </c>
      <c r="G1864" s="4" t="str">
        <f>HYPERLINK("http://141.218.60.56/~jnz1568/getInfo.php?workbook=16_08.xlsx&amp;sheet=U0&amp;row=1864&amp;col=7&amp;number=0.00691&amp;sourceID=14","0.00691")</f>
        <v>0.00691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HYPERLINK("http://141.218.60.56/~jnz1568/getInfo.php?workbook=16_08.xlsx&amp;sheet=U0&amp;row=1865&amp;col=6&amp;number=3.1&amp;sourceID=14","3.1")</f>
        <v>3.1</v>
      </c>
      <c r="G1865" s="4" t="str">
        <f>HYPERLINK("http://141.218.60.56/~jnz1568/getInfo.php?workbook=16_08.xlsx&amp;sheet=U0&amp;row=1865&amp;col=7&amp;number=0.00691&amp;sourceID=14","0.00691")</f>
        <v>0.00691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HYPERLINK("http://141.218.60.56/~jnz1568/getInfo.php?workbook=16_08.xlsx&amp;sheet=U0&amp;row=1866&amp;col=6&amp;number=3.2&amp;sourceID=14","3.2")</f>
        <v>3.2</v>
      </c>
      <c r="G1866" s="4" t="str">
        <f>HYPERLINK("http://141.218.60.56/~jnz1568/getInfo.php?workbook=16_08.xlsx&amp;sheet=U0&amp;row=1866&amp;col=7&amp;number=0.00691&amp;sourceID=14","0.00691")</f>
        <v>0.00691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HYPERLINK("http://141.218.60.56/~jnz1568/getInfo.php?workbook=16_08.xlsx&amp;sheet=U0&amp;row=1867&amp;col=6&amp;number=3.3&amp;sourceID=14","3.3")</f>
        <v>3.3</v>
      </c>
      <c r="G1867" s="4" t="str">
        <f>HYPERLINK("http://141.218.60.56/~jnz1568/getInfo.php?workbook=16_08.xlsx&amp;sheet=U0&amp;row=1867&amp;col=7&amp;number=0.00691&amp;sourceID=14","0.00691")</f>
        <v>0.00691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HYPERLINK("http://141.218.60.56/~jnz1568/getInfo.php?workbook=16_08.xlsx&amp;sheet=U0&amp;row=1868&amp;col=6&amp;number=3.4&amp;sourceID=14","3.4")</f>
        <v>3.4</v>
      </c>
      <c r="G1868" s="4" t="str">
        <f>HYPERLINK("http://141.218.60.56/~jnz1568/getInfo.php?workbook=16_08.xlsx&amp;sheet=U0&amp;row=1868&amp;col=7&amp;number=0.0069&amp;sourceID=14","0.0069")</f>
        <v>0.0069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HYPERLINK("http://141.218.60.56/~jnz1568/getInfo.php?workbook=16_08.xlsx&amp;sheet=U0&amp;row=1869&amp;col=6&amp;number=3.5&amp;sourceID=14","3.5")</f>
        <v>3.5</v>
      </c>
      <c r="G1869" s="4" t="str">
        <f>HYPERLINK("http://141.218.60.56/~jnz1568/getInfo.php?workbook=16_08.xlsx&amp;sheet=U0&amp;row=1869&amp;col=7&amp;number=0.0069&amp;sourceID=14","0.0069")</f>
        <v>0.0069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HYPERLINK("http://141.218.60.56/~jnz1568/getInfo.php?workbook=16_08.xlsx&amp;sheet=U0&amp;row=1870&amp;col=6&amp;number=3.6&amp;sourceID=14","3.6")</f>
        <v>3.6</v>
      </c>
      <c r="G1870" s="4" t="str">
        <f>HYPERLINK("http://141.218.60.56/~jnz1568/getInfo.php?workbook=16_08.xlsx&amp;sheet=U0&amp;row=1870&amp;col=7&amp;number=0.0069&amp;sourceID=14","0.0069")</f>
        <v>0.0069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HYPERLINK("http://141.218.60.56/~jnz1568/getInfo.php?workbook=16_08.xlsx&amp;sheet=U0&amp;row=1871&amp;col=6&amp;number=3.7&amp;sourceID=14","3.7")</f>
        <v>3.7</v>
      </c>
      <c r="G1871" s="4" t="str">
        <f>HYPERLINK("http://141.218.60.56/~jnz1568/getInfo.php?workbook=16_08.xlsx&amp;sheet=U0&amp;row=1871&amp;col=7&amp;number=0.0069&amp;sourceID=14","0.0069")</f>
        <v>0.0069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HYPERLINK("http://141.218.60.56/~jnz1568/getInfo.php?workbook=16_08.xlsx&amp;sheet=U0&amp;row=1872&amp;col=6&amp;number=3.8&amp;sourceID=14","3.8")</f>
        <v>3.8</v>
      </c>
      <c r="G1872" s="4" t="str">
        <f>HYPERLINK("http://141.218.60.56/~jnz1568/getInfo.php?workbook=16_08.xlsx&amp;sheet=U0&amp;row=1872&amp;col=7&amp;number=0.0069&amp;sourceID=14","0.0069")</f>
        <v>0.0069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HYPERLINK("http://141.218.60.56/~jnz1568/getInfo.php?workbook=16_08.xlsx&amp;sheet=U0&amp;row=1873&amp;col=6&amp;number=3.9&amp;sourceID=14","3.9")</f>
        <v>3.9</v>
      </c>
      <c r="G1873" s="4" t="str">
        <f>HYPERLINK("http://141.218.60.56/~jnz1568/getInfo.php?workbook=16_08.xlsx&amp;sheet=U0&amp;row=1873&amp;col=7&amp;number=0.00689&amp;sourceID=14","0.00689")</f>
        <v>0.00689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HYPERLINK("http://141.218.60.56/~jnz1568/getInfo.php?workbook=16_08.xlsx&amp;sheet=U0&amp;row=1874&amp;col=6&amp;number=4&amp;sourceID=14","4")</f>
        <v>4</v>
      </c>
      <c r="G1874" s="4" t="str">
        <f>HYPERLINK("http://141.218.60.56/~jnz1568/getInfo.php?workbook=16_08.xlsx&amp;sheet=U0&amp;row=1874&amp;col=7&amp;number=0.00689&amp;sourceID=14","0.00689")</f>
        <v>0.00689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HYPERLINK("http://141.218.60.56/~jnz1568/getInfo.php?workbook=16_08.xlsx&amp;sheet=U0&amp;row=1875&amp;col=6&amp;number=4.1&amp;sourceID=14","4.1")</f>
        <v>4.1</v>
      </c>
      <c r="G1875" s="4" t="str">
        <f>HYPERLINK("http://141.218.60.56/~jnz1568/getInfo.php?workbook=16_08.xlsx&amp;sheet=U0&amp;row=1875&amp;col=7&amp;number=0.00688&amp;sourceID=14","0.00688")</f>
        <v>0.00688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HYPERLINK("http://141.218.60.56/~jnz1568/getInfo.php?workbook=16_08.xlsx&amp;sheet=U0&amp;row=1876&amp;col=6&amp;number=4.2&amp;sourceID=14","4.2")</f>
        <v>4.2</v>
      </c>
      <c r="G1876" s="4" t="str">
        <f>HYPERLINK("http://141.218.60.56/~jnz1568/getInfo.php?workbook=16_08.xlsx&amp;sheet=U0&amp;row=1876&amp;col=7&amp;number=0.00687&amp;sourceID=14","0.00687")</f>
        <v>0.00687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HYPERLINK("http://141.218.60.56/~jnz1568/getInfo.php?workbook=16_08.xlsx&amp;sheet=U0&amp;row=1877&amp;col=6&amp;number=4.3&amp;sourceID=14","4.3")</f>
        <v>4.3</v>
      </c>
      <c r="G1877" s="4" t="str">
        <f>HYPERLINK("http://141.218.60.56/~jnz1568/getInfo.php?workbook=16_08.xlsx&amp;sheet=U0&amp;row=1877&amp;col=7&amp;number=0.00686&amp;sourceID=14","0.00686")</f>
        <v>0.00686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HYPERLINK("http://141.218.60.56/~jnz1568/getInfo.php?workbook=16_08.xlsx&amp;sheet=U0&amp;row=1878&amp;col=6&amp;number=4.4&amp;sourceID=14","4.4")</f>
        <v>4.4</v>
      </c>
      <c r="G1878" s="4" t="str">
        <f>HYPERLINK("http://141.218.60.56/~jnz1568/getInfo.php?workbook=16_08.xlsx&amp;sheet=U0&amp;row=1878&amp;col=7&amp;number=0.00685&amp;sourceID=14","0.00685")</f>
        <v>0.00685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HYPERLINK("http://141.218.60.56/~jnz1568/getInfo.php?workbook=16_08.xlsx&amp;sheet=U0&amp;row=1879&amp;col=6&amp;number=4.5&amp;sourceID=14","4.5")</f>
        <v>4.5</v>
      </c>
      <c r="G1879" s="4" t="str">
        <f>HYPERLINK("http://141.218.60.56/~jnz1568/getInfo.php?workbook=16_08.xlsx&amp;sheet=U0&amp;row=1879&amp;col=7&amp;number=0.00684&amp;sourceID=14","0.00684")</f>
        <v>0.00684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HYPERLINK("http://141.218.60.56/~jnz1568/getInfo.php?workbook=16_08.xlsx&amp;sheet=U0&amp;row=1880&amp;col=6&amp;number=4.6&amp;sourceID=14","4.6")</f>
        <v>4.6</v>
      </c>
      <c r="G1880" s="4" t="str">
        <f>HYPERLINK("http://141.218.60.56/~jnz1568/getInfo.php?workbook=16_08.xlsx&amp;sheet=U0&amp;row=1880&amp;col=7&amp;number=0.00682&amp;sourceID=14","0.00682")</f>
        <v>0.00682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HYPERLINK("http://141.218.60.56/~jnz1568/getInfo.php?workbook=16_08.xlsx&amp;sheet=U0&amp;row=1881&amp;col=6&amp;number=4.7&amp;sourceID=14","4.7")</f>
        <v>4.7</v>
      </c>
      <c r="G1881" s="4" t="str">
        <f>HYPERLINK("http://141.218.60.56/~jnz1568/getInfo.php?workbook=16_08.xlsx&amp;sheet=U0&amp;row=1881&amp;col=7&amp;number=0.00679&amp;sourceID=14","0.00679")</f>
        <v>0.00679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HYPERLINK("http://141.218.60.56/~jnz1568/getInfo.php?workbook=16_08.xlsx&amp;sheet=U0&amp;row=1882&amp;col=6&amp;number=4.8&amp;sourceID=14","4.8")</f>
        <v>4.8</v>
      </c>
      <c r="G1882" s="4" t="str">
        <f>HYPERLINK("http://141.218.60.56/~jnz1568/getInfo.php?workbook=16_08.xlsx&amp;sheet=U0&amp;row=1882&amp;col=7&amp;number=0.00676&amp;sourceID=14","0.00676")</f>
        <v>0.00676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HYPERLINK("http://141.218.60.56/~jnz1568/getInfo.php?workbook=16_08.xlsx&amp;sheet=U0&amp;row=1883&amp;col=6&amp;number=4.9&amp;sourceID=14","4.9")</f>
        <v>4.9</v>
      </c>
      <c r="G1883" s="4" t="str">
        <f>HYPERLINK("http://141.218.60.56/~jnz1568/getInfo.php?workbook=16_08.xlsx&amp;sheet=U0&amp;row=1883&amp;col=7&amp;number=0.00672&amp;sourceID=14","0.00672")</f>
        <v>0.00672</v>
      </c>
    </row>
    <row r="1884" spans="1:7">
      <c r="A1884" s="3">
        <v>16</v>
      </c>
      <c r="B1884" s="3">
        <v>8</v>
      </c>
      <c r="C1884" s="3">
        <v>2</v>
      </c>
      <c r="D1884" s="3">
        <v>12</v>
      </c>
      <c r="E1884" s="3">
        <v>1</v>
      </c>
      <c r="F1884" s="4" t="str">
        <f>HYPERLINK("http://141.218.60.56/~jnz1568/getInfo.php?workbook=16_08.xlsx&amp;sheet=U0&amp;row=1884&amp;col=6&amp;number=3&amp;sourceID=14","3")</f>
        <v>3</v>
      </c>
      <c r="G1884" s="4" t="str">
        <f>HYPERLINK("http://141.218.60.56/~jnz1568/getInfo.php?workbook=16_08.xlsx&amp;sheet=U0&amp;row=1884&amp;col=7&amp;number=0.00443&amp;sourceID=14","0.00443")</f>
        <v>0.00443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HYPERLINK("http://141.218.60.56/~jnz1568/getInfo.php?workbook=16_08.xlsx&amp;sheet=U0&amp;row=1885&amp;col=6&amp;number=3.1&amp;sourceID=14","3.1")</f>
        <v>3.1</v>
      </c>
      <c r="G1885" s="4" t="str">
        <f>HYPERLINK("http://141.218.60.56/~jnz1568/getInfo.php?workbook=16_08.xlsx&amp;sheet=U0&amp;row=1885&amp;col=7&amp;number=0.00443&amp;sourceID=14","0.00443")</f>
        <v>0.00443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HYPERLINK("http://141.218.60.56/~jnz1568/getInfo.php?workbook=16_08.xlsx&amp;sheet=U0&amp;row=1886&amp;col=6&amp;number=3.2&amp;sourceID=14","3.2")</f>
        <v>3.2</v>
      </c>
      <c r="G1886" s="4" t="str">
        <f>HYPERLINK("http://141.218.60.56/~jnz1568/getInfo.php?workbook=16_08.xlsx&amp;sheet=U0&amp;row=1886&amp;col=7&amp;number=0.00443&amp;sourceID=14","0.00443")</f>
        <v>0.00443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HYPERLINK("http://141.218.60.56/~jnz1568/getInfo.php?workbook=16_08.xlsx&amp;sheet=U0&amp;row=1887&amp;col=6&amp;number=3.3&amp;sourceID=14","3.3")</f>
        <v>3.3</v>
      </c>
      <c r="G1887" s="4" t="str">
        <f>HYPERLINK("http://141.218.60.56/~jnz1568/getInfo.php?workbook=16_08.xlsx&amp;sheet=U0&amp;row=1887&amp;col=7&amp;number=0.00443&amp;sourceID=14","0.00443")</f>
        <v>0.00443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HYPERLINK("http://141.218.60.56/~jnz1568/getInfo.php?workbook=16_08.xlsx&amp;sheet=U0&amp;row=1888&amp;col=6&amp;number=3.4&amp;sourceID=14","3.4")</f>
        <v>3.4</v>
      </c>
      <c r="G1888" s="4" t="str">
        <f>HYPERLINK("http://141.218.60.56/~jnz1568/getInfo.php?workbook=16_08.xlsx&amp;sheet=U0&amp;row=1888&amp;col=7&amp;number=0.00444&amp;sourceID=14","0.00444")</f>
        <v>0.00444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HYPERLINK("http://141.218.60.56/~jnz1568/getInfo.php?workbook=16_08.xlsx&amp;sheet=U0&amp;row=1889&amp;col=6&amp;number=3.5&amp;sourceID=14","3.5")</f>
        <v>3.5</v>
      </c>
      <c r="G1889" s="4" t="str">
        <f>HYPERLINK("http://141.218.60.56/~jnz1568/getInfo.php?workbook=16_08.xlsx&amp;sheet=U0&amp;row=1889&amp;col=7&amp;number=0.00444&amp;sourceID=14","0.00444")</f>
        <v>0.00444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HYPERLINK("http://141.218.60.56/~jnz1568/getInfo.php?workbook=16_08.xlsx&amp;sheet=U0&amp;row=1890&amp;col=6&amp;number=3.6&amp;sourceID=14","3.6")</f>
        <v>3.6</v>
      </c>
      <c r="G1890" s="4" t="str">
        <f>HYPERLINK("http://141.218.60.56/~jnz1568/getInfo.php?workbook=16_08.xlsx&amp;sheet=U0&amp;row=1890&amp;col=7&amp;number=0.00445&amp;sourceID=14","0.00445")</f>
        <v>0.00445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HYPERLINK("http://141.218.60.56/~jnz1568/getInfo.php?workbook=16_08.xlsx&amp;sheet=U0&amp;row=1891&amp;col=6&amp;number=3.7&amp;sourceID=14","3.7")</f>
        <v>3.7</v>
      </c>
      <c r="G1891" s="4" t="str">
        <f>HYPERLINK("http://141.218.60.56/~jnz1568/getInfo.php?workbook=16_08.xlsx&amp;sheet=U0&amp;row=1891&amp;col=7&amp;number=0.00445&amp;sourceID=14","0.00445")</f>
        <v>0.00445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HYPERLINK("http://141.218.60.56/~jnz1568/getInfo.php?workbook=16_08.xlsx&amp;sheet=U0&amp;row=1892&amp;col=6&amp;number=3.8&amp;sourceID=14","3.8")</f>
        <v>3.8</v>
      </c>
      <c r="G1892" s="4" t="str">
        <f>HYPERLINK("http://141.218.60.56/~jnz1568/getInfo.php?workbook=16_08.xlsx&amp;sheet=U0&amp;row=1892&amp;col=7&amp;number=0.00446&amp;sourceID=14","0.00446")</f>
        <v>0.00446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HYPERLINK("http://141.218.60.56/~jnz1568/getInfo.php?workbook=16_08.xlsx&amp;sheet=U0&amp;row=1893&amp;col=6&amp;number=3.9&amp;sourceID=14","3.9")</f>
        <v>3.9</v>
      </c>
      <c r="G1893" s="4" t="str">
        <f>HYPERLINK("http://141.218.60.56/~jnz1568/getInfo.php?workbook=16_08.xlsx&amp;sheet=U0&amp;row=1893&amp;col=7&amp;number=0.00447&amp;sourceID=14","0.00447")</f>
        <v>0.00447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HYPERLINK("http://141.218.60.56/~jnz1568/getInfo.php?workbook=16_08.xlsx&amp;sheet=U0&amp;row=1894&amp;col=6&amp;number=4&amp;sourceID=14","4")</f>
        <v>4</v>
      </c>
      <c r="G1894" s="4" t="str">
        <f>HYPERLINK("http://141.218.60.56/~jnz1568/getInfo.php?workbook=16_08.xlsx&amp;sheet=U0&amp;row=1894&amp;col=7&amp;number=0.00448&amp;sourceID=14","0.00448")</f>
        <v>0.00448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HYPERLINK("http://141.218.60.56/~jnz1568/getInfo.php?workbook=16_08.xlsx&amp;sheet=U0&amp;row=1895&amp;col=6&amp;number=4.1&amp;sourceID=14","4.1")</f>
        <v>4.1</v>
      </c>
      <c r="G1895" s="4" t="str">
        <f>HYPERLINK("http://141.218.60.56/~jnz1568/getInfo.php?workbook=16_08.xlsx&amp;sheet=U0&amp;row=1895&amp;col=7&amp;number=0.0045&amp;sourceID=14","0.0045")</f>
        <v>0.0045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HYPERLINK("http://141.218.60.56/~jnz1568/getInfo.php?workbook=16_08.xlsx&amp;sheet=U0&amp;row=1896&amp;col=6&amp;number=4.2&amp;sourceID=14","4.2")</f>
        <v>4.2</v>
      </c>
      <c r="G1896" s="4" t="str">
        <f>HYPERLINK("http://141.218.60.56/~jnz1568/getInfo.php?workbook=16_08.xlsx&amp;sheet=U0&amp;row=1896&amp;col=7&amp;number=0.00451&amp;sourceID=14","0.00451")</f>
        <v>0.00451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HYPERLINK("http://141.218.60.56/~jnz1568/getInfo.php?workbook=16_08.xlsx&amp;sheet=U0&amp;row=1897&amp;col=6&amp;number=4.3&amp;sourceID=14","4.3")</f>
        <v>4.3</v>
      </c>
      <c r="G1897" s="4" t="str">
        <f>HYPERLINK("http://141.218.60.56/~jnz1568/getInfo.php?workbook=16_08.xlsx&amp;sheet=U0&amp;row=1897&amp;col=7&amp;number=0.00454&amp;sourceID=14","0.00454")</f>
        <v>0.00454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HYPERLINK("http://141.218.60.56/~jnz1568/getInfo.php?workbook=16_08.xlsx&amp;sheet=U0&amp;row=1898&amp;col=6&amp;number=4.4&amp;sourceID=14","4.4")</f>
        <v>4.4</v>
      </c>
      <c r="G1898" s="4" t="str">
        <f>HYPERLINK("http://141.218.60.56/~jnz1568/getInfo.php?workbook=16_08.xlsx&amp;sheet=U0&amp;row=1898&amp;col=7&amp;number=0.00457&amp;sourceID=14","0.00457")</f>
        <v>0.00457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HYPERLINK("http://141.218.60.56/~jnz1568/getInfo.php?workbook=16_08.xlsx&amp;sheet=U0&amp;row=1899&amp;col=6&amp;number=4.5&amp;sourceID=14","4.5")</f>
        <v>4.5</v>
      </c>
      <c r="G1899" s="4" t="str">
        <f>HYPERLINK("http://141.218.60.56/~jnz1568/getInfo.php?workbook=16_08.xlsx&amp;sheet=U0&amp;row=1899&amp;col=7&amp;number=0.0046&amp;sourceID=14","0.0046")</f>
        <v>0.0046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HYPERLINK("http://141.218.60.56/~jnz1568/getInfo.php?workbook=16_08.xlsx&amp;sheet=U0&amp;row=1900&amp;col=6&amp;number=4.6&amp;sourceID=14","4.6")</f>
        <v>4.6</v>
      </c>
      <c r="G1900" s="4" t="str">
        <f>HYPERLINK("http://141.218.60.56/~jnz1568/getInfo.php?workbook=16_08.xlsx&amp;sheet=U0&amp;row=1900&amp;col=7&amp;number=0.00465&amp;sourceID=14","0.00465")</f>
        <v>0.00465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HYPERLINK("http://141.218.60.56/~jnz1568/getInfo.php?workbook=16_08.xlsx&amp;sheet=U0&amp;row=1901&amp;col=6&amp;number=4.7&amp;sourceID=14","4.7")</f>
        <v>4.7</v>
      </c>
      <c r="G1901" s="4" t="str">
        <f>HYPERLINK("http://141.218.60.56/~jnz1568/getInfo.php?workbook=16_08.xlsx&amp;sheet=U0&amp;row=1901&amp;col=7&amp;number=0.00471&amp;sourceID=14","0.00471")</f>
        <v>0.00471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HYPERLINK("http://141.218.60.56/~jnz1568/getInfo.php?workbook=16_08.xlsx&amp;sheet=U0&amp;row=1902&amp;col=6&amp;number=4.8&amp;sourceID=14","4.8")</f>
        <v>4.8</v>
      </c>
      <c r="G1902" s="4" t="str">
        <f>HYPERLINK("http://141.218.60.56/~jnz1568/getInfo.php?workbook=16_08.xlsx&amp;sheet=U0&amp;row=1902&amp;col=7&amp;number=0.00478&amp;sourceID=14","0.00478")</f>
        <v>0.00478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HYPERLINK("http://141.218.60.56/~jnz1568/getInfo.php?workbook=16_08.xlsx&amp;sheet=U0&amp;row=1903&amp;col=6&amp;number=4.9&amp;sourceID=14","4.9")</f>
        <v>4.9</v>
      </c>
      <c r="G1903" s="4" t="str">
        <f>HYPERLINK("http://141.218.60.56/~jnz1568/getInfo.php?workbook=16_08.xlsx&amp;sheet=U0&amp;row=1903&amp;col=7&amp;number=0.00487&amp;sourceID=14","0.00487")</f>
        <v>0.00487</v>
      </c>
    </row>
    <row r="1904" spans="1:7">
      <c r="A1904" s="3">
        <v>16</v>
      </c>
      <c r="B1904" s="3">
        <v>8</v>
      </c>
      <c r="C1904" s="3">
        <v>2</v>
      </c>
      <c r="D1904" s="3">
        <v>13</v>
      </c>
      <c r="E1904" s="3">
        <v>1</v>
      </c>
      <c r="F1904" s="4" t="str">
        <f>HYPERLINK("http://141.218.60.56/~jnz1568/getInfo.php?workbook=16_08.xlsx&amp;sheet=U0&amp;row=1904&amp;col=6&amp;number=3&amp;sourceID=14","3")</f>
        <v>3</v>
      </c>
      <c r="G1904" s="4" t="str">
        <f>HYPERLINK("http://141.218.60.56/~jnz1568/getInfo.php?workbook=16_08.xlsx&amp;sheet=U0&amp;row=1904&amp;col=7&amp;number=0.00319&amp;sourceID=14","0.00319")</f>
        <v>0.00319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HYPERLINK("http://141.218.60.56/~jnz1568/getInfo.php?workbook=16_08.xlsx&amp;sheet=U0&amp;row=1905&amp;col=6&amp;number=3.1&amp;sourceID=14","3.1")</f>
        <v>3.1</v>
      </c>
      <c r="G1905" s="4" t="str">
        <f>HYPERLINK("http://141.218.60.56/~jnz1568/getInfo.php?workbook=16_08.xlsx&amp;sheet=U0&amp;row=1905&amp;col=7&amp;number=0.0032&amp;sourceID=14","0.0032")</f>
        <v>0.0032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HYPERLINK("http://141.218.60.56/~jnz1568/getInfo.php?workbook=16_08.xlsx&amp;sheet=U0&amp;row=1906&amp;col=6&amp;number=3.2&amp;sourceID=14","3.2")</f>
        <v>3.2</v>
      </c>
      <c r="G1906" s="4" t="str">
        <f>HYPERLINK("http://141.218.60.56/~jnz1568/getInfo.php?workbook=16_08.xlsx&amp;sheet=U0&amp;row=1906&amp;col=7&amp;number=0.0032&amp;sourceID=14","0.0032")</f>
        <v>0.0032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HYPERLINK("http://141.218.60.56/~jnz1568/getInfo.php?workbook=16_08.xlsx&amp;sheet=U0&amp;row=1907&amp;col=6&amp;number=3.3&amp;sourceID=14","3.3")</f>
        <v>3.3</v>
      </c>
      <c r="G1907" s="4" t="str">
        <f>HYPERLINK("http://141.218.60.56/~jnz1568/getInfo.php?workbook=16_08.xlsx&amp;sheet=U0&amp;row=1907&amp;col=7&amp;number=0.0032&amp;sourceID=14","0.0032")</f>
        <v>0.0032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HYPERLINK("http://141.218.60.56/~jnz1568/getInfo.php?workbook=16_08.xlsx&amp;sheet=U0&amp;row=1908&amp;col=6&amp;number=3.4&amp;sourceID=14","3.4")</f>
        <v>3.4</v>
      </c>
      <c r="G1908" s="4" t="str">
        <f>HYPERLINK("http://141.218.60.56/~jnz1568/getInfo.php?workbook=16_08.xlsx&amp;sheet=U0&amp;row=1908&amp;col=7&amp;number=0.0032&amp;sourceID=14","0.0032")</f>
        <v>0.0032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HYPERLINK("http://141.218.60.56/~jnz1568/getInfo.php?workbook=16_08.xlsx&amp;sheet=U0&amp;row=1909&amp;col=6&amp;number=3.5&amp;sourceID=14","3.5")</f>
        <v>3.5</v>
      </c>
      <c r="G1909" s="4" t="str">
        <f>HYPERLINK("http://141.218.60.56/~jnz1568/getInfo.php?workbook=16_08.xlsx&amp;sheet=U0&amp;row=1909&amp;col=7&amp;number=0.0032&amp;sourceID=14","0.0032")</f>
        <v>0.0032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HYPERLINK("http://141.218.60.56/~jnz1568/getInfo.php?workbook=16_08.xlsx&amp;sheet=U0&amp;row=1910&amp;col=6&amp;number=3.6&amp;sourceID=14","3.6")</f>
        <v>3.6</v>
      </c>
      <c r="G1910" s="4" t="str">
        <f>HYPERLINK("http://141.218.60.56/~jnz1568/getInfo.php?workbook=16_08.xlsx&amp;sheet=U0&amp;row=1910&amp;col=7&amp;number=0.0032&amp;sourceID=14","0.0032")</f>
        <v>0.0032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HYPERLINK("http://141.218.60.56/~jnz1568/getInfo.php?workbook=16_08.xlsx&amp;sheet=U0&amp;row=1911&amp;col=6&amp;number=3.7&amp;sourceID=14","3.7")</f>
        <v>3.7</v>
      </c>
      <c r="G1911" s="4" t="str">
        <f>HYPERLINK("http://141.218.60.56/~jnz1568/getInfo.php?workbook=16_08.xlsx&amp;sheet=U0&amp;row=1911&amp;col=7&amp;number=0.0032&amp;sourceID=14","0.0032")</f>
        <v>0.0032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HYPERLINK("http://141.218.60.56/~jnz1568/getInfo.php?workbook=16_08.xlsx&amp;sheet=U0&amp;row=1912&amp;col=6&amp;number=3.8&amp;sourceID=14","3.8")</f>
        <v>3.8</v>
      </c>
      <c r="G1912" s="4" t="str">
        <f>HYPERLINK("http://141.218.60.56/~jnz1568/getInfo.php?workbook=16_08.xlsx&amp;sheet=U0&amp;row=1912&amp;col=7&amp;number=0.0032&amp;sourceID=14","0.0032")</f>
        <v>0.0032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HYPERLINK("http://141.218.60.56/~jnz1568/getInfo.php?workbook=16_08.xlsx&amp;sheet=U0&amp;row=1913&amp;col=6&amp;number=3.9&amp;sourceID=14","3.9")</f>
        <v>3.9</v>
      </c>
      <c r="G1913" s="4" t="str">
        <f>HYPERLINK("http://141.218.60.56/~jnz1568/getInfo.php?workbook=16_08.xlsx&amp;sheet=U0&amp;row=1913&amp;col=7&amp;number=0.00321&amp;sourceID=14","0.00321")</f>
        <v>0.00321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HYPERLINK("http://141.218.60.56/~jnz1568/getInfo.php?workbook=16_08.xlsx&amp;sheet=U0&amp;row=1914&amp;col=6&amp;number=4&amp;sourceID=14","4")</f>
        <v>4</v>
      </c>
      <c r="G1914" s="4" t="str">
        <f>HYPERLINK("http://141.218.60.56/~jnz1568/getInfo.php?workbook=16_08.xlsx&amp;sheet=U0&amp;row=1914&amp;col=7&amp;number=0.00321&amp;sourceID=14","0.00321")</f>
        <v>0.00321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HYPERLINK("http://141.218.60.56/~jnz1568/getInfo.php?workbook=16_08.xlsx&amp;sheet=U0&amp;row=1915&amp;col=6&amp;number=4.1&amp;sourceID=14","4.1")</f>
        <v>4.1</v>
      </c>
      <c r="G1915" s="4" t="str">
        <f>HYPERLINK("http://141.218.60.56/~jnz1568/getInfo.php?workbook=16_08.xlsx&amp;sheet=U0&amp;row=1915&amp;col=7&amp;number=0.00322&amp;sourceID=14","0.00322")</f>
        <v>0.00322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HYPERLINK("http://141.218.60.56/~jnz1568/getInfo.php?workbook=16_08.xlsx&amp;sheet=U0&amp;row=1916&amp;col=6&amp;number=4.2&amp;sourceID=14","4.2")</f>
        <v>4.2</v>
      </c>
      <c r="G1916" s="4" t="str">
        <f>HYPERLINK("http://141.218.60.56/~jnz1568/getInfo.php?workbook=16_08.xlsx&amp;sheet=U0&amp;row=1916&amp;col=7&amp;number=0.00322&amp;sourceID=14","0.00322")</f>
        <v>0.00322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HYPERLINK("http://141.218.60.56/~jnz1568/getInfo.php?workbook=16_08.xlsx&amp;sheet=U0&amp;row=1917&amp;col=6&amp;number=4.3&amp;sourceID=14","4.3")</f>
        <v>4.3</v>
      </c>
      <c r="G1917" s="4" t="str">
        <f>HYPERLINK("http://141.218.60.56/~jnz1568/getInfo.php?workbook=16_08.xlsx&amp;sheet=U0&amp;row=1917&amp;col=7&amp;number=0.00323&amp;sourceID=14","0.00323")</f>
        <v>0.00323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HYPERLINK("http://141.218.60.56/~jnz1568/getInfo.php?workbook=16_08.xlsx&amp;sheet=U0&amp;row=1918&amp;col=6&amp;number=4.4&amp;sourceID=14","4.4")</f>
        <v>4.4</v>
      </c>
      <c r="G1918" s="4" t="str">
        <f>HYPERLINK("http://141.218.60.56/~jnz1568/getInfo.php?workbook=16_08.xlsx&amp;sheet=U0&amp;row=1918&amp;col=7&amp;number=0.00324&amp;sourceID=14","0.00324")</f>
        <v>0.00324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HYPERLINK("http://141.218.60.56/~jnz1568/getInfo.php?workbook=16_08.xlsx&amp;sheet=U0&amp;row=1919&amp;col=6&amp;number=4.5&amp;sourceID=14","4.5")</f>
        <v>4.5</v>
      </c>
      <c r="G1919" s="4" t="str">
        <f>HYPERLINK("http://141.218.60.56/~jnz1568/getInfo.php?workbook=16_08.xlsx&amp;sheet=U0&amp;row=1919&amp;col=7&amp;number=0.00325&amp;sourceID=14","0.00325")</f>
        <v>0.00325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HYPERLINK("http://141.218.60.56/~jnz1568/getInfo.php?workbook=16_08.xlsx&amp;sheet=U0&amp;row=1920&amp;col=6&amp;number=4.6&amp;sourceID=14","4.6")</f>
        <v>4.6</v>
      </c>
      <c r="G1920" s="4" t="str">
        <f>HYPERLINK("http://141.218.60.56/~jnz1568/getInfo.php?workbook=16_08.xlsx&amp;sheet=U0&amp;row=1920&amp;col=7&amp;number=0.00327&amp;sourceID=14","0.00327")</f>
        <v>0.00327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HYPERLINK("http://141.218.60.56/~jnz1568/getInfo.php?workbook=16_08.xlsx&amp;sheet=U0&amp;row=1921&amp;col=6&amp;number=4.7&amp;sourceID=14","4.7")</f>
        <v>4.7</v>
      </c>
      <c r="G1921" s="4" t="str">
        <f>HYPERLINK("http://141.218.60.56/~jnz1568/getInfo.php?workbook=16_08.xlsx&amp;sheet=U0&amp;row=1921&amp;col=7&amp;number=0.00329&amp;sourceID=14","0.00329")</f>
        <v>0.00329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HYPERLINK("http://141.218.60.56/~jnz1568/getInfo.php?workbook=16_08.xlsx&amp;sheet=U0&amp;row=1922&amp;col=6&amp;number=4.8&amp;sourceID=14","4.8")</f>
        <v>4.8</v>
      </c>
      <c r="G1922" s="4" t="str">
        <f>HYPERLINK("http://141.218.60.56/~jnz1568/getInfo.php?workbook=16_08.xlsx&amp;sheet=U0&amp;row=1922&amp;col=7&amp;number=0.00331&amp;sourceID=14","0.00331")</f>
        <v>0.00331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HYPERLINK("http://141.218.60.56/~jnz1568/getInfo.php?workbook=16_08.xlsx&amp;sheet=U0&amp;row=1923&amp;col=6&amp;number=4.9&amp;sourceID=14","4.9")</f>
        <v>4.9</v>
      </c>
      <c r="G1923" s="4" t="str">
        <f>HYPERLINK("http://141.218.60.56/~jnz1568/getInfo.php?workbook=16_08.xlsx&amp;sheet=U0&amp;row=1923&amp;col=7&amp;number=0.00334&amp;sourceID=14","0.00334")</f>
        <v>0.00334</v>
      </c>
    </row>
    <row r="1924" spans="1:7">
      <c r="A1924" s="3">
        <v>16</v>
      </c>
      <c r="B1924" s="3">
        <v>8</v>
      </c>
      <c r="C1924" s="3">
        <v>2</v>
      </c>
      <c r="D1924" s="3">
        <v>14</v>
      </c>
      <c r="E1924" s="3">
        <v>1</v>
      </c>
      <c r="F1924" s="4" t="str">
        <f>HYPERLINK("http://141.218.60.56/~jnz1568/getInfo.php?workbook=16_08.xlsx&amp;sheet=U0&amp;row=1924&amp;col=6&amp;number=3&amp;sourceID=14","3")</f>
        <v>3</v>
      </c>
      <c r="G1924" s="4" t="str">
        <f>HYPERLINK("http://141.218.60.56/~jnz1568/getInfo.php?workbook=16_08.xlsx&amp;sheet=U0&amp;row=1924&amp;col=7&amp;number=0.00459&amp;sourceID=14","0.00459")</f>
        <v>0.00459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HYPERLINK("http://141.218.60.56/~jnz1568/getInfo.php?workbook=16_08.xlsx&amp;sheet=U0&amp;row=1925&amp;col=6&amp;number=3.1&amp;sourceID=14","3.1")</f>
        <v>3.1</v>
      </c>
      <c r="G1925" s="4" t="str">
        <f>HYPERLINK("http://141.218.60.56/~jnz1568/getInfo.php?workbook=16_08.xlsx&amp;sheet=U0&amp;row=1925&amp;col=7&amp;number=0.00459&amp;sourceID=14","0.00459")</f>
        <v>0.00459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HYPERLINK("http://141.218.60.56/~jnz1568/getInfo.php?workbook=16_08.xlsx&amp;sheet=U0&amp;row=1926&amp;col=6&amp;number=3.2&amp;sourceID=14","3.2")</f>
        <v>3.2</v>
      </c>
      <c r="G1926" s="4" t="str">
        <f>HYPERLINK("http://141.218.60.56/~jnz1568/getInfo.php?workbook=16_08.xlsx&amp;sheet=U0&amp;row=1926&amp;col=7&amp;number=0.00459&amp;sourceID=14","0.00459")</f>
        <v>0.00459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HYPERLINK("http://141.218.60.56/~jnz1568/getInfo.php?workbook=16_08.xlsx&amp;sheet=U0&amp;row=1927&amp;col=6&amp;number=3.3&amp;sourceID=14","3.3")</f>
        <v>3.3</v>
      </c>
      <c r="G1927" s="4" t="str">
        <f>HYPERLINK("http://141.218.60.56/~jnz1568/getInfo.php?workbook=16_08.xlsx&amp;sheet=U0&amp;row=1927&amp;col=7&amp;number=0.00459&amp;sourceID=14","0.00459")</f>
        <v>0.00459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HYPERLINK("http://141.218.60.56/~jnz1568/getInfo.php?workbook=16_08.xlsx&amp;sheet=U0&amp;row=1928&amp;col=6&amp;number=3.4&amp;sourceID=14","3.4")</f>
        <v>3.4</v>
      </c>
      <c r="G1928" s="4" t="str">
        <f>HYPERLINK("http://141.218.60.56/~jnz1568/getInfo.php?workbook=16_08.xlsx&amp;sheet=U0&amp;row=1928&amp;col=7&amp;number=0.0046&amp;sourceID=14","0.0046")</f>
        <v>0.0046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HYPERLINK("http://141.218.60.56/~jnz1568/getInfo.php?workbook=16_08.xlsx&amp;sheet=U0&amp;row=1929&amp;col=6&amp;number=3.5&amp;sourceID=14","3.5")</f>
        <v>3.5</v>
      </c>
      <c r="G1929" s="4" t="str">
        <f>HYPERLINK("http://141.218.60.56/~jnz1568/getInfo.php?workbook=16_08.xlsx&amp;sheet=U0&amp;row=1929&amp;col=7&amp;number=0.0046&amp;sourceID=14","0.0046")</f>
        <v>0.0046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HYPERLINK("http://141.218.60.56/~jnz1568/getInfo.php?workbook=16_08.xlsx&amp;sheet=U0&amp;row=1930&amp;col=6&amp;number=3.6&amp;sourceID=14","3.6")</f>
        <v>3.6</v>
      </c>
      <c r="G1930" s="4" t="str">
        <f>HYPERLINK("http://141.218.60.56/~jnz1568/getInfo.php?workbook=16_08.xlsx&amp;sheet=U0&amp;row=1930&amp;col=7&amp;number=0.0046&amp;sourceID=14","0.0046")</f>
        <v>0.0046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HYPERLINK("http://141.218.60.56/~jnz1568/getInfo.php?workbook=16_08.xlsx&amp;sheet=U0&amp;row=1931&amp;col=6&amp;number=3.7&amp;sourceID=14","3.7")</f>
        <v>3.7</v>
      </c>
      <c r="G1931" s="4" t="str">
        <f>HYPERLINK("http://141.218.60.56/~jnz1568/getInfo.php?workbook=16_08.xlsx&amp;sheet=U0&amp;row=1931&amp;col=7&amp;number=0.00461&amp;sourceID=14","0.00461")</f>
        <v>0.00461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HYPERLINK("http://141.218.60.56/~jnz1568/getInfo.php?workbook=16_08.xlsx&amp;sheet=U0&amp;row=1932&amp;col=6&amp;number=3.8&amp;sourceID=14","3.8")</f>
        <v>3.8</v>
      </c>
      <c r="G1932" s="4" t="str">
        <f>HYPERLINK("http://141.218.60.56/~jnz1568/getInfo.php?workbook=16_08.xlsx&amp;sheet=U0&amp;row=1932&amp;col=7&amp;number=0.00461&amp;sourceID=14","0.00461")</f>
        <v>0.00461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HYPERLINK("http://141.218.60.56/~jnz1568/getInfo.php?workbook=16_08.xlsx&amp;sheet=U0&amp;row=1933&amp;col=6&amp;number=3.9&amp;sourceID=14","3.9")</f>
        <v>3.9</v>
      </c>
      <c r="G1933" s="4" t="str">
        <f>HYPERLINK("http://141.218.60.56/~jnz1568/getInfo.php?workbook=16_08.xlsx&amp;sheet=U0&amp;row=1933&amp;col=7&amp;number=0.00462&amp;sourceID=14","0.00462")</f>
        <v>0.00462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HYPERLINK("http://141.218.60.56/~jnz1568/getInfo.php?workbook=16_08.xlsx&amp;sheet=U0&amp;row=1934&amp;col=6&amp;number=4&amp;sourceID=14","4")</f>
        <v>4</v>
      </c>
      <c r="G1934" s="4" t="str">
        <f>HYPERLINK("http://141.218.60.56/~jnz1568/getInfo.php?workbook=16_08.xlsx&amp;sheet=U0&amp;row=1934&amp;col=7&amp;number=0.00463&amp;sourceID=14","0.00463")</f>
        <v>0.00463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HYPERLINK("http://141.218.60.56/~jnz1568/getInfo.php?workbook=16_08.xlsx&amp;sheet=U0&amp;row=1935&amp;col=6&amp;number=4.1&amp;sourceID=14","4.1")</f>
        <v>4.1</v>
      </c>
      <c r="G1935" s="4" t="str">
        <f>HYPERLINK("http://141.218.60.56/~jnz1568/getInfo.php?workbook=16_08.xlsx&amp;sheet=U0&amp;row=1935&amp;col=7&amp;number=0.00464&amp;sourceID=14","0.00464")</f>
        <v>0.00464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HYPERLINK("http://141.218.60.56/~jnz1568/getInfo.php?workbook=16_08.xlsx&amp;sheet=U0&amp;row=1936&amp;col=6&amp;number=4.2&amp;sourceID=14","4.2")</f>
        <v>4.2</v>
      </c>
      <c r="G1936" s="4" t="str">
        <f>HYPERLINK("http://141.218.60.56/~jnz1568/getInfo.php?workbook=16_08.xlsx&amp;sheet=U0&amp;row=1936&amp;col=7&amp;number=0.00466&amp;sourceID=14","0.00466")</f>
        <v>0.00466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HYPERLINK("http://141.218.60.56/~jnz1568/getInfo.php?workbook=16_08.xlsx&amp;sheet=U0&amp;row=1937&amp;col=6&amp;number=4.3&amp;sourceID=14","4.3")</f>
        <v>4.3</v>
      </c>
      <c r="G1937" s="4" t="str">
        <f>HYPERLINK("http://141.218.60.56/~jnz1568/getInfo.php?workbook=16_08.xlsx&amp;sheet=U0&amp;row=1937&amp;col=7&amp;number=0.00468&amp;sourceID=14","0.00468")</f>
        <v>0.00468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HYPERLINK("http://141.218.60.56/~jnz1568/getInfo.php?workbook=16_08.xlsx&amp;sheet=U0&amp;row=1938&amp;col=6&amp;number=4.4&amp;sourceID=14","4.4")</f>
        <v>4.4</v>
      </c>
      <c r="G1938" s="4" t="str">
        <f>HYPERLINK("http://141.218.60.56/~jnz1568/getInfo.php?workbook=16_08.xlsx&amp;sheet=U0&amp;row=1938&amp;col=7&amp;number=0.0047&amp;sourceID=14","0.0047")</f>
        <v>0.0047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HYPERLINK("http://141.218.60.56/~jnz1568/getInfo.php?workbook=16_08.xlsx&amp;sheet=U0&amp;row=1939&amp;col=6&amp;number=4.5&amp;sourceID=14","4.5")</f>
        <v>4.5</v>
      </c>
      <c r="G1939" s="4" t="str">
        <f>HYPERLINK("http://141.218.60.56/~jnz1568/getInfo.php?workbook=16_08.xlsx&amp;sheet=U0&amp;row=1939&amp;col=7&amp;number=0.00473&amp;sourceID=14","0.00473")</f>
        <v>0.00473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HYPERLINK("http://141.218.60.56/~jnz1568/getInfo.php?workbook=16_08.xlsx&amp;sheet=U0&amp;row=1940&amp;col=6&amp;number=4.6&amp;sourceID=14","4.6")</f>
        <v>4.6</v>
      </c>
      <c r="G1940" s="4" t="str">
        <f>HYPERLINK("http://141.218.60.56/~jnz1568/getInfo.php?workbook=16_08.xlsx&amp;sheet=U0&amp;row=1940&amp;col=7&amp;number=0.00477&amp;sourceID=14","0.00477")</f>
        <v>0.00477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HYPERLINK("http://141.218.60.56/~jnz1568/getInfo.php?workbook=16_08.xlsx&amp;sheet=U0&amp;row=1941&amp;col=6&amp;number=4.7&amp;sourceID=14","4.7")</f>
        <v>4.7</v>
      </c>
      <c r="G1941" s="4" t="str">
        <f>HYPERLINK("http://141.218.60.56/~jnz1568/getInfo.php?workbook=16_08.xlsx&amp;sheet=U0&amp;row=1941&amp;col=7&amp;number=0.00482&amp;sourceID=14","0.00482")</f>
        <v>0.00482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HYPERLINK("http://141.218.60.56/~jnz1568/getInfo.php?workbook=16_08.xlsx&amp;sheet=U0&amp;row=1942&amp;col=6&amp;number=4.8&amp;sourceID=14","4.8")</f>
        <v>4.8</v>
      </c>
      <c r="G1942" s="4" t="str">
        <f>HYPERLINK("http://141.218.60.56/~jnz1568/getInfo.php?workbook=16_08.xlsx&amp;sheet=U0&amp;row=1942&amp;col=7&amp;number=0.00488&amp;sourceID=14","0.00488")</f>
        <v>0.00488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HYPERLINK("http://141.218.60.56/~jnz1568/getInfo.php?workbook=16_08.xlsx&amp;sheet=U0&amp;row=1943&amp;col=6&amp;number=4.9&amp;sourceID=14","4.9")</f>
        <v>4.9</v>
      </c>
      <c r="G1943" s="4" t="str">
        <f>HYPERLINK("http://141.218.60.56/~jnz1568/getInfo.php?workbook=16_08.xlsx&amp;sheet=U0&amp;row=1943&amp;col=7&amp;number=0.00496&amp;sourceID=14","0.00496")</f>
        <v>0.00496</v>
      </c>
    </row>
    <row r="1944" spans="1:7">
      <c r="A1944" s="3">
        <v>16</v>
      </c>
      <c r="B1944" s="3">
        <v>8</v>
      </c>
      <c r="C1944" s="3">
        <v>2</v>
      </c>
      <c r="D1944" s="3">
        <v>15</v>
      </c>
      <c r="E1944" s="3">
        <v>1</v>
      </c>
      <c r="F1944" s="4" t="str">
        <f>HYPERLINK("http://141.218.60.56/~jnz1568/getInfo.php?workbook=16_08.xlsx&amp;sheet=U0&amp;row=1944&amp;col=6&amp;number=3&amp;sourceID=14","3")</f>
        <v>3</v>
      </c>
      <c r="G1944" s="4" t="str">
        <f>HYPERLINK("http://141.218.60.56/~jnz1568/getInfo.php?workbook=16_08.xlsx&amp;sheet=U0&amp;row=1944&amp;col=7&amp;number=0.00193&amp;sourceID=14","0.00193")</f>
        <v>0.00193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HYPERLINK("http://141.218.60.56/~jnz1568/getInfo.php?workbook=16_08.xlsx&amp;sheet=U0&amp;row=1945&amp;col=6&amp;number=3.1&amp;sourceID=14","3.1")</f>
        <v>3.1</v>
      </c>
      <c r="G1945" s="4" t="str">
        <f>HYPERLINK("http://141.218.60.56/~jnz1568/getInfo.php?workbook=16_08.xlsx&amp;sheet=U0&amp;row=1945&amp;col=7&amp;number=0.00193&amp;sourceID=14","0.00193")</f>
        <v>0.00193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HYPERLINK("http://141.218.60.56/~jnz1568/getInfo.php?workbook=16_08.xlsx&amp;sheet=U0&amp;row=1946&amp;col=6&amp;number=3.2&amp;sourceID=14","3.2")</f>
        <v>3.2</v>
      </c>
      <c r="G1946" s="4" t="str">
        <f>HYPERLINK("http://141.218.60.56/~jnz1568/getInfo.php?workbook=16_08.xlsx&amp;sheet=U0&amp;row=1946&amp;col=7&amp;number=0.00193&amp;sourceID=14","0.00193")</f>
        <v>0.00193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HYPERLINK("http://141.218.60.56/~jnz1568/getInfo.php?workbook=16_08.xlsx&amp;sheet=U0&amp;row=1947&amp;col=6&amp;number=3.3&amp;sourceID=14","3.3")</f>
        <v>3.3</v>
      </c>
      <c r="G1947" s="4" t="str">
        <f>HYPERLINK("http://141.218.60.56/~jnz1568/getInfo.php?workbook=16_08.xlsx&amp;sheet=U0&amp;row=1947&amp;col=7&amp;number=0.00193&amp;sourceID=14","0.00193")</f>
        <v>0.00193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HYPERLINK("http://141.218.60.56/~jnz1568/getInfo.php?workbook=16_08.xlsx&amp;sheet=U0&amp;row=1948&amp;col=6&amp;number=3.4&amp;sourceID=14","3.4")</f>
        <v>3.4</v>
      </c>
      <c r="G1948" s="4" t="str">
        <f>HYPERLINK("http://141.218.60.56/~jnz1568/getInfo.php?workbook=16_08.xlsx&amp;sheet=U0&amp;row=1948&amp;col=7&amp;number=0.00193&amp;sourceID=14","0.00193")</f>
        <v>0.00193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HYPERLINK("http://141.218.60.56/~jnz1568/getInfo.php?workbook=16_08.xlsx&amp;sheet=U0&amp;row=1949&amp;col=6&amp;number=3.5&amp;sourceID=14","3.5")</f>
        <v>3.5</v>
      </c>
      <c r="G1949" s="4" t="str">
        <f>HYPERLINK("http://141.218.60.56/~jnz1568/getInfo.php?workbook=16_08.xlsx&amp;sheet=U0&amp;row=1949&amp;col=7&amp;number=0.00193&amp;sourceID=14","0.00193")</f>
        <v>0.00193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HYPERLINK("http://141.218.60.56/~jnz1568/getInfo.php?workbook=16_08.xlsx&amp;sheet=U0&amp;row=1950&amp;col=6&amp;number=3.6&amp;sourceID=14","3.6")</f>
        <v>3.6</v>
      </c>
      <c r="G1950" s="4" t="str">
        <f>HYPERLINK("http://141.218.60.56/~jnz1568/getInfo.php?workbook=16_08.xlsx&amp;sheet=U0&amp;row=1950&amp;col=7&amp;number=0.00193&amp;sourceID=14","0.00193")</f>
        <v>0.00193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HYPERLINK("http://141.218.60.56/~jnz1568/getInfo.php?workbook=16_08.xlsx&amp;sheet=U0&amp;row=1951&amp;col=6&amp;number=3.7&amp;sourceID=14","3.7")</f>
        <v>3.7</v>
      </c>
      <c r="G1951" s="4" t="str">
        <f>HYPERLINK("http://141.218.60.56/~jnz1568/getInfo.php?workbook=16_08.xlsx&amp;sheet=U0&amp;row=1951&amp;col=7&amp;number=0.00193&amp;sourceID=14","0.00193")</f>
        <v>0.00193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HYPERLINK("http://141.218.60.56/~jnz1568/getInfo.php?workbook=16_08.xlsx&amp;sheet=U0&amp;row=1952&amp;col=6&amp;number=3.8&amp;sourceID=14","3.8")</f>
        <v>3.8</v>
      </c>
      <c r="G1952" s="4" t="str">
        <f>HYPERLINK("http://141.218.60.56/~jnz1568/getInfo.php?workbook=16_08.xlsx&amp;sheet=U0&amp;row=1952&amp;col=7&amp;number=0.00193&amp;sourceID=14","0.00193")</f>
        <v>0.00193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HYPERLINK("http://141.218.60.56/~jnz1568/getInfo.php?workbook=16_08.xlsx&amp;sheet=U0&amp;row=1953&amp;col=6&amp;number=3.9&amp;sourceID=14","3.9")</f>
        <v>3.9</v>
      </c>
      <c r="G1953" s="4" t="str">
        <f>HYPERLINK("http://141.218.60.56/~jnz1568/getInfo.php?workbook=16_08.xlsx&amp;sheet=U0&amp;row=1953&amp;col=7&amp;number=0.00193&amp;sourceID=14","0.00193")</f>
        <v>0.00193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HYPERLINK("http://141.218.60.56/~jnz1568/getInfo.php?workbook=16_08.xlsx&amp;sheet=U0&amp;row=1954&amp;col=6&amp;number=4&amp;sourceID=14","4")</f>
        <v>4</v>
      </c>
      <c r="G1954" s="4" t="str">
        <f>HYPERLINK("http://141.218.60.56/~jnz1568/getInfo.php?workbook=16_08.xlsx&amp;sheet=U0&amp;row=1954&amp;col=7&amp;number=0.00193&amp;sourceID=14","0.00193")</f>
        <v>0.00193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HYPERLINK("http://141.218.60.56/~jnz1568/getInfo.php?workbook=16_08.xlsx&amp;sheet=U0&amp;row=1955&amp;col=6&amp;number=4.1&amp;sourceID=14","4.1")</f>
        <v>4.1</v>
      </c>
      <c r="G1955" s="4" t="str">
        <f>HYPERLINK("http://141.218.60.56/~jnz1568/getInfo.php?workbook=16_08.xlsx&amp;sheet=U0&amp;row=1955&amp;col=7&amp;number=0.00193&amp;sourceID=14","0.00193")</f>
        <v>0.00193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HYPERLINK("http://141.218.60.56/~jnz1568/getInfo.php?workbook=16_08.xlsx&amp;sheet=U0&amp;row=1956&amp;col=6&amp;number=4.2&amp;sourceID=14","4.2")</f>
        <v>4.2</v>
      </c>
      <c r="G1956" s="4" t="str">
        <f>HYPERLINK("http://141.218.60.56/~jnz1568/getInfo.php?workbook=16_08.xlsx&amp;sheet=U0&amp;row=1956&amp;col=7&amp;number=0.00192&amp;sourceID=14","0.00192")</f>
        <v>0.00192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HYPERLINK("http://141.218.60.56/~jnz1568/getInfo.php?workbook=16_08.xlsx&amp;sheet=U0&amp;row=1957&amp;col=6&amp;number=4.3&amp;sourceID=14","4.3")</f>
        <v>4.3</v>
      </c>
      <c r="G1957" s="4" t="str">
        <f>HYPERLINK("http://141.218.60.56/~jnz1568/getInfo.php?workbook=16_08.xlsx&amp;sheet=U0&amp;row=1957&amp;col=7&amp;number=0.00192&amp;sourceID=14","0.00192")</f>
        <v>0.00192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HYPERLINK("http://141.218.60.56/~jnz1568/getInfo.php?workbook=16_08.xlsx&amp;sheet=U0&amp;row=1958&amp;col=6&amp;number=4.4&amp;sourceID=14","4.4")</f>
        <v>4.4</v>
      </c>
      <c r="G1958" s="4" t="str">
        <f>HYPERLINK("http://141.218.60.56/~jnz1568/getInfo.php?workbook=16_08.xlsx&amp;sheet=U0&amp;row=1958&amp;col=7&amp;number=0.00192&amp;sourceID=14","0.00192")</f>
        <v>0.00192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HYPERLINK("http://141.218.60.56/~jnz1568/getInfo.php?workbook=16_08.xlsx&amp;sheet=U0&amp;row=1959&amp;col=6&amp;number=4.5&amp;sourceID=14","4.5")</f>
        <v>4.5</v>
      </c>
      <c r="G1959" s="4" t="str">
        <f>HYPERLINK("http://141.218.60.56/~jnz1568/getInfo.php?workbook=16_08.xlsx&amp;sheet=U0&amp;row=1959&amp;col=7&amp;number=0.00192&amp;sourceID=14","0.00192")</f>
        <v>0.00192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HYPERLINK("http://141.218.60.56/~jnz1568/getInfo.php?workbook=16_08.xlsx&amp;sheet=U0&amp;row=1960&amp;col=6&amp;number=4.6&amp;sourceID=14","4.6")</f>
        <v>4.6</v>
      </c>
      <c r="G1960" s="4" t="str">
        <f>HYPERLINK("http://141.218.60.56/~jnz1568/getInfo.php?workbook=16_08.xlsx&amp;sheet=U0&amp;row=1960&amp;col=7&amp;number=0.00192&amp;sourceID=14","0.00192")</f>
        <v>0.00192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HYPERLINK("http://141.218.60.56/~jnz1568/getInfo.php?workbook=16_08.xlsx&amp;sheet=U0&amp;row=1961&amp;col=6&amp;number=4.7&amp;sourceID=14","4.7")</f>
        <v>4.7</v>
      </c>
      <c r="G1961" s="4" t="str">
        <f>HYPERLINK("http://141.218.60.56/~jnz1568/getInfo.php?workbook=16_08.xlsx&amp;sheet=U0&amp;row=1961&amp;col=7&amp;number=0.00191&amp;sourceID=14","0.00191")</f>
        <v>0.00191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HYPERLINK("http://141.218.60.56/~jnz1568/getInfo.php?workbook=16_08.xlsx&amp;sheet=U0&amp;row=1962&amp;col=6&amp;number=4.8&amp;sourceID=14","4.8")</f>
        <v>4.8</v>
      </c>
      <c r="G1962" s="4" t="str">
        <f>HYPERLINK("http://141.218.60.56/~jnz1568/getInfo.php?workbook=16_08.xlsx&amp;sheet=U0&amp;row=1962&amp;col=7&amp;number=0.00191&amp;sourceID=14","0.00191")</f>
        <v>0.00191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HYPERLINK("http://141.218.60.56/~jnz1568/getInfo.php?workbook=16_08.xlsx&amp;sheet=U0&amp;row=1963&amp;col=6&amp;number=4.9&amp;sourceID=14","4.9")</f>
        <v>4.9</v>
      </c>
      <c r="G1963" s="4" t="str">
        <f>HYPERLINK("http://141.218.60.56/~jnz1568/getInfo.php?workbook=16_08.xlsx&amp;sheet=U0&amp;row=1963&amp;col=7&amp;number=0.0019&amp;sourceID=14","0.0019")</f>
        <v>0.0019</v>
      </c>
    </row>
    <row r="1964" spans="1:7">
      <c r="A1964" s="3">
        <v>16</v>
      </c>
      <c r="B1964" s="3">
        <v>8</v>
      </c>
      <c r="C1964" s="3">
        <v>2</v>
      </c>
      <c r="D1964" s="3">
        <v>16</v>
      </c>
      <c r="E1964" s="3">
        <v>1</v>
      </c>
      <c r="F1964" s="4" t="str">
        <f>HYPERLINK("http://141.218.60.56/~jnz1568/getInfo.php?workbook=16_08.xlsx&amp;sheet=U0&amp;row=1964&amp;col=6&amp;number=3&amp;sourceID=14","3")</f>
        <v>3</v>
      </c>
      <c r="G1964" s="4" t="str">
        <f>HYPERLINK("http://141.218.60.56/~jnz1568/getInfo.php?workbook=16_08.xlsx&amp;sheet=U0&amp;row=1964&amp;col=7&amp;number=0.00249&amp;sourceID=14","0.00249")</f>
        <v>0.00249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HYPERLINK("http://141.218.60.56/~jnz1568/getInfo.php?workbook=16_08.xlsx&amp;sheet=U0&amp;row=1965&amp;col=6&amp;number=3.1&amp;sourceID=14","3.1")</f>
        <v>3.1</v>
      </c>
      <c r="G1965" s="4" t="str">
        <f>HYPERLINK("http://141.218.60.56/~jnz1568/getInfo.php?workbook=16_08.xlsx&amp;sheet=U0&amp;row=1965&amp;col=7&amp;number=0.00249&amp;sourceID=14","0.00249")</f>
        <v>0.00249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HYPERLINK("http://141.218.60.56/~jnz1568/getInfo.php?workbook=16_08.xlsx&amp;sheet=U0&amp;row=1966&amp;col=6&amp;number=3.2&amp;sourceID=14","3.2")</f>
        <v>3.2</v>
      </c>
      <c r="G1966" s="4" t="str">
        <f>HYPERLINK("http://141.218.60.56/~jnz1568/getInfo.php?workbook=16_08.xlsx&amp;sheet=U0&amp;row=1966&amp;col=7&amp;number=0.00249&amp;sourceID=14","0.00249")</f>
        <v>0.00249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HYPERLINK("http://141.218.60.56/~jnz1568/getInfo.php?workbook=16_08.xlsx&amp;sheet=U0&amp;row=1967&amp;col=6&amp;number=3.3&amp;sourceID=14","3.3")</f>
        <v>3.3</v>
      </c>
      <c r="G1967" s="4" t="str">
        <f>HYPERLINK("http://141.218.60.56/~jnz1568/getInfo.php?workbook=16_08.xlsx&amp;sheet=U0&amp;row=1967&amp;col=7&amp;number=0.00249&amp;sourceID=14","0.00249")</f>
        <v>0.00249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HYPERLINK("http://141.218.60.56/~jnz1568/getInfo.php?workbook=16_08.xlsx&amp;sheet=U0&amp;row=1968&amp;col=6&amp;number=3.4&amp;sourceID=14","3.4")</f>
        <v>3.4</v>
      </c>
      <c r="G1968" s="4" t="str">
        <f>HYPERLINK("http://141.218.60.56/~jnz1568/getInfo.php?workbook=16_08.xlsx&amp;sheet=U0&amp;row=1968&amp;col=7&amp;number=0.00249&amp;sourceID=14","0.00249")</f>
        <v>0.00249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HYPERLINK("http://141.218.60.56/~jnz1568/getInfo.php?workbook=16_08.xlsx&amp;sheet=U0&amp;row=1969&amp;col=6&amp;number=3.5&amp;sourceID=14","3.5")</f>
        <v>3.5</v>
      </c>
      <c r="G1969" s="4" t="str">
        <f>HYPERLINK("http://141.218.60.56/~jnz1568/getInfo.php?workbook=16_08.xlsx&amp;sheet=U0&amp;row=1969&amp;col=7&amp;number=0.00249&amp;sourceID=14","0.00249")</f>
        <v>0.00249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HYPERLINK("http://141.218.60.56/~jnz1568/getInfo.php?workbook=16_08.xlsx&amp;sheet=U0&amp;row=1970&amp;col=6&amp;number=3.6&amp;sourceID=14","3.6")</f>
        <v>3.6</v>
      </c>
      <c r="G1970" s="4" t="str">
        <f>HYPERLINK("http://141.218.60.56/~jnz1568/getInfo.php?workbook=16_08.xlsx&amp;sheet=U0&amp;row=1970&amp;col=7&amp;number=0.00249&amp;sourceID=14","0.00249")</f>
        <v>0.00249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HYPERLINK("http://141.218.60.56/~jnz1568/getInfo.php?workbook=16_08.xlsx&amp;sheet=U0&amp;row=1971&amp;col=6&amp;number=3.7&amp;sourceID=14","3.7")</f>
        <v>3.7</v>
      </c>
      <c r="G1971" s="4" t="str">
        <f>HYPERLINK("http://141.218.60.56/~jnz1568/getInfo.php?workbook=16_08.xlsx&amp;sheet=U0&amp;row=1971&amp;col=7&amp;number=0.00249&amp;sourceID=14","0.00249")</f>
        <v>0.00249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HYPERLINK("http://141.218.60.56/~jnz1568/getInfo.php?workbook=16_08.xlsx&amp;sheet=U0&amp;row=1972&amp;col=6&amp;number=3.8&amp;sourceID=14","3.8")</f>
        <v>3.8</v>
      </c>
      <c r="G1972" s="4" t="str">
        <f>HYPERLINK("http://141.218.60.56/~jnz1568/getInfo.php?workbook=16_08.xlsx&amp;sheet=U0&amp;row=1972&amp;col=7&amp;number=0.00249&amp;sourceID=14","0.00249")</f>
        <v>0.00249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HYPERLINK("http://141.218.60.56/~jnz1568/getInfo.php?workbook=16_08.xlsx&amp;sheet=U0&amp;row=1973&amp;col=6&amp;number=3.9&amp;sourceID=14","3.9")</f>
        <v>3.9</v>
      </c>
      <c r="G1973" s="4" t="str">
        <f>HYPERLINK("http://141.218.60.56/~jnz1568/getInfo.php?workbook=16_08.xlsx&amp;sheet=U0&amp;row=1973&amp;col=7&amp;number=0.00249&amp;sourceID=14","0.00249")</f>
        <v>0.00249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HYPERLINK("http://141.218.60.56/~jnz1568/getInfo.php?workbook=16_08.xlsx&amp;sheet=U0&amp;row=1974&amp;col=6&amp;number=4&amp;sourceID=14","4")</f>
        <v>4</v>
      </c>
      <c r="G1974" s="4" t="str">
        <f>HYPERLINK("http://141.218.60.56/~jnz1568/getInfo.php?workbook=16_08.xlsx&amp;sheet=U0&amp;row=1974&amp;col=7&amp;number=0.00249&amp;sourceID=14","0.00249")</f>
        <v>0.00249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HYPERLINK("http://141.218.60.56/~jnz1568/getInfo.php?workbook=16_08.xlsx&amp;sheet=U0&amp;row=1975&amp;col=6&amp;number=4.1&amp;sourceID=14","4.1")</f>
        <v>4.1</v>
      </c>
      <c r="G1975" s="4" t="str">
        <f>HYPERLINK("http://141.218.60.56/~jnz1568/getInfo.php?workbook=16_08.xlsx&amp;sheet=U0&amp;row=1975&amp;col=7&amp;number=0.00248&amp;sourceID=14","0.00248")</f>
        <v>0.00248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HYPERLINK("http://141.218.60.56/~jnz1568/getInfo.php?workbook=16_08.xlsx&amp;sheet=U0&amp;row=1976&amp;col=6&amp;number=4.2&amp;sourceID=14","4.2")</f>
        <v>4.2</v>
      </c>
      <c r="G1976" s="4" t="str">
        <f>HYPERLINK("http://141.218.60.56/~jnz1568/getInfo.php?workbook=16_08.xlsx&amp;sheet=U0&amp;row=1976&amp;col=7&amp;number=0.00248&amp;sourceID=14","0.00248")</f>
        <v>0.00248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HYPERLINK("http://141.218.60.56/~jnz1568/getInfo.php?workbook=16_08.xlsx&amp;sheet=U0&amp;row=1977&amp;col=6&amp;number=4.3&amp;sourceID=14","4.3")</f>
        <v>4.3</v>
      </c>
      <c r="G1977" s="4" t="str">
        <f>HYPERLINK("http://141.218.60.56/~jnz1568/getInfo.php?workbook=16_08.xlsx&amp;sheet=U0&amp;row=1977&amp;col=7&amp;number=0.00248&amp;sourceID=14","0.00248")</f>
        <v>0.00248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HYPERLINK("http://141.218.60.56/~jnz1568/getInfo.php?workbook=16_08.xlsx&amp;sheet=U0&amp;row=1978&amp;col=6&amp;number=4.4&amp;sourceID=14","4.4")</f>
        <v>4.4</v>
      </c>
      <c r="G1978" s="4" t="str">
        <f>HYPERLINK("http://141.218.60.56/~jnz1568/getInfo.php?workbook=16_08.xlsx&amp;sheet=U0&amp;row=1978&amp;col=7&amp;number=0.00248&amp;sourceID=14","0.00248")</f>
        <v>0.00248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HYPERLINK("http://141.218.60.56/~jnz1568/getInfo.php?workbook=16_08.xlsx&amp;sheet=U0&amp;row=1979&amp;col=6&amp;number=4.5&amp;sourceID=14","4.5")</f>
        <v>4.5</v>
      </c>
      <c r="G1979" s="4" t="str">
        <f>HYPERLINK("http://141.218.60.56/~jnz1568/getInfo.php?workbook=16_08.xlsx&amp;sheet=U0&amp;row=1979&amp;col=7&amp;number=0.00248&amp;sourceID=14","0.00248")</f>
        <v>0.00248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HYPERLINK("http://141.218.60.56/~jnz1568/getInfo.php?workbook=16_08.xlsx&amp;sheet=U0&amp;row=1980&amp;col=6&amp;number=4.6&amp;sourceID=14","4.6")</f>
        <v>4.6</v>
      </c>
      <c r="G1980" s="4" t="str">
        <f>HYPERLINK("http://141.218.60.56/~jnz1568/getInfo.php?workbook=16_08.xlsx&amp;sheet=U0&amp;row=1980&amp;col=7&amp;number=0.00247&amp;sourceID=14","0.00247")</f>
        <v>0.00247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HYPERLINK("http://141.218.60.56/~jnz1568/getInfo.php?workbook=16_08.xlsx&amp;sheet=U0&amp;row=1981&amp;col=6&amp;number=4.7&amp;sourceID=14","4.7")</f>
        <v>4.7</v>
      </c>
      <c r="G1981" s="4" t="str">
        <f>HYPERLINK("http://141.218.60.56/~jnz1568/getInfo.php?workbook=16_08.xlsx&amp;sheet=U0&amp;row=1981&amp;col=7&amp;number=0.00247&amp;sourceID=14","0.00247")</f>
        <v>0.00247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HYPERLINK("http://141.218.60.56/~jnz1568/getInfo.php?workbook=16_08.xlsx&amp;sheet=U0&amp;row=1982&amp;col=6&amp;number=4.8&amp;sourceID=14","4.8")</f>
        <v>4.8</v>
      </c>
      <c r="G1982" s="4" t="str">
        <f>HYPERLINK("http://141.218.60.56/~jnz1568/getInfo.php?workbook=16_08.xlsx&amp;sheet=U0&amp;row=1982&amp;col=7&amp;number=0.00246&amp;sourceID=14","0.00246")</f>
        <v>0.00246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HYPERLINK("http://141.218.60.56/~jnz1568/getInfo.php?workbook=16_08.xlsx&amp;sheet=U0&amp;row=1983&amp;col=6&amp;number=4.9&amp;sourceID=14","4.9")</f>
        <v>4.9</v>
      </c>
      <c r="G1983" s="4" t="str">
        <f>HYPERLINK("http://141.218.60.56/~jnz1568/getInfo.php?workbook=16_08.xlsx&amp;sheet=U0&amp;row=1983&amp;col=7&amp;number=0.00246&amp;sourceID=14","0.00246")</f>
        <v>0.00246</v>
      </c>
    </row>
    <row r="1984" spans="1:7">
      <c r="A1984" s="3">
        <v>16</v>
      </c>
      <c r="B1984" s="3">
        <v>8</v>
      </c>
      <c r="C1984" s="3">
        <v>2</v>
      </c>
      <c r="D1984" s="3">
        <v>17</v>
      </c>
      <c r="E1984" s="3">
        <v>1</v>
      </c>
      <c r="F1984" s="4" t="str">
        <f>HYPERLINK("http://141.218.60.56/~jnz1568/getInfo.php?workbook=16_08.xlsx&amp;sheet=U0&amp;row=1984&amp;col=6&amp;number=3&amp;sourceID=14","3")</f>
        <v>3</v>
      </c>
      <c r="G1984" s="4" t="str">
        <f>HYPERLINK("http://141.218.60.56/~jnz1568/getInfo.php?workbook=16_08.xlsx&amp;sheet=U0&amp;row=1984&amp;col=7&amp;number=0.00791&amp;sourceID=14","0.00791")</f>
        <v>0.00791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HYPERLINK("http://141.218.60.56/~jnz1568/getInfo.php?workbook=16_08.xlsx&amp;sheet=U0&amp;row=1985&amp;col=6&amp;number=3.1&amp;sourceID=14","3.1")</f>
        <v>3.1</v>
      </c>
      <c r="G1985" s="4" t="str">
        <f>HYPERLINK("http://141.218.60.56/~jnz1568/getInfo.php?workbook=16_08.xlsx&amp;sheet=U0&amp;row=1985&amp;col=7&amp;number=0.00791&amp;sourceID=14","0.00791")</f>
        <v>0.00791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HYPERLINK("http://141.218.60.56/~jnz1568/getInfo.php?workbook=16_08.xlsx&amp;sheet=U0&amp;row=1986&amp;col=6&amp;number=3.2&amp;sourceID=14","3.2")</f>
        <v>3.2</v>
      </c>
      <c r="G1986" s="4" t="str">
        <f>HYPERLINK("http://141.218.60.56/~jnz1568/getInfo.php?workbook=16_08.xlsx&amp;sheet=U0&amp;row=1986&amp;col=7&amp;number=0.0079&amp;sourceID=14","0.0079")</f>
        <v>0.0079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HYPERLINK("http://141.218.60.56/~jnz1568/getInfo.php?workbook=16_08.xlsx&amp;sheet=U0&amp;row=1987&amp;col=6&amp;number=3.3&amp;sourceID=14","3.3")</f>
        <v>3.3</v>
      </c>
      <c r="G1987" s="4" t="str">
        <f>HYPERLINK("http://141.218.60.56/~jnz1568/getInfo.php?workbook=16_08.xlsx&amp;sheet=U0&amp;row=1987&amp;col=7&amp;number=0.0079&amp;sourceID=14","0.0079")</f>
        <v>0.0079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HYPERLINK("http://141.218.60.56/~jnz1568/getInfo.php?workbook=16_08.xlsx&amp;sheet=U0&amp;row=1988&amp;col=6&amp;number=3.4&amp;sourceID=14","3.4")</f>
        <v>3.4</v>
      </c>
      <c r="G1988" s="4" t="str">
        <f>HYPERLINK("http://141.218.60.56/~jnz1568/getInfo.php?workbook=16_08.xlsx&amp;sheet=U0&amp;row=1988&amp;col=7&amp;number=0.0079&amp;sourceID=14","0.0079")</f>
        <v>0.0079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HYPERLINK("http://141.218.60.56/~jnz1568/getInfo.php?workbook=16_08.xlsx&amp;sheet=U0&amp;row=1989&amp;col=6&amp;number=3.5&amp;sourceID=14","3.5")</f>
        <v>3.5</v>
      </c>
      <c r="G1989" s="4" t="str">
        <f>HYPERLINK("http://141.218.60.56/~jnz1568/getInfo.php?workbook=16_08.xlsx&amp;sheet=U0&amp;row=1989&amp;col=7&amp;number=0.0079&amp;sourceID=14","0.0079")</f>
        <v>0.0079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HYPERLINK("http://141.218.60.56/~jnz1568/getInfo.php?workbook=16_08.xlsx&amp;sheet=U0&amp;row=1990&amp;col=6&amp;number=3.6&amp;sourceID=14","3.6")</f>
        <v>3.6</v>
      </c>
      <c r="G1990" s="4" t="str">
        <f>HYPERLINK("http://141.218.60.56/~jnz1568/getInfo.php?workbook=16_08.xlsx&amp;sheet=U0&amp;row=1990&amp;col=7&amp;number=0.0079&amp;sourceID=14","0.0079")</f>
        <v>0.0079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HYPERLINK("http://141.218.60.56/~jnz1568/getInfo.php?workbook=16_08.xlsx&amp;sheet=U0&amp;row=1991&amp;col=6&amp;number=3.7&amp;sourceID=14","3.7")</f>
        <v>3.7</v>
      </c>
      <c r="G1991" s="4" t="str">
        <f>HYPERLINK("http://141.218.60.56/~jnz1568/getInfo.php?workbook=16_08.xlsx&amp;sheet=U0&amp;row=1991&amp;col=7&amp;number=0.00789&amp;sourceID=14","0.00789")</f>
        <v>0.00789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HYPERLINK("http://141.218.60.56/~jnz1568/getInfo.php?workbook=16_08.xlsx&amp;sheet=U0&amp;row=1992&amp;col=6&amp;number=3.8&amp;sourceID=14","3.8")</f>
        <v>3.8</v>
      </c>
      <c r="G1992" s="4" t="str">
        <f>HYPERLINK("http://141.218.60.56/~jnz1568/getInfo.php?workbook=16_08.xlsx&amp;sheet=U0&amp;row=1992&amp;col=7&amp;number=0.00789&amp;sourceID=14","0.00789")</f>
        <v>0.00789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HYPERLINK("http://141.218.60.56/~jnz1568/getInfo.php?workbook=16_08.xlsx&amp;sheet=U0&amp;row=1993&amp;col=6&amp;number=3.9&amp;sourceID=14","3.9")</f>
        <v>3.9</v>
      </c>
      <c r="G1993" s="4" t="str">
        <f>HYPERLINK("http://141.218.60.56/~jnz1568/getInfo.php?workbook=16_08.xlsx&amp;sheet=U0&amp;row=1993&amp;col=7&amp;number=0.00788&amp;sourceID=14","0.00788")</f>
        <v>0.00788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HYPERLINK("http://141.218.60.56/~jnz1568/getInfo.php?workbook=16_08.xlsx&amp;sheet=U0&amp;row=1994&amp;col=6&amp;number=4&amp;sourceID=14","4")</f>
        <v>4</v>
      </c>
      <c r="G1994" s="4" t="str">
        <f>HYPERLINK("http://141.218.60.56/~jnz1568/getInfo.php?workbook=16_08.xlsx&amp;sheet=U0&amp;row=1994&amp;col=7&amp;number=0.00788&amp;sourceID=14","0.00788")</f>
        <v>0.00788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HYPERLINK("http://141.218.60.56/~jnz1568/getInfo.php?workbook=16_08.xlsx&amp;sheet=U0&amp;row=1995&amp;col=6&amp;number=4.1&amp;sourceID=14","4.1")</f>
        <v>4.1</v>
      </c>
      <c r="G1995" s="4" t="str">
        <f>HYPERLINK("http://141.218.60.56/~jnz1568/getInfo.php?workbook=16_08.xlsx&amp;sheet=U0&amp;row=1995&amp;col=7&amp;number=0.00787&amp;sourceID=14","0.00787")</f>
        <v>0.00787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HYPERLINK("http://141.218.60.56/~jnz1568/getInfo.php?workbook=16_08.xlsx&amp;sheet=U0&amp;row=1996&amp;col=6&amp;number=4.2&amp;sourceID=14","4.2")</f>
        <v>4.2</v>
      </c>
      <c r="G1996" s="4" t="str">
        <f>HYPERLINK("http://141.218.60.56/~jnz1568/getInfo.php?workbook=16_08.xlsx&amp;sheet=U0&amp;row=1996&amp;col=7&amp;number=0.00786&amp;sourceID=14","0.00786")</f>
        <v>0.00786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HYPERLINK("http://141.218.60.56/~jnz1568/getInfo.php?workbook=16_08.xlsx&amp;sheet=U0&amp;row=1997&amp;col=6&amp;number=4.3&amp;sourceID=14","4.3")</f>
        <v>4.3</v>
      </c>
      <c r="G1997" s="4" t="str">
        <f>HYPERLINK("http://141.218.60.56/~jnz1568/getInfo.php?workbook=16_08.xlsx&amp;sheet=U0&amp;row=1997&amp;col=7&amp;number=0.00785&amp;sourceID=14","0.00785")</f>
        <v>0.00785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HYPERLINK("http://141.218.60.56/~jnz1568/getInfo.php?workbook=16_08.xlsx&amp;sheet=U0&amp;row=1998&amp;col=6&amp;number=4.4&amp;sourceID=14","4.4")</f>
        <v>4.4</v>
      </c>
      <c r="G1998" s="4" t="str">
        <f>HYPERLINK("http://141.218.60.56/~jnz1568/getInfo.php?workbook=16_08.xlsx&amp;sheet=U0&amp;row=1998&amp;col=7&amp;number=0.00783&amp;sourceID=14","0.00783")</f>
        <v>0.00783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HYPERLINK("http://141.218.60.56/~jnz1568/getInfo.php?workbook=16_08.xlsx&amp;sheet=U0&amp;row=1999&amp;col=6&amp;number=4.5&amp;sourceID=14","4.5")</f>
        <v>4.5</v>
      </c>
      <c r="G1999" s="4" t="str">
        <f>HYPERLINK("http://141.218.60.56/~jnz1568/getInfo.php?workbook=16_08.xlsx&amp;sheet=U0&amp;row=1999&amp;col=7&amp;number=0.00781&amp;sourceID=14","0.00781")</f>
        <v>0.00781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HYPERLINK("http://141.218.60.56/~jnz1568/getInfo.php?workbook=16_08.xlsx&amp;sheet=U0&amp;row=2000&amp;col=6&amp;number=4.6&amp;sourceID=14","4.6")</f>
        <v>4.6</v>
      </c>
      <c r="G2000" s="4" t="str">
        <f>HYPERLINK("http://141.218.60.56/~jnz1568/getInfo.php?workbook=16_08.xlsx&amp;sheet=U0&amp;row=2000&amp;col=7&amp;number=0.00779&amp;sourceID=14","0.00779")</f>
        <v>0.00779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HYPERLINK("http://141.218.60.56/~jnz1568/getInfo.php?workbook=16_08.xlsx&amp;sheet=U0&amp;row=2001&amp;col=6&amp;number=4.7&amp;sourceID=14","4.7")</f>
        <v>4.7</v>
      </c>
      <c r="G2001" s="4" t="str">
        <f>HYPERLINK("http://141.218.60.56/~jnz1568/getInfo.php?workbook=16_08.xlsx&amp;sheet=U0&amp;row=2001&amp;col=7&amp;number=0.00775&amp;sourceID=14","0.00775")</f>
        <v>0.00775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HYPERLINK("http://141.218.60.56/~jnz1568/getInfo.php?workbook=16_08.xlsx&amp;sheet=U0&amp;row=2002&amp;col=6&amp;number=4.8&amp;sourceID=14","4.8")</f>
        <v>4.8</v>
      </c>
      <c r="G2002" s="4" t="str">
        <f>HYPERLINK("http://141.218.60.56/~jnz1568/getInfo.php?workbook=16_08.xlsx&amp;sheet=U0&amp;row=2002&amp;col=7&amp;number=0.00771&amp;sourceID=14","0.00771")</f>
        <v>0.00771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HYPERLINK("http://141.218.60.56/~jnz1568/getInfo.php?workbook=16_08.xlsx&amp;sheet=U0&amp;row=2003&amp;col=6&amp;number=4.9&amp;sourceID=14","4.9")</f>
        <v>4.9</v>
      </c>
      <c r="G2003" s="4" t="str">
        <f>HYPERLINK("http://141.218.60.56/~jnz1568/getInfo.php?workbook=16_08.xlsx&amp;sheet=U0&amp;row=2003&amp;col=7&amp;number=0.00767&amp;sourceID=14","0.00767")</f>
        <v>0.00767</v>
      </c>
    </row>
    <row r="2004" spans="1:7">
      <c r="A2004" s="3">
        <v>16</v>
      </c>
      <c r="B2004" s="3">
        <v>8</v>
      </c>
      <c r="C2004" s="3">
        <v>2</v>
      </c>
      <c r="D2004" s="3">
        <v>18</v>
      </c>
      <c r="E2004" s="3">
        <v>1</v>
      </c>
      <c r="F2004" s="4" t="str">
        <f>HYPERLINK("http://141.218.60.56/~jnz1568/getInfo.php?workbook=16_08.xlsx&amp;sheet=U0&amp;row=2004&amp;col=6&amp;number=3&amp;sourceID=14","3")</f>
        <v>3</v>
      </c>
      <c r="G2004" s="4" t="str">
        <f>HYPERLINK("http://141.218.60.56/~jnz1568/getInfo.php?workbook=16_08.xlsx&amp;sheet=U0&amp;row=2004&amp;col=7&amp;number=0.0155&amp;sourceID=14","0.0155")</f>
        <v>0.0155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HYPERLINK("http://141.218.60.56/~jnz1568/getInfo.php?workbook=16_08.xlsx&amp;sheet=U0&amp;row=2005&amp;col=6&amp;number=3.1&amp;sourceID=14","3.1")</f>
        <v>3.1</v>
      </c>
      <c r="G2005" s="4" t="str">
        <f>HYPERLINK("http://141.218.60.56/~jnz1568/getInfo.php?workbook=16_08.xlsx&amp;sheet=U0&amp;row=2005&amp;col=7&amp;number=0.0155&amp;sourceID=14","0.0155")</f>
        <v>0.0155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HYPERLINK("http://141.218.60.56/~jnz1568/getInfo.php?workbook=16_08.xlsx&amp;sheet=U0&amp;row=2006&amp;col=6&amp;number=3.2&amp;sourceID=14","3.2")</f>
        <v>3.2</v>
      </c>
      <c r="G2006" s="4" t="str">
        <f>HYPERLINK("http://141.218.60.56/~jnz1568/getInfo.php?workbook=16_08.xlsx&amp;sheet=U0&amp;row=2006&amp;col=7&amp;number=0.0155&amp;sourceID=14","0.0155")</f>
        <v>0.0155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HYPERLINK("http://141.218.60.56/~jnz1568/getInfo.php?workbook=16_08.xlsx&amp;sheet=U0&amp;row=2007&amp;col=6&amp;number=3.3&amp;sourceID=14","3.3")</f>
        <v>3.3</v>
      </c>
      <c r="G2007" s="4" t="str">
        <f>HYPERLINK("http://141.218.60.56/~jnz1568/getInfo.php?workbook=16_08.xlsx&amp;sheet=U0&amp;row=2007&amp;col=7&amp;number=0.0155&amp;sourceID=14","0.0155")</f>
        <v>0.0155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HYPERLINK("http://141.218.60.56/~jnz1568/getInfo.php?workbook=16_08.xlsx&amp;sheet=U0&amp;row=2008&amp;col=6&amp;number=3.4&amp;sourceID=14","3.4")</f>
        <v>3.4</v>
      </c>
      <c r="G2008" s="4" t="str">
        <f>HYPERLINK("http://141.218.60.56/~jnz1568/getInfo.php?workbook=16_08.xlsx&amp;sheet=U0&amp;row=2008&amp;col=7&amp;number=0.0155&amp;sourceID=14","0.0155")</f>
        <v>0.0155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HYPERLINK("http://141.218.60.56/~jnz1568/getInfo.php?workbook=16_08.xlsx&amp;sheet=U0&amp;row=2009&amp;col=6&amp;number=3.5&amp;sourceID=14","3.5")</f>
        <v>3.5</v>
      </c>
      <c r="G2009" s="4" t="str">
        <f>HYPERLINK("http://141.218.60.56/~jnz1568/getInfo.php?workbook=16_08.xlsx&amp;sheet=U0&amp;row=2009&amp;col=7&amp;number=0.0155&amp;sourceID=14","0.0155")</f>
        <v>0.0155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HYPERLINK("http://141.218.60.56/~jnz1568/getInfo.php?workbook=16_08.xlsx&amp;sheet=U0&amp;row=2010&amp;col=6&amp;number=3.6&amp;sourceID=14","3.6")</f>
        <v>3.6</v>
      </c>
      <c r="G2010" s="4" t="str">
        <f>HYPERLINK("http://141.218.60.56/~jnz1568/getInfo.php?workbook=16_08.xlsx&amp;sheet=U0&amp;row=2010&amp;col=7&amp;number=0.0155&amp;sourceID=14","0.0155")</f>
        <v>0.0155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HYPERLINK("http://141.218.60.56/~jnz1568/getInfo.php?workbook=16_08.xlsx&amp;sheet=U0&amp;row=2011&amp;col=6&amp;number=3.7&amp;sourceID=14","3.7")</f>
        <v>3.7</v>
      </c>
      <c r="G2011" s="4" t="str">
        <f>HYPERLINK("http://141.218.60.56/~jnz1568/getInfo.php?workbook=16_08.xlsx&amp;sheet=U0&amp;row=2011&amp;col=7&amp;number=0.0155&amp;sourceID=14","0.0155")</f>
        <v>0.0155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HYPERLINK("http://141.218.60.56/~jnz1568/getInfo.php?workbook=16_08.xlsx&amp;sheet=U0&amp;row=2012&amp;col=6&amp;number=3.8&amp;sourceID=14","3.8")</f>
        <v>3.8</v>
      </c>
      <c r="G2012" s="4" t="str">
        <f>HYPERLINK("http://141.218.60.56/~jnz1568/getInfo.php?workbook=16_08.xlsx&amp;sheet=U0&amp;row=2012&amp;col=7&amp;number=0.0155&amp;sourceID=14","0.0155")</f>
        <v>0.0155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HYPERLINK("http://141.218.60.56/~jnz1568/getInfo.php?workbook=16_08.xlsx&amp;sheet=U0&amp;row=2013&amp;col=6&amp;number=3.9&amp;sourceID=14","3.9")</f>
        <v>3.9</v>
      </c>
      <c r="G2013" s="4" t="str">
        <f>HYPERLINK("http://141.218.60.56/~jnz1568/getInfo.php?workbook=16_08.xlsx&amp;sheet=U0&amp;row=2013&amp;col=7&amp;number=0.0155&amp;sourceID=14","0.0155")</f>
        <v>0.0155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HYPERLINK("http://141.218.60.56/~jnz1568/getInfo.php?workbook=16_08.xlsx&amp;sheet=U0&amp;row=2014&amp;col=6&amp;number=4&amp;sourceID=14","4")</f>
        <v>4</v>
      </c>
      <c r="G2014" s="4" t="str">
        <f>HYPERLINK("http://141.218.60.56/~jnz1568/getInfo.php?workbook=16_08.xlsx&amp;sheet=U0&amp;row=2014&amp;col=7&amp;number=0.0155&amp;sourceID=14","0.0155")</f>
        <v>0.0155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HYPERLINK("http://141.218.60.56/~jnz1568/getInfo.php?workbook=16_08.xlsx&amp;sheet=U0&amp;row=2015&amp;col=6&amp;number=4.1&amp;sourceID=14","4.1")</f>
        <v>4.1</v>
      </c>
      <c r="G2015" s="4" t="str">
        <f>HYPERLINK("http://141.218.60.56/~jnz1568/getInfo.php?workbook=16_08.xlsx&amp;sheet=U0&amp;row=2015&amp;col=7&amp;number=0.0154&amp;sourceID=14","0.0154")</f>
        <v>0.0154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HYPERLINK("http://141.218.60.56/~jnz1568/getInfo.php?workbook=16_08.xlsx&amp;sheet=U0&amp;row=2016&amp;col=6&amp;number=4.2&amp;sourceID=14","4.2")</f>
        <v>4.2</v>
      </c>
      <c r="G2016" s="4" t="str">
        <f>HYPERLINK("http://141.218.60.56/~jnz1568/getInfo.php?workbook=16_08.xlsx&amp;sheet=U0&amp;row=2016&amp;col=7&amp;number=0.0154&amp;sourceID=14","0.0154")</f>
        <v>0.0154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HYPERLINK("http://141.218.60.56/~jnz1568/getInfo.php?workbook=16_08.xlsx&amp;sheet=U0&amp;row=2017&amp;col=6&amp;number=4.3&amp;sourceID=14","4.3")</f>
        <v>4.3</v>
      </c>
      <c r="G2017" s="4" t="str">
        <f>HYPERLINK("http://141.218.60.56/~jnz1568/getInfo.php?workbook=16_08.xlsx&amp;sheet=U0&amp;row=2017&amp;col=7&amp;number=0.0154&amp;sourceID=14","0.0154")</f>
        <v>0.0154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HYPERLINK("http://141.218.60.56/~jnz1568/getInfo.php?workbook=16_08.xlsx&amp;sheet=U0&amp;row=2018&amp;col=6&amp;number=4.4&amp;sourceID=14","4.4")</f>
        <v>4.4</v>
      </c>
      <c r="G2018" s="4" t="str">
        <f>HYPERLINK("http://141.218.60.56/~jnz1568/getInfo.php?workbook=16_08.xlsx&amp;sheet=U0&amp;row=2018&amp;col=7&amp;number=0.0154&amp;sourceID=14","0.0154")</f>
        <v>0.0154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HYPERLINK("http://141.218.60.56/~jnz1568/getInfo.php?workbook=16_08.xlsx&amp;sheet=U0&amp;row=2019&amp;col=6&amp;number=4.5&amp;sourceID=14","4.5")</f>
        <v>4.5</v>
      </c>
      <c r="G2019" s="4" t="str">
        <f>HYPERLINK("http://141.218.60.56/~jnz1568/getInfo.php?workbook=16_08.xlsx&amp;sheet=U0&amp;row=2019&amp;col=7&amp;number=0.0153&amp;sourceID=14","0.0153")</f>
        <v>0.0153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HYPERLINK("http://141.218.60.56/~jnz1568/getInfo.php?workbook=16_08.xlsx&amp;sheet=U0&amp;row=2020&amp;col=6&amp;number=4.6&amp;sourceID=14","4.6")</f>
        <v>4.6</v>
      </c>
      <c r="G2020" s="4" t="str">
        <f>HYPERLINK("http://141.218.60.56/~jnz1568/getInfo.php?workbook=16_08.xlsx&amp;sheet=U0&amp;row=2020&amp;col=7&amp;number=0.0153&amp;sourceID=14","0.0153")</f>
        <v>0.0153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HYPERLINK("http://141.218.60.56/~jnz1568/getInfo.php?workbook=16_08.xlsx&amp;sheet=U0&amp;row=2021&amp;col=6&amp;number=4.7&amp;sourceID=14","4.7")</f>
        <v>4.7</v>
      </c>
      <c r="G2021" s="4" t="str">
        <f>HYPERLINK("http://141.218.60.56/~jnz1568/getInfo.php?workbook=16_08.xlsx&amp;sheet=U0&amp;row=2021&amp;col=7&amp;number=0.0152&amp;sourceID=14","0.0152")</f>
        <v>0.0152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HYPERLINK("http://141.218.60.56/~jnz1568/getInfo.php?workbook=16_08.xlsx&amp;sheet=U0&amp;row=2022&amp;col=6&amp;number=4.8&amp;sourceID=14","4.8")</f>
        <v>4.8</v>
      </c>
      <c r="G2022" s="4" t="str">
        <f>HYPERLINK("http://141.218.60.56/~jnz1568/getInfo.php?workbook=16_08.xlsx&amp;sheet=U0&amp;row=2022&amp;col=7&amp;number=0.0152&amp;sourceID=14","0.0152")</f>
        <v>0.0152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HYPERLINK("http://141.218.60.56/~jnz1568/getInfo.php?workbook=16_08.xlsx&amp;sheet=U0&amp;row=2023&amp;col=6&amp;number=4.9&amp;sourceID=14","4.9")</f>
        <v>4.9</v>
      </c>
      <c r="G2023" s="4" t="str">
        <f>HYPERLINK("http://141.218.60.56/~jnz1568/getInfo.php?workbook=16_08.xlsx&amp;sheet=U0&amp;row=2023&amp;col=7&amp;number=0.0151&amp;sourceID=14","0.0151")</f>
        <v>0.0151</v>
      </c>
    </row>
    <row r="2024" spans="1:7">
      <c r="A2024" s="3">
        <v>16</v>
      </c>
      <c r="B2024" s="3">
        <v>8</v>
      </c>
      <c r="C2024" s="3">
        <v>2</v>
      </c>
      <c r="D2024" s="3">
        <v>19</v>
      </c>
      <c r="E2024" s="3">
        <v>1</v>
      </c>
      <c r="F2024" s="4" t="str">
        <f>HYPERLINK("http://141.218.60.56/~jnz1568/getInfo.php?workbook=16_08.xlsx&amp;sheet=U0&amp;row=2024&amp;col=6&amp;number=3&amp;sourceID=14","3")</f>
        <v>3</v>
      </c>
      <c r="G2024" s="4" t="str">
        <f>HYPERLINK("http://141.218.60.56/~jnz1568/getInfo.php?workbook=16_08.xlsx&amp;sheet=U0&amp;row=2024&amp;col=7&amp;number=0.0184&amp;sourceID=14","0.0184")</f>
        <v>0.0184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HYPERLINK("http://141.218.60.56/~jnz1568/getInfo.php?workbook=16_08.xlsx&amp;sheet=U0&amp;row=2025&amp;col=6&amp;number=3.1&amp;sourceID=14","3.1")</f>
        <v>3.1</v>
      </c>
      <c r="G2025" s="4" t="str">
        <f>HYPERLINK("http://141.218.60.56/~jnz1568/getInfo.php?workbook=16_08.xlsx&amp;sheet=U0&amp;row=2025&amp;col=7&amp;number=0.0184&amp;sourceID=14","0.0184")</f>
        <v>0.0184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HYPERLINK("http://141.218.60.56/~jnz1568/getInfo.php?workbook=16_08.xlsx&amp;sheet=U0&amp;row=2026&amp;col=6&amp;number=3.2&amp;sourceID=14","3.2")</f>
        <v>3.2</v>
      </c>
      <c r="G2026" s="4" t="str">
        <f>HYPERLINK("http://141.218.60.56/~jnz1568/getInfo.php?workbook=16_08.xlsx&amp;sheet=U0&amp;row=2026&amp;col=7&amp;number=0.0184&amp;sourceID=14","0.0184")</f>
        <v>0.0184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HYPERLINK("http://141.218.60.56/~jnz1568/getInfo.php?workbook=16_08.xlsx&amp;sheet=U0&amp;row=2027&amp;col=6&amp;number=3.3&amp;sourceID=14","3.3")</f>
        <v>3.3</v>
      </c>
      <c r="G2027" s="4" t="str">
        <f>HYPERLINK("http://141.218.60.56/~jnz1568/getInfo.php?workbook=16_08.xlsx&amp;sheet=U0&amp;row=2027&amp;col=7&amp;number=0.0184&amp;sourceID=14","0.0184")</f>
        <v>0.0184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HYPERLINK("http://141.218.60.56/~jnz1568/getInfo.php?workbook=16_08.xlsx&amp;sheet=U0&amp;row=2028&amp;col=6&amp;number=3.4&amp;sourceID=14","3.4")</f>
        <v>3.4</v>
      </c>
      <c r="G2028" s="4" t="str">
        <f>HYPERLINK("http://141.218.60.56/~jnz1568/getInfo.php?workbook=16_08.xlsx&amp;sheet=U0&amp;row=2028&amp;col=7&amp;number=0.0184&amp;sourceID=14","0.0184")</f>
        <v>0.0184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HYPERLINK("http://141.218.60.56/~jnz1568/getInfo.php?workbook=16_08.xlsx&amp;sheet=U0&amp;row=2029&amp;col=6&amp;number=3.5&amp;sourceID=14","3.5")</f>
        <v>3.5</v>
      </c>
      <c r="G2029" s="4" t="str">
        <f>HYPERLINK("http://141.218.60.56/~jnz1568/getInfo.php?workbook=16_08.xlsx&amp;sheet=U0&amp;row=2029&amp;col=7&amp;number=0.0184&amp;sourceID=14","0.0184")</f>
        <v>0.0184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HYPERLINK("http://141.218.60.56/~jnz1568/getInfo.php?workbook=16_08.xlsx&amp;sheet=U0&amp;row=2030&amp;col=6&amp;number=3.6&amp;sourceID=14","3.6")</f>
        <v>3.6</v>
      </c>
      <c r="G2030" s="4" t="str">
        <f>HYPERLINK("http://141.218.60.56/~jnz1568/getInfo.php?workbook=16_08.xlsx&amp;sheet=U0&amp;row=2030&amp;col=7&amp;number=0.0184&amp;sourceID=14","0.0184")</f>
        <v>0.0184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HYPERLINK("http://141.218.60.56/~jnz1568/getInfo.php?workbook=16_08.xlsx&amp;sheet=U0&amp;row=2031&amp;col=6&amp;number=3.7&amp;sourceID=14","3.7")</f>
        <v>3.7</v>
      </c>
      <c r="G2031" s="4" t="str">
        <f>HYPERLINK("http://141.218.60.56/~jnz1568/getInfo.php?workbook=16_08.xlsx&amp;sheet=U0&amp;row=2031&amp;col=7&amp;number=0.0183&amp;sourceID=14","0.0183")</f>
        <v>0.0183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HYPERLINK("http://141.218.60.56/~jnz1568/getInfo.php?workbook=16_08.xlsx&amp;sheet=U0&amp;row=2032&amp;col=6&amp;number=3.8&amp;sourceID=14","3.8")</f>
        <v>3.8</v>
      </c>
      <c r="G2032" s="4" t="str">
        <f>HYPERLINK("http://141.218.60.56/~jnz1568/getInfo.php?workbook=16_08.xlsx&amp;sheet=U0&amp;row=2032&amp;col=7&amp;number=0.0183&amp;sourceID=14","0.0183")</f>
        <v>0.0183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HYPERLINK("http://141.218.60.56/~jnz1568/getInfo.php?workbook=16_08.xlsx&amp;sheet=U0&amp;row=2033&amp;col=6&amp;number=3.9&amp;sourceID=14","3.9")</f>
        <v>3.9</v>
      </c>
      <c r="G2033" s="4" t="str">
        <f>HYPERLINK("http://141.218.60.56/~jnz1568/getInfo.php?workbook=16_08.xlsx&amp;sheet=U0&amp;row=2033&amp;col=7&amp;number=0.0183&amp;sourceID=14","0.0183")</f>
        <v>0.0183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HYPERLINK("http://141.218.60.56/~jnz1568/getInfo.php?workbook=16_08.xlsx&amp;sheet=U0&amp;row=2034&amp;col=6&amp;number=4&amp;sourceID=14","4")</f>
        <v>4</v>
      </c>
      <c r="G2034" s="4" t="str">
        <f>HYPERLINK("http://141.218.60.56/~jnz1568/getInfo.php?workbook=16_08.xlsx&amp;sheet=U0&amp;row=2034&amp;col=7&amp;number=0.0183&amp;sourceID=14","0.0183")</f>
        <v>0.0183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HYPERLINK("http://141.218.60.56/~jnz1568/getInfo.php?workbook=16_08.xlsx&amp;sheet=U0&amp;row=2035&amp;col=6&amp;number=4.1&amp;sourceID=14","4.1")</f>
        <v>4.1</v>
      </c>
      <c r="G2035" s="4" t="str">
        <f>HYPERLINK("http://141.218.60.56/~jnz1568/getInfo.php?workbook=16_08.xlsx&amp;sheet=U0&amp;row=2035&amp;col=7&amp;number=0.0183&amp;sourceID=14","0.0183")</f>
        <v>0.0183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HYPERLINK("http://141.218.60.56/~jnz1568/getInfo.php?workbook=16_08.xlsx&amp;sheet=U0&amp;row=2036&amp;col=6&amp;number=4.2&amp;sourceID=14","4.2")</f>
        <v>4.2</v>
      </c>
      <c r="G2036" s="4" t="str">
        <f>HYPERLINK("http://141.218.60.56/~jnz1568/getInfo.php?workbook=16_08.xlsx&amp;sheet=U0&amp;row=2036&amp;col=7&amp;number=0.0183&amp;sourceID=14","0.0183")</f>
        <v>0.0183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HYPERLINK("http://141.218.60.56/~jnz1568/getInfo.php?workbook=16_08.xlsx&amp;sheet=U0&amp;row=2037&amp;col=6&amp;number=4.3&amp;sourceID=14","4.3")</f>
        <v>4.3</v>
      </c>
      <c r="G2037" s="4" t="str">
        <f>HYPERLINK("http://141.218.60.56/~jnz1568/getInfo.php?workbook=16_08.xlsx&amp;sheet=U0&amp;row=2037&amp;col=7&amp;number=0.0182&amp;sourceID=14","0.0182")</f>
        <v>0.0182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HYPERLINK("http://141.218.60.56/~jnz1568/getInfo.php?workbook=16_08.xlsx&amp;sheet=U0&amp;row=2038&amp;col=6&amp;number=4.4&amp;sourceID=14","4.4")</f>
        <v>4.4</v>
      </c>
      <c r="G2038" s="4" t="str">
        <f>HYPERLINK("http://141.218.60.56/~jnz1568/getInfo.php?workbook=16_08.xlsx&amp;sheet=U0&amp;row=2038&amp;col=7&amp;number=0.0182&amp;sourceID=14","0.0182")</f>
        <v>0.0182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HYPERLINK("http://141.218.60.56/~jnz1568/getInfo.php?workbook=16_08.xlsx&amp;sheet=U0&amp;row=2039&amp;col=6&amp;number=4.5&amp;sourceID=14","4.5")</f>
        <v>4.5</v>
      </c>
      <c r="G2039" s="4" t="str">
        <f>HYPERLINK("http://141.218.60.56/~jnz1568/getInfo.php?workbook=16_08.xlsx&amp;sheet=U0&amp;row=2039&amp;col=7&amp;number=0.0181&amp;sourceID=14","0.0181")</f>
        <v>0.0181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HYPERLINK("http://141.218.60.56/~jnz1568/getInfo.php?workbook=16_08.xlsx&amp;sheet=U0&amp;row=2040&amp;col=6&amp;number=4.6&amp;sourceID=14","4.6")</f>
        <v>4.6</v>
      </c>
      <c r="G2040" s="4" t="str">
        <f>HYPERLINK("http://141.218.60.56/~jnz1568/getInfo.php?workbook=16_08.xlsx&amp;sheet=U0&amp;row=2040&amp;col=7&amp;number=0.0181&amp;sourceID=14","0.0181")</f>
        <v>0.0181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HYPERLINK("http://141.218.60.56/~jnz1568/getInfo.php?workbook=16_08.xlsx&amp;sheet=U0&amp;row=2041&amp;col=6&amp;number=4.7&amp;sourceID=14","4.7")</f>
        <v>4.7</v>
      </c>
      <c r="G2041" s="4" t="str">
        <f>HYPERLINK("http://141.218.60.56/~jnz1568/getInfo.php?workbook=16_08.xlsx&amp;sheet=U0&amp;row=2041&amp;col=7&amp;number=0.018&amp;sourceID=14","0.018")</f>
        <v>0.018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HYPERLINK("http://141.218.60.56/~jnz1568/getInfo.php?workbook=16_08.xlsx&amp;sheet=U0&amp;row=2042&amp;col=6&amp;number=4.8&amp;sourceID=14","4.8")</f>
        <v>4.8</v>
      </c>
      <c r="G2042" s="4" t="str">
        <f>HYPERLINK("http://141.218.60.56/~jnz1568/getInfo.php?workbook=16_08.xlsx&amp;sheet=U0&amp;row=2042&amp;col=7&amp;number=0.0179&amp;sourceID=14","0.0179")</f>
        <v>0.0179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HYPERLINK("http://141.218.60.56/~jnz1568/getInfo.php?workbook=16_08.xlsx&amp;sheet=U0&amp;row=2043&amp;col=6&amp;number=4.9&amp;sourceID=14","4.9")</f>
        <v>4.9</v>
      </c>
      <c r="G2043" s="4" t="str">
        <f>HYPERLINK("http://141.218.60.56/~jnz1568/getInfo.php?workbook=16_08.xlsx&amp;sheet=U0&amp;row=2043&amp;col=7&amp;number=0.0178&amp;sourceID=14","0.0178")</f>
        <v>0.0178</v>
      </c>
    </row>
    <row r="2044" spans="1:7">
      <c r="A2044" s="3">
        <v>16</v>
      </c>
      <c r="B2044" s="3">
        <v>8</v>
      </c>
      <c r="C2044" s="3">
        <v>2</v>
      </c>
      <c r="D2044" s="3">
        <v>20</v>
      </c>
      <c r="E2044" s="3">
        <v>1</v>
      </c>
      <c r="F2044" s="4" t="str">
        <f>HYPERLINK("http://141.218.60.56/~jnz1568/getInfo.php?workbook=16_08.xlsx&amp;sheet=U0&amp;row=2044&amp;col=6&amp;number=3&amp;sourceID=14","3")</f>
        <v>3</v>
      </c>
      <c r="G2044" s="4" t="str">
        <f>HYPERLINK("http://141.218.60.56/~jnz1568/getInfo.php?workbook=16_08.xlsx&amp;sheet=U0&amp;row=2044&amp;col=7&amp;number=0.0271&amp;sourceID=14","0.0271")</f>
        <v>0.0271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HYPERLINK("http://141.218.60.56/~jnz1568/getInfo.php?workbook=16_08.xlsx&amp;sheet=U0&amp;row=2045&amp;col=6&amp;number=3.1&amp;sourceID=14","3.1")</f>
        <v>3.1</v>
      </c>
      <c r="G2045" s="4" t="str">
        <f>HYPERLINK("http://141.218.60.56/~jnz1568/getInfo.php?workbook=16_08.xlsx&amp;sheet=U0&amp;row=2045&amp;col=7&amp;number=0.0271&amp;sourceID=14","0.0271")</f>
        <v>0.0271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HYPERLINK("http://141.218.60.56/~jnz1568/getInfo.php?workbook=16_08.xlsx&amp;sheet=U0&amp;row=2046&amp;col=6&amp;number=3.2&amp;sourceID=14","3.2")</f>
        <v>3.2</v>
      </c>
      <c r="G2046" s="4" t="str">
        <f>HYPERLINK("http://141.218.60.56/~jnz1568/getInfo.php?workbook=16_08.xlsx&amp;sheet=U0&amp;row=2046&amp;col=7&amp;number=0.0271&amp;sourceID=14","0.0271")</f>
        <v>0.0271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HYPERLINK("http://141.218.60.56/~jnz1568/getInfo.php?workbook=16_08.xlsx&amp;sheet=U0&amp;row=2047&amp;col=6&amp;number=3.3&amp;sourceID=14","3.3")</f>
        <v>3.3</v>
      </c>
      <c r="G2047" s="4" t="str">
        <f>HYPERLINK("http://141.218.60.56/~jnz1568/getInfo.php?workbook=16_08.xlsx&amp;sheet=U0&amp;row=2047&amp;col=7&amp;number=0.0271&amp;sourceID=14","0.0271")</f>
        <v>0.0271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HYPERLINK("http://141.218.60.56/~jnz1568/getInfo.php?workbook=16_08.xlsx&amp;sheet=U0&amp;row=2048&amp;col=6&amp;number=3.4&amp;sourceID=14","3.4")</f>
        <v>3.4</v>
      </c>
      <c r="G2048" s="4" t="str">
        <f>HYPERLINK("http://141.218.60.56/~jnz1568/getInfo.php?workbook=16_08.xlsx&amp;sheet=U0&amp;row=2048&amp;col=7&amp;number=0.0271&amp;sourceID=14","0.0271")</f>
        <v>0.0271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HYPERLINK("http://141.218.60.56/~jnz1568/getInfo.php?workbook=16_08.xlsx&amp;sheet=U0&amp;row=2049&amp;col=6&amp;number=3.5&amp;sourceID=14","3.5")</f>
        <v>3.5</v>
      </c>
      <c r="G2049" s="4" t="str">
        <f>HYPERLINK("http://141.218.60.56/~jnz1568/getInfo.php?workbook=16_08.xlsx&amp;sheet=U0&amp;row=2049&amp;col=7&amp;number=0.0271&amp;sourceID=14","0.0271")</f>
        <v>0.0271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HYPERLINK("http://141.218.60.56/~jnz1568/getInfo.php?workbook=16_08.xlsx&amp;sheet=U0&amp;row=2050&amp;col=6&amp;number=3.6&amp;sourceID=14","3.6")</f>
        <v>3.6</v>
      </c>
      <c r="G2050" s="4" t="str">
        <f>HYPERLINK("http://141.218.60.56/~jnz1568/getInfo.php?workbook=16_08.xlsx&amp;sheet=U0&amp;row=2050&amp;col=7&amp;number=0.0271&amp;sourceID=14","0.0271")</f>
        <v>0.0271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HYPERLINK("http://141.218.60.56/~jnz1568/getInfo.php?workbook=16_08.xlsx&amp;sheet=U0&amp;row=2051&amp;col=6&amp;number=3.7&amp;sourceID=14","3.7")</f>
        <v>3.7</v>
      </c>
      <c r="G2051" s="4" t="str">
        <f>HYPERLINK("http://141.218.60.56/~jnz1568/getInfo.php?workbook=16_08.xlsx&amp;sheet=U0&amp;row=2051&amp;col=7&amp;number=0.0271&amp;sourceID=14","0.0271")</f>
        <v>0.0271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HYPERLINK("http://141.218.60.56/~jnz1568/getInfo.php?workbook=16_08.xlsx&amp;sheet=U0&amp;row=2052&amp;col=6&amp;number=3.8&amp;sourceID=14","3.8")</f>
        <v>3.8</v>
      </c>
      <c r="G2052" s="4" t="str">
        <f>HYPERLINK("http://141.218.60.56/~jnz1568/getInfo.php?workbook=16_08.xlsx&amp;sheet=U0&amp;row=2052&amp;col=7&amp;number=0.0271&amp;sourceID=14","0.0271")</f>
        <v>0.0271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HYPERLINK("http://141.218.60.56/~jnz1568/getInfo.php?workbook=16_08.xlsx&amp;sheet=U0&amp;row=2053&amp;col=6&amp;number=3.9&amp;sourceID=14","3.9")</f>
        <v>3.9</v>
      </c>
      <c r="G2053" s="4" t="str">
        <f>HYPERLINK("http://141.218.60.56/~jnz1568/getInfo.php?workbook=16_08.xlsx&amp;sheet=U0&amp;row=2053&amp;col=7&amp;number=0.0271&amp;sourceID=14","0.0271")</f>
        <v>0.0271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HYPERLINK("http://141.218.60.56/~jnz1568/getInfo.php?workbook=16_08.xlsx&amp;sheet=U0&amp;row=2054&amp;col=6&amp;number=4&amp;sourceID=14","4")</f>
        <v>4</v>
      </c>
      <c r="G2054" s="4" t="str">
        <f>HYPERLINK("http://141.218.60.56/~jnz1568/getInfo.php?workbook=16_08.xlsx&amp;sheet=U0&amp;row=2054&amp;col=7&amp;number=0.0271&amp;sourceID=14","0.0271")</f>
        <v>0.0271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HYPERLINK("http://141.218.60.56/~jnz1568/getInfo.php?workbook=16_08.xlsx&amp;sheet=U0&amp;row=2055&amp;col=6&amp;number=4.1&amp;sourceID=14","4.1")</f>
        <v>4.1</v>
      </c>
      <c r="G2055" s="4" t="str">
        <f>HYPERLINK("http://141.218.60.56/~jnz1568/getInfo.php?workbook=16_08.xlsx&amp;sheet=U0&amp;row=2055&amp;col=7&amp;number=0.0271&amp;sourceID=14","0.0271")</f>
        <v>0.0271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HYPERLINK("http://141.218.60.56/~jnz1568/getInfo.php?workbook=16_08.xlsx&amp;sheet=U0&amp;row=2056&amp;col=6&amp;number=4.2&amp;sourceID=14","4.2")</f>
        <v>4.2</v>
      </c>
      <c r="G2056" s="4" t="str">
        <f>HYPERLINK("http://141.218.60.56/~jnz1568/getInfo.php?workbook=16_08.xlsx&amp;sheet=U0&amp;row=2056&amp;col=7&amp;number=0.0271&amp;sourceID=14","0.0271")</f>
        <v>0.0271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HYPERLINK("http://141.218.60.56/~jnz1568/getInfo.php?workbook=16_08.xlsx&amp;sheet=U0&amp;row=2057&amp;col=6&amp;number=4.3&amp;sourceID=14","4.3")</f>
        <v>4.3</v>
      </c>
      <c r="G2057" s="4" t="str">
        <f>HYPERLINK("http://141.218.60.56/~jnz1568/getInfo.php?workbook=16_08.xlsx&amp;sheet=U0&amp;row=2057&amp;col=7&amp;number=0.0271&amp;sourceID=14","0.0271")</f>
        <v>0.0271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HYPERLINK("http://141.218.60.56/~jnz1568/getInfo.php?workbook=16_08.xlsx&amp;sheet=U0&amp;row=2058&amp;col=6&amp;number=4.4&amp;sourceID=14","4.4")</f>
        <v>4.4</v>
      </c>
      <c r="G2058" s="4" t="str">
        <f>HYPERLINK("http://141.218.60.56/~jnz1568/getInfo.php?workbook=16_08.xlsx&amp;sheet=U0&amp;row=2058&amp;col=7&amp;number=0.0271&amp;sourceID=14","0.0271")</f>
        <v>0.0271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HYPERLINK("http://141.218.60.56/~jnz1568/getInfo.php?workbook=16_08.xlsx&amp;sheet=U0&amp;row=2059&amp;col=6&amp;number=4.5&amp;sourceID=14","4.5")</f>
        <v>4.5</v>
      </c>
      <c r="G2059" s="4" t="str">
        <f>HYPERLINK("http://141.218.60.56/~jnz1568/getInfo.php?workbook=16_08.xlsx&amp;sheet=U0&amp;row=2059&amp;col=7&amp;number=0.0271&amp;sourceID=14","0.0271")</f>
        <v>0.0271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HYPERLINK("http://141.218.60.56/~jnz1568/getInfo.php?workbook=16_08.xlsx&amp;sheet=U0&amp;row=2060&amp;col=6&amp;number=4.6&amp;sourceID=14","4.6")</f>
        <v>4.6</v>
      </c>
      <c r="G2060" s="4" t="str">
        <f>HYPERLINK("http://141.218.60.56/~jnz1568/getInfo.php?workbook=16_08.xlsx&amp;sheet=U0&amp;row=2060&amp;col=7&amp;number=0.0271&amp;sourceID=14","0.0271")</f>
        <v>0.0271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HYPERLINK("http://141.218.60.56/~jnz1568/getInfo.php?workbook=16_08.xlsx&amp;sheet=U0&amp;row=2061&amp;col=6&amp;number=4.7&amp;sourceID=14","4.7")</f>
        <v>4.7</v>
      </c>
      <c r="G2061" s="4" t="str">
        <f>HYPERLINK("http://141.218.60.56/~jnz1568/getInfo.php?workbook=16_08.xlsx&amp;sheet=U0&amp;row=2061&amp;col=7&amp;number=0.0271&amp;sourceID=14","0.0271")</f>
        <v>0.0271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HYPERLINK("http://141.218.60.56/~jnz1568/getInfo.php?workbook=16_08.xlsx&amp;sheet=U0&amp;row=2062&amp;col=6&amp;number=4.8&amp;sourceID=14","4.8")</f>
        <v>4.8</v>
      </c>
      <c r="G2062" s="4" t="str">
        <f>HYPERLINK("http://141.218.60.56/~jnz1568/getInfo.php?workbook=16_08.xlsx&amp;sheet=U0&amp;row=2062&amp;col=7&amp;number=0.0272&amp;sourceID=14","0.0272")</f>
        <v>0.0272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HYPERLINK("http://141.218.60.56/~jnz1568/getInfo.php?workbook=16_08.xlsx&amp;sheet=U0&amp;row=2063&amp;col=6&amp;number=4.9&amp;sourceID=14","4.9")</f>
        <v>4.9</v>
      </c>
      <c r="G2063" s="4" t="str">
        <f>HYPERLINK("http://141.218.60.56/~jnz1568/getInfo.php?workbook=16_08.xlsx&amp;sheet=U0&amp;row=2063&amp;col=7&amp;number=0.0272&amp;sourceID=14","0.0272")</f>
        <v>0.0272</v>
      </c>
    </row>
    <row r="2064" spans="1:7">
      <c r="A2064" s="3">
        <v>16</v>
      </c>
      <c r="B2064" s="3">
        <v>8</v>
      </c>
      <c r="C2064" s="3">
        <v>2</v>
      </c>
      <c r="D2064" s="3">
        <v>21</v>
      </c>
      <c r="E2064" s="3">
        <v>1</v>
      </c>
      <c r="F2064" s="4" t="str">
        <f>HYPERLINK("http://141.218.60.56/~jnz1568/getInfo.php?workbook=16_08.xlsx&amp;sheet=U0&amp;row=2064&amp;col=6&amp;number=3&amp;sourceID=14","3")</f>
        <v>3</v>
      </c>
      <c r="G2064" s="4" t="str">
        <f>HYPERLINK("http://141.218.60.56/~jnz1568/getInfo.php?workbook=16_08.xlsx&amp;sheet=U0&amp;row=2064&amp;col=7&amp;number=0.00994&amp;sourceID=14","0.00994")</f>
        <v>0.00994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HYPERLINK("http://141.218.60.56/~jnz1568/getInfo.php?workbook=16_08.xlsx&amp;sheet=U0&amp;row=2065&amp;col=6&amp;number=3.1&amp;sourceID=14","3.1")</f>
        <v>3.1</v>
      </c>
      <c r="G2065" s="4" t="str">
        <f>HYPERLINK("http://141.218.60.56/~jnz1568/getInfo.php?workbook=16_08.xlsx&amp;sheet=U0&amp;row=2065&amp;col=7&amp;number=0.00994&amp;sourceID=14","0.00994")</f>
        <v>0.00994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HYPERLINK("http://141.218.60.56/~jnz1568/getInfo.php?workbook=16_08.xlsx&amp;sheet=U0&amp;row=2066&amp;col=6&amp;number=3.2&amp;sourceID=14","3.2")</f>
        <v>3.2</v>
      </c>
      <c r="G2066" s="4" t="str">
        <f>HYPERLINK("http://141.218.60.56/~jnz1568/getInfo.php?workbook=16_08.xlsx&amp;sheet=U0&amp;row=2066&amp;col=7&amp;number=0.00994&amp;sourceID=14","0.00994")</f>
        <v>0.00994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HYPERLINK("http://141.218.60.56/~jnz1568/getInfo.php?workbook=16_08.xlsx&amp;sheet=U0&amp;row=2067&amp;col=6&amp;number=3.3&amp;sourceID=14","3.3")</f>
        <v>3.3</v>
      </c>
      <c r="G2067" s="4" t="str">
        <f>HYPERLINK("http://141.218.60.56/~jnz1568/getInfo.php?workbook=16_08.xlsx&amp;sheet=U0&amp;row=2067&amp;col=7&amp;number=0.00994&amp;sourceID=14","0.00994")</f>
        <v>0.00994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HYPERLINK("http://141.218.60.56/~jnz1568/getInfo.php?workbook=16_08.xlsx&amp;sheet=U0&amp;row=2068&amp;col=6&amp;number=3.4&amp;sourceID=14","3.4")</f>
        <v>3.4</v>
      </c>
      <c r="G2068" s="4" t="str">
        <f>HYPERLINK("http://141.218.60.56/~jnz1568/getInfo.php?workbook=16_08.xlsx&amp;sheet=U0&amp;row=2068&amp;col=7&amp;number=0.00994&amp;sourceID=14","0.00994")</f>
        <v>0.00994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HYPERLINK("http://141.218.60.56/~jnz1568/getInfo.php?workbook=16_08.xlsx&amp;sheet=U0&amp;row=2069&amp;col=6&amp;number=3.5&amp;sourceID=14","3.5")</f>
        <v>3.5</v>
      </c>
      <c r="G2069" s="4" t="str">
        <f>HYPERLINK("http://141.218.60.56/~jnz1568/getInfo.php?workbook=16_08.xlsx&amp;sheet=U0&amp;row=2069&amp;col=7&amp;number=0.00994&amp;sourceID=14","0.00994")</f>
        <v>0.00994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HYPERLINK("http://141.218.60.56/~jnz1568/getInfo.php?workbook=16_08.xlsx&amp;sheet=U0&amp;row=2070&amp;col=6&amp;number=3.6&amp;sourceID=14","3.6")</f>
        <v>3.6</v>
      </c>
      <c r="G2070" s="4" t="str">
        <f>HYPERLINK("http://141.218.60.56/~jnz1568/getInfo.php?workbook=16_08.xlsx&amp;sheet=U0&amp;row=2070&amp;col=7&amp;number=0.00994&amp;sourceID=14","0.00994")</f>
        <v>0.00994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HYPERLINK("http://141.218.60.56/~jnz1568/getInfo.php?workbook=16_08.xlsx&amp;sheet=U0&amp;row=2071&amp;col=6&amp;number=3.7&amp;sourceID=14","3.7")</f>
        <v>3.7</v>
      </c>
      <c r="G2071" s="4" t="str">
        <f>HYPERLINK("http://141.218.60.56/~jnz1568/getInfo.php?workbook=16_08.xlsx&amp;sheet=U0&amp;row=2071&amp;col=7&amp;number=0.00994&amp;sourceID=14","0.00994")</f>
        <v>0.00994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HYPERLINK("http://141.218.60.56/~jnz1568/getInfo.php?workbook=16_08.xlsx&amp;sheet=U0&amp;row=2072&amp;col=6&amp;number=3.8&amp;sourceID=14","3.8")</f>
        <v>3.8</v>
      </c>
      <c r="G2072" s="4" t="str">
        <f>HYPERLINK("http://141.218.60.56/~jnz1568/getInfo.php?workbook=16_08.xlsx&amp;sheet=U0&amp;row=2072&amp;col=7&amp;number=0.00994&amp;sourceID=14","0.00994")</f>
        <v>0.00994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HYPERLINK("http://141.218.60.56/~jnz1568/getInfo.php?workbook=16_08.xlsx&amp;sheet=U0&amp;row=2073&amp;col=6&amp;number=3.9&amp;sourceID=14","3.9")</f>
        <v>3.9</v>
      </c>
      <c r="G2073" s="4" t="str">
        <f>HYPERLINK("http://141.218.60.56/~jnz1568/getInfo.php?workbook=16_08.xlsx&amp;sheet=U0&amp;row=2073&amp;col=7&amp;number=0.00994&amp;sourceID=14","0.00994")</f>
        <v>0.00994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HYPERLINK("http://141.218.60.56/~jnz1568/getInfo.php?workbook=16_08.xlsx&amp;sheet=U0&amp;row=2074&amp;col=6&amp;number=4&amp;sourceID=14","4")</f>
        <v>4</v>
      </c>
      <c r="G2074" s="4" t="str">
        <f>HYPERLINK("http://141.218.60.56/~jnz1568/getInfo.php?workbook=16_08.xlsx&amp;sheet=U0&amp;row=2074&amp;col=7&amp;number=0.00994&amp;sourceID=14","0.00994")</f>
        <v>0.00994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HYPERLINK("http://141.218.60.56/~jnz1568/getInfo.php?workbook=16_08.xlsx&amp;sheet=U0&amp;row=2075&amp;col=6&amp;number=4.1&amp;sourceID=14","4.1")</f>
        <v>4.1</v>
      </c>
      <c r="G2075" s="4" t="str">
        <f>HYPERLINK("http://141.218.60.56/~jnz1568/getInfo.php?workbook=16_08.xlsx&amp;sheet=U0&amp;row=2075&amp;col=7&amp;number=0.00995&amp;sourceID=14","0.00995")</f>
        <v>0.00995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HYPERLINK("http://141.218.60.56/~jnz1568/getInfo.php?workbook=16_08.xlsx&amp;sheet=U0&amp;row=2076&amp;col=6&amp;number=4.2&amp;sourceID=14","4.2")</f>
        <v>4.2</v>
      </c>
      <c r="G2076" s="4" t="str">
        <f>HYPERLINK("http://141.218.60.56/~jnz1568/getInfo.php?workbook=16_08.xlsx&amp;sheet=U0&amp;row=2076&amp;col=7&amp;number=0.00995&amp;sourceID=14","0.00995")</f>
        <v>0.00995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HYPERLINK("http://141.218.60.56/~jnz1568/getInfo.php?workbook=16_08.xlsx&amp;sheet=U0&amp;row=2077&amp;col=6&amp;number=4.3&amp;sourceID=14","4.3")</f>
        <v>4.3</v>
      </c>
      <c r="G2077" s="4" t="str">
        <f>HYPERLINK("http://141.218.60.56/~jnz1568/getInfo.php?workbook=16_08.xlsx&amp;sheet=U0&amp;row=2077&amp;col=7&amp;number=0.00995&amp;sourceID=14","0.00995")</f>
        <v>0.00995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HYPERLINK("http://141.218.60.56/~jnz1568/getInfo.php?workbook=16_08.xlsx&amp;sheet=U0&amp;row=2078&amp;col=6&amp;number=4.4&amp;sourceID=14","4.4")</f>
        <v>4.4</v>
      </c>
      <c r="G2078" s="4" t="str">
        <f>HYPERLINK("http://141.218.60.56/~jnz1568/getInfo.php?workbook=16_08.xlsx&amp;sheet=U0&amp;row=2078&amp;col=7&amp;number=0.00996&amp;sourceID=14","0.00996")</f>
        <v>0.00996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HYPERLINK("http://141.218.60.56/~jnz1568/getInfo.php?workbook=16_08.xlsx&amp;sheet=U0&amp;row=2079&amp;col=6&amp;number=4.5&amp;sourceID=14","4.5")</f>
        <v>4.5</v>
      </c>
      <c r="G2079" s="4" t="str">
        <f>HYPERLINK("http://141.218.60.56/~jnz1568/getInfo.php?workbook=16_08.xlsx&amp;sheet=U0&amp;row=2079&amp;col=7&amp;number=0.00996&amp;sourceID=14","0.00996")</f>
        <v>0.00996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HYPERLINK("http://141.218.60.56/~jnz1568/getInfo.php?workbook=16_08.xlsx&amp;sheet=U0&amp;row=2080&amp;col=6&amp;number=4.6&amp;sourceID=14","4.6")</f>
        <v>4.6</v>
      </c>
      <c r="G2080" s="4" t="str">
        <f>HYPERLINK("http://141.218.60.56/~jnz1568/getInfo.php?workbook=16_08.xlsx&amp;sheet=U0&amp;row=2080&amp;col=7&amp;number=0.00997&amp;sourceID=14","0.00997")</f>
        <v>0.00997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HYPERLINK("http://141.218.60.56/~jnz1568/getInfo.php?workbook=16_08.xlsx&amp;sheet=U0&amp;row=2081&amp;col=6&amp;number=4.7&amp;sourceID=14","4.7")</f>
        <v>4.7</v>
      </c>
      <c r="G2081" s="4" t="str">
        <f>HYPERLINK("http://141.218.60.56/~jnz1568/getInfo.php?workbook=16_08.xlsx&amp;sheet=U0&amp;row=2081&amp;col=7&amp;number=0.00998&amp;sourceID=14","0.00998")</f>
        <v>0.00998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HYPERLINK("http://141.218.60.56/~jnz1568/getInfo.php?workbook=16_08.xlsx&amp;sheet=U0&amp;row=2082&amp;col=6&amp;number=4.8&amp;sourceID=14","4.8")</f>
        <v>4.8</v>
      </c>
      <c r="G2082" s="4" t="str">
        <f>HYPERLINK("http://141.218.60.56/~jnz1568/getInfo.php?workbook=16_08.xlsx&amp;sheet=U0&amp;row=2082&amp;col=7&amp;number=0.00999&amp;sourceID=14","0.00999")</f>
        <v>0.00999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HYPERLINK("http://141.218.60.56/~jnz1568/getInfo.php?workbook=16_08.xlsx&amp;sheet=U0&amp;row=2083&amp;col=6&amp;number=4.9&amp;sourceID=14","4.9")</f>
        <v>4.9</v>
      </c>
      <c r="G2083" s="4" t="str">
        <f>HYPERLINK("http://141.218.60.56/~jnz1568/getInfo.php?workbook=16_08.xlsx&amp;sheet=U0&amp;row=2083&amp;col=7&amp;number=0.01&amp;sourceID=14","0.01")</f>
        <v>0.01</v>
      </c>
    </row>
    <row r="2084" spans="1:7">
      <c r="A2084" s="3">
        <v>16</v>
      </c>
      <c r="B2084" s="3">
        <v>8</v>
      </c>
      <c r="C2084" s="3">
        <v>2</v>
      </c>
      <c r="D2084" s="3">
        <v>22</v>
      </c>
      <c r="E2084" s="3">
        <v>1</v>
      </c>
      <c r="F2084" s="4" t="str">
        <f>HYPERLINK("http://141.218.60.56/~jnz1568/getInfo.php?workbook=16_08.xlsx&amp;sheet=U0&amp;row=2084&amp;col=6&amp;number=3&amp;sourceID=14","3")</f>
        <v>3</v>
      </c>
      <c r="G2084" s="4" t="str">
        <f>HYPERLINK("http://141.218.60.56/~jnz1568/getInfo.php?workbook=16_08.xlsx&amp;sheet=U0&amp;row=2084&amp;col=7&amp;number=0.00254&amp;sourceID=14","0.00254")</f>
        <v>0.00254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HYPERLINK("http://141.218.60.56/~jnz1568/getInfo.php?workbook=16_08.xlsx&amp;sheet=U0&amp;row=2085&amp;col=6&amp;number=3.1&amp;sourceID=14","3.1")</f>
        <v>3.1</v>
      </c>
      <c r="G2085" s="4" t="str">
        <f>HYPERLINK("http://141.218.60.56/~jnz1568/getInfo.php?workbook=16_08.xlsx&amp;sheet=U0&amp;row=2085&amp;col=7&amp;number=0.00254&amp;sourceID=14","0.00254")</f>
        <v>0.00254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HYPERLINK("http://141.218.60.56/~jnz1568/getInfo.php?workbook=16_08.xlsx&amp;sheet=U0&amp;row=2086&amp;col=6&amp;number=3.2&amp;sourceID=14","3.2")</f>
        <v>3.2</v>
      </c>
      <c r="G2086" s="4" t="str">
        <f>HYPERLINK("http://141.218.60.56/~jnz1568/getInfo.php?workbook=16_08.xlsx&amp;sheet=U0&amp;row=2086&amp;col=7&amp;number=0.00254&amp;sourceID=14","0.00254")</f>
        <v>0.00254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HYPERLINK("http://141.218.60.56/~jnz1568/getInfo.php?workbook=16_08.xlsx&amp;sheet=U0&amp;row=2087&amp;col=6&amp;number=3.3&amp;sourceID=14","3.3")</f>
        <v>3.3</v>
      </c>
      <c r="G2087" s="4" t="str">
        <f>HYPERLINK("http://141.218.60.56/~jnz1568/getInfo.php?workbook=16_08.xlsx&amp;sheet=U0&amp;row=2087&amp;col=7&amp;number=0.00254&amp;sourceID=14","0.00254")</f>
        <v>0.00254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HYPERLINK("http://141.218.60.56/~jnz1568/getInfo.php?workbook=16_08.xlsx&amp;sheet=U0&amp;row=2088&amp;col=6&amp;number=3.4&amp;sourceID=14","3.4")</f>
        <v>3.4</v>
      </c>
      <c r="G2088" s="4" t="str">
        <f>HYPERLINK("http://141.218.60.56/~jnz1568/getInfo.php?workbook=16_08.xlsx&amp;sheet=U0&amp;row=2088&amp;col=7&amp;number=0.00254&amp;sourceID=14","0.00254")</f>
        <v>0.00254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HYPERLINK("http://141.218.60.56/~jnz1568/getInfo.php?workbook=16_08.xlsx&amp;sheet=U0&amp;row=2089&amp;col=6&amp;number=3.5&amp;sourceID=14","3.5")</f>
        <v>3.5</v>
      </c>
      <c r="G2089" s="4" t="str">
        <f>HYPERLINK("http://141.218.60.56/~jnz1568/getInfo.php?workbook=16_08.xlsx&amp;sheet=U0&amp;row=2089&amp;col=7&amp;number=0.00254&amp;sourceID=14","0.00254")</f>
        <v>0.00254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HYPERLINK("http://141.218.60.56/~jnz1568/getInfo.php?workbook=16_08.xlsx&amp;sheet=U0&amp;row=2090&amp;col=6&amp;number=3.6&amp;sourceID=14","3.6")</f>
        <v>3.6</v>
      </c>
      <c r="G2090" s="4" t="str">
        <f>HYPERLINK("http://141.218.60.56/~jnz1568/getInfo.php?workbook=16_08.xlsx&amp;sheet=U0&amp;row=2090&amp;col=7&amp;number=0.00254&amp;sourceID=14","0.00254")</f>
        <v>0.00254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HYPERLINK("http://141.218.60.56/~jnz1568/getInfo.php?workbook=16_08.xlsx&amp;sheet=U0&amp;row=2091&amp;col=6&amp;number=3.7&amp;sourceID=14","3.7")</f>
        <v>3.7</v>
      </c>
      <c r="G2091" s="4" t="str">
        <f>HYPERLINK("http://141.218.60.56/~jnz1568/getInfo.php?workbook=16_08.xlsx&amp;sheet=U0&amp;row=2091&amp;col=7&amp;number=0.00253&amp;sourceID=14","0.00253")</f>
        <v>0.00253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HYPERLINK("http://141.218.60.56/~jnz1568/getInfo.php?workbook=16_08.xlsx&amp;sheet=U0&amp;row=2092&amp;col=6&amp;number=3.8&amp;sourceID=14","3.8")</f>
        <v>3.8</v>
      </c>
      <c r="G2092" s="4" t="str">
        <f>HYPERLINK("http://141.218.60.56/~jnz1568/getInfo.php?workbook=16_08.xlsx&amp;sheet=U0&amp;row=2092&amp;col=7&amp;number=0.00253&amp;sourceID=14","0.00253")</f>
        <v>0.00253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HYPERLINK("http://141.218.60.56/~jnz1568/getInfo.php?workbook=16_08.xlsx&amp;sheet=U0&amp;row=2093&amp;col=6&amp;number=3.9&amp;sourceID=14","3.9")</f>
        <v>3.9</v>
      </c>
      <c r="G2093" s="4" t="str">
        <f>HYPERLINK("http://141.218.60.56/~jnz1568/getInfo.php?workbook=16_08.xlsx&amp;sheet=U0&amp;row=2093&amp;col=7&amp;number=0.00253&amp;sourceID=14","0.00253")</f>
        <v>0.00253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HYPERLINK("http://141.218.60.56/~jnz1568/getInfo.php?workbook=16_08.xlsx&amp;sheet=U0&amp;row=2094&amp;col=6&amp;number=4&amp;sourceID=14","4")</f>
        <v>4</v>
      </c>
      <c r="G2094" s="4" t="str">
        <f>HYPERLINK("http://141.218.60.56/~jnz1568/getInfo.php?workbook=16_08.xlsx&amp;sheet=U0&amp;row=2094&amp;col=7&amp;number=0.00253&amp;sourceID=14","0.00253")</f>
        <v>0.00253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HYPERLINK("http://141.218.60.56/~jnz1568/getInfo.php?workbook=16_08.xlsx&amp;sheet=U0&amp;row=2095&amp;col=6&amp;number=4.1&amp;sourceID=14","4.1")</f>
        <v>4.1</v>
      </c>
      <c r="G2095" s="4" t="str">
        <f>HYPERLINK("http://141.218.60.56/~jnz1568/getInfo.php?workbook=16_08.xlsx&amp;sheet=U0&amp;row=2095&amp;col=7&amp;number=0.00253&amp;sourceID=14","0.00253")</f>
        <v>0.00253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HYPERLINK("http://141.218.60.56/~jnz1568/getInfo.php?workbook=16_08.xlsx&amp;sheet=U0&amp;row=2096&amp;col=6&amp;number=4.2&amp;sourceID=14","4.2")</f>
        <v>4.2</v>
      </c>
      <c r="G2096" s="4" t="str">
        <f>HYPERLINK("http://141.218.60.56/~jnz1568/getInfo.php?workbook=16_08.xlsx&amp;sheet=U0&amp;row=2096&amp;col=7&amp;number=0.00253&amp;sourceID=14","0.00253")</f>
        <v>0.00253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HYPERLINK("http://141.218.60.56/~jnz1568/getInfo.php?workbook=16_08.xlsx&amp;sheet=U0&amp;row=2097&amp;col=6&amp;number=4.3&amp;sourceID=14","4.3")</f>
        <v>4.3</v>
      </c>
      <c r="G2097" s="4" t="str">
        <f>HYPERLINK("http://141.218.60.56/~jnz1568/getInfo.php?workbook=16_08.xlsx&amp;sheet=U0&amp;row=2097&amp;col=7&amp;number=0.00253&amp;sourceID=14","0.00253")</f>
        <v>0.00253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HYPERLINK("http://141.218.60.56/~jnz1568/getInfo.php?workbook=16_08.xlsx&amp;sheet=U0&amp;row=2098&amp;col=6&amp;number=4.4&amp;sourceID=14","4.4")</f>
        <v>4.4</v>
      </c>
      <c r="G2098" s="4" t="str">
        <f>HYPERLINK("http://141.218.60.56/~jnz1568/getInfo.php?workbook=16_08.xlsx&amp;sheet=U0&amp;row=2098&amp;col=7&amp;number=0.00253&amp;sourceID=14","0.00253")</f>
        <v>0.00253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HYPERLINK("http://141.218.60.56/~jnz1568/getInfo.php?workbook=16_08.xlsx&amp;sheet=U0&amp;row=2099&amp;col=6&amp;number=4.5&amp;sourceID=14","4.5")</f>
        <v>4.5</v>
      </c>
      <c r="G2099" s="4" t="str">
        <f>HYPERLINK("http://141.218.60.56/~jnz1568/getInfo.php?workbook=16_08.xlsx&amp;sheet=U0&amp;row=2099&amp;col=7&amp;number=0.00252&amp;sourceID=14","0.00252")</f>
        <v>0.00252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HYPERLINK("http://141.218.60.56/~jnz1568/getInfo.php?workbook=16_08.xlsx&amp;sheet=U0&amp;row=2100&amp;col=6&amp;number=4.6&amp;sourceID=14","4.6")</f>
        <v>4.6</v>
      </c>
      <c r="G2100" s="4" t="str">
        <f>HYPERLINK("http://141.218.60.56/~jnz1568/getInfo.php?workbook=16_08.xlsx&amp;sheet=U0&amp;row=2100&amp;col=7&amp;number=0.00252&amp;sourceID=14","0.00252")</f>
        <v>0.00252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HYPERLINK("http://141.218.60.56/~jnz1568/getInfo.php?workbook=16_08.xlsx&amp;sheet=U0&amp;row=2101&amp;col=6&amp;number=4.7&amp;sourceID=14","4.7")</f>
        <v>4.7</v>
      </c>
      <c r="G2101" s="4" t="str">
        <f>HYPERLINK("http://141.218.60.56/~jnz1568/getInfo.php?workbook=16_08.xlsx&amp;sheet=U0&amp;row=2101&amp;col=7&amp;number=0.00251&amp;sourceID=14","0.00251")</f>
        <v>0.00251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HYPERLINK("http://141.218.60.56/~jnz1568/getInfo.php?workbook=16_08.xlsx&amp;sheet=U0&amp;row=2102&amp;col=6&amp;number=4.8&amp;sourceID=14","4.8")</f>
        <v>4.8</v>
      </c>
      <c r="G2102" s="4" t="str">
        <f>HYPERLINK("http://141.218.60.56/~jnz1568/getInfo.php?workbook=16_08.xlsx&amp;sheet=U0&amp;row=2102&amp;col=7&amp;number=0.00251&amp;sourceID=14","0.00251")</f>
        <v>0.00251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HYPERLINK("http://141.218.60.56/~jnz1568/getInfo.php?workbook=16_08.xlsx&amp;sheet=U0&amp;row=2103&amp;col=6&amp;number=4.9&amp;sourceID=14","4.9")</f>
        <v>4.9</v>
      </c>
      <c r="G2103" s="4" t="str">
        <f>HYPERLINK("http://141.218.60.56/~jnz1568/getInfo.php?workbook=16_08.xlsx&amp;sheet=U0&amp;row=2103&amp;col=7&amp;number=0.0025&amp;sourceID=14","0.0025")</f>
        <v>0.0025</v>
      </c>
    </row>
    <row r="2104" spans="1:7">
      <c r="A2104" s="3">
        <v>16</v>
      </c>
      <c r="B2104" s="3">
        <v>8</v>
      </c>
      <c r="C2104" s="3">
        <v>2</v>
      </c>
      <c r="D2104" s="3">
        <v>23</v>
      </c>
      <c r="E2104" s="3">
        <v>1</v>
      </c>
      <c r="F2104" s="4" t="str">
        <f>HYPERLINK("http://141.218.60.56/~jnz1568/getInfo.php?workbook=16_08.xlsx&amp;sheet=U0&amp;row=2104&amp;col=6&amp;number=3&amp;sourceID=14","3")</f>
        <v>3</v>
      </c>
      <c r="G2104" s="4" t="str">
        <f>HYPERLINK("http://141.218.60.56/~jnz1568/getInfo.php?workbook=16_08.xlsx&amp;sheet=U0&amp;row=2104&amp;col=7&amp;number=0.000936&amp;sourceID=14","0.000936")</f>
        <v>0.000936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HYPERLINK("http://141.218.60.56/~jnz1568/getInfo.php?workbook=16_08.xlsx&amp;sheet=U0&amp;row=2105&amp;col=6&amp;number=3.1&amp;sourceID=14","3.1")</f>
        <v>3.1</v>
      </c>
      <c r="G2105" s="4" t="str">
        <f>HYPERLINK("http://141.218.60.56/~jnz1568/getInfo.php?workbook=16_08.xlsx&amp;sheet=U0&amp;row=2105&amp;col=7&amp;number=0.000937&amp;sourceID=14","0.000937")</f>
        <v>0.000937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HYPERLINK("http://141.218.60.56/~jnz1568/getInfo.php?workbook=16_08.xlsx&amp;sheet=U0&amp;row=2106&amp;col=6&amp;number=3.2&amp;sourceID=14","3.2")</f>
        <v>3.2</v>
      </c>
      <c r="G2106" s="4" t="str">
        <f>HYPERLINK("http://141.218.60.56/~jnz1568/getInfo.php?workbook=16_08.xlsx&amp;sheet=U0&amp;row=2106&amp;col=7&amp;number=0.000937&amp;sourceID=14","0.000937")</f>
        <v>0.000937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HYPERLINK("http://141.218.60.56/~jnz1568/getInfo.php?workbook=16_08.xlsx&amp;sheet=U0&amp;row=2107&amp;col=6&amp;number=3.3&amp;sourceID=14","3.3")</f>
        <v>3.3</v>
      </c>
      <c r="G2107" s="4" t="str">
        <f>HYPERLINK("http://141.218.60.56/~jnz1568/getInfo.php?workbook=16_08.xlsx&amp;sheet=U0&amp;row=2107&amp;col=7&amp;number=0.000938&amp;sourceID=14","0.000938")</f>
        <v>0.000938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HYPERLINK("http://141.218.60.56/~jnz1568/getInfo.php?workbook=16_08.xlsx&amp;sheet=U0&amp;row=2108&amp;col=6&amp;number=3.4&amp;sourceID=14","3.4")</f>
        <v>3.4</v>
      </c>
      <c r="G2108" s="4" t="str">
        <f>HYPERLINK("http://141.218.60.56/~jnz1568/getInfo.php?workbook=16_08.xlsx&amp;sheet=U0&amp;row=2108&amp;col=7&amp;number=0.000939&amp;sourceID=14","0.000939")</f>
        <v>0.000939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HYPERLINK("http://141.218.60.56/~jnz1568/getInfo.php?workbook=16_08.xlsx&amp;sheet=U0&amp;row=2109&amp;col=6&amp;number=3.5&amp;sourceID=14","3.5")</f>
        <v>3.5</v>
      </c>
      <c r="G2109" s="4" t="str">
        <f>HYPERLINK("http://141.218.60.56/~jnz1568/getInfo.php?workbook=16_08.xlsx&amp;sheet=U0&amp;row=2109&amp;col=7&amp;number=0.000939&amp;sourceID=14","0.000939")</f>
        <v>0.000939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HYPERLINK("http://141.218.60.56/~jnz1568/getInfo.php?workbook=16_08.xlsx&amp;sheet=U0&amp;row=2110&amp;col=6&amp;number=3.6&amp;sourceID=14","3.6")</f>
        <v>3.6</v>
      </c>
      <c r="G2110" s="4" t="str">
        <f>HYPERLINK("http://141.218.60.56/~jnz1568/getInfo.php?workbook=16_08.xlsx&amp;sheet=U0&amp;row=2110&amp;col=7&amp;number=0.000941&amp;sourceID=14","0.000941")</f>
        <v>0.000941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HYPERLINK("http://141.218.60.56/~jnz1568/getInfo.php?workbook=16_08.xlsx&amp;sheet=U0&amp;row=2111&amp;col=6&amp;number=3.7&amp;sourceID=14","3.7")</f>
        <v>3.7</v>
      </c>
      <c r="G2111" s="4" t="str">
        <f>HYPERLINK("http://141.218.60.56/~jnz1568/getInfo.php?workbook=16_08.xlsx&amp;sheet=U0&amp;row=2111&amp;col=7&amp;number=0.000942&amp;sourceID=14","0.000942")</f>
        <v>0.000942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HYPERLINK("http://141.218.60.56/~jnz1568/getInfo.php?workbook=16_08.xlsx&amp;sheet=U0&amp;row=2112&amp;col=6&amp;number=3.8&amp;sourceID=14","3.8")</f>
        <v>3.8</v>
      </c>
      <c r="G2112" s="4" t="str">
        <f>HYPERLINK("http://141.218.60.56/~jnz1568/getInfo.php?workbook=16_08.xlsx&amp;sheet=U0&amp;row=2112&amp;col=7&amp;number=0.000944&amp;sourceID=14","0.000944")</f>
        <v>0.000944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HYPERLINK("http://141.218.60.56/~jnz1568/getInfo.php?workbook=16_08.xlsx&amp;sheet=U0&amp;row=2113&amp;col=6&amp;number=3.9&amp;sourceID=14","3.9")</f>
        <v>3.9</v>
      </c>
      <c r="G2113" s="4" t="str">
        <f>HYPERLINK("http://141.218.60.56/~jnz1568/getInfo.php?workbook=16_08.xlsx&amp;sheet=U0&amp;row=2113&amp;col=7&amp;number=0.000946&amp;sourceID=14","0.000946")</f>
        <v>0.000946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HYPERLINK("http://141.218.60.56/~jnz1568/getInfo.php?workbook=16_08.xlsx&amp;sheet=U0&amp;row=2114&amp;col=6&amp;number=4&amp;sourceID=14","4")</f>
        <v>4</v>
      </c>
      <c r="G2114" s="4" t="str">
        <f>HYPERLINK("http://141.218.60.56/~jnz1568/getInfo.php?workbook=16_08.xlsx&amp;sheet=U0&amp;row=2114&amp;col=7&amp;number=0.000949&amp;sourceID=14","0.000949")</f>
        <v>0.000949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HYPERLINK("http://141.218.60.56/~jnz1568/getInfo.php?workbook=16_08.xlsx&amp;sheet=U0&amp;row=2115&amp;col=6&amp;number=4.1&amp;sourceID=14","4.1")</f>
        <v>4.1</v>
      </c>
      <c r="G2115" s="4" t="str">
        <f>HYPERLINK("http://141.218.60.56/~jnz1568/getInfo.php?workbook=16_08.xlsx&amp;sheet=U0&amp;row=2115&amp;col=7&amp;number=0.000953&amp;sourceID=14","0.000953")</f>
        <v>0.000953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HYPERLINK("http://141.218.60.56/~jnz1568/getInfo.php?workbook=16_08.xlsx&amp;sheet=U0&amp;row=2116&amp;col=6&amp;number=4.2&amp;sourceID=14","4.2")</f>
        <v>4.2</v>
      </c>
      <c r="G2116" s="4" t="str">
        <f>HYPERLINK("http://141.218.60.56/~jnz1568/getInfo.php?workbook=16_08.xlsx&amp;sheet=U0&amp;row=2116&amp;col=7&amp;number=0.000958&amp;sourceID=14","0.000958")</f>
        <v>0.000958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HYPERLINK("http://141.218.60.56/~jnz1568/getInfo.php?workbook=16_08.xlsx&amp;sheet=U0&amp;row=2117&amp;col=6&amp;number=4.3&amp;sourceID=14","4.3")</f>
        <v>4.3</v>
      </c>
      <c r="G2117" s="4" t="str">
        <f>HYPERLINK("http://141.218.60.56/~jnz1568/getInfo.php?workbook=16_08.xlsx&amp;sheet=U0&amp;row=2117&amp;col=7&amp;number=0.000964&amp;sourceID=14","0.000964")</f>
        <v>0.000964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HYPERLINK("http://141.218.60.56/~jnz1568/getInfo.php?workbook=16_08.xlsx&amp;sheet=U0&amp;row=2118&amp;col=6&amp;number=4.4&amp;sourceID=14","4.4")</f>
        <v>4.4</v>
      </c>
      <c r="G2118" s="4" t="str">
        <f>HYPERLINK("http://141.218.60.56/~jnz1568/getInfo.php?workbook=16_08.xlsx&amp;sheet=U0&amp;row=2118&amp;col=7&amp;number=0.000971&amp;sourceID=14","0.000971")</f>
        <v>0.000971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HYPERLINK("http://141.218.60.56/~jnz1568/getInfo.php?workbook=16_08.xlsx&amp;sheet=U0&amp;row=2119&amp;col=6&amp;number=4.5&amp;sourceID=14","4.5")</f>
        <v>4.5</v>
      </c>
      <c r="G2119" s="4" t="str">
        <f>HYPERLINK("http://141.218.60.56/~jnz1568/getInfo.php?workbook=16_08.xlsx&amp;sheet=U0&amp;row=2119&amp;col=7&amp;number=0.00098&amp;sourceID=14","0.00098")</f>
        <v>0.00098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HYPERLINK("http://141.218.60.56/~jnz1568/getInfo.php?workbook=16_08.xlsx&amp;sheet=U0&amp;row=2120&amp;col=6&amp;number=4.6&amp;sourceID=14","4.6")</f>
        <v>4.6</v>
      </c>
      <c r="G2120" s="4" t="str">
        <f>HYPERLINK("http://141.218.60.56/~jnz1568/getInfo.php?workbook=16_08.xlsx&amp;sheet=U0&amp;row=2120&amp;col=7&amp;number=0.000992&amp;sourceID=14","0.000992")</f>
        <v>0.000992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HYPERLINK("http://141.218.60.56/~jnz1568/getInfo.php?workbook=16_08.xlsx&amp;sheet=U0&amp;row=2121&amp;col=6&amp;number=4.7&amp;sourceID=14","4.7")</f>
        <v>4.7</v>
      </c>
      <c r="G2121" s="4" t="str">
        <f>HYPERLINK("http://141.218.60.56/~jnz1568/getInfo.php?workbook=16_08.xlsx&amp;sheet=U0&amp;row=2121&amp;col=7&amp;number=0.00101&amp;sourceID=14","0.00101")</f>
        <v>0.00101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HYPERLINK("http://141.218.60.56/~jnz1568/getInfo.php?workbook=16_08.xlsx&amp;sheet=U0&amp;row=2122&amp;col=6&amp;number=4.8&amp;sourceID=14","4.8")</f>
        <v>4.8</v>
      </c>
      <c r="G2122" s="4" t="str">
        <f>HYPERLINK("http://141.218.60.56/~jnz1568/getInfo.php?workbook=16_08.xlsx&amp;sheet=U0&amp;row=2122&amp;col=7&amp;number=0.00102&amp;sourceID=14","0.00102")</f>
        <v>0.00102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HYPERLINK("http://141.218.60.56/~jnz1568/getInfo.php?workbook=16_08.xlsx&amp;sheet=U0&amp;row=2123&amp;col=6&amp;number=4.9&amp;sourceID=14","4.9")</f>
        <v>4.9</v>
      </c>
      <c r="G2123" s="4" t="str">
        <f>HYPERLINK("http://141.218.60.56/~jnz1568/getInfo.php?workbook=16_08.xlsx&amp;sheet=U0&amp;row=2123&amp;col=7&amp;number=0.00105&amp;sourceID=14","0.00105")</f>
        <v>0.00105</v>
      </c>
    </row>
    <row r="2124" spans="1:7">
      <c r="A2124" s="3">
        <v>16</v>
      </c>
      <c r="B2124" s="3">
        <v>8</v>
      </c>
      <c r="C2124" s="3">
        <v>2</v>
      </c>
      <c r="D2124" s="3">
        <v>24</v>
      </c>
      <c r="E2124" s="3">
        <v>1</v>
      </c>
      <c r="F2124" s="4" t="str">
        <f>HYPERLINK("http://141.218.60.56/~jnz1568/getInfo.php?workbook=16_08.xlsx&amp;sheet=U0&amp;row=2124&amp;col=6&amp;number=3&amp;sourceID=14","3")</f>
        <v>3</v>
      </c>
      <c r="G2124" s="4" t="str">
        <f>HYPERLINK("http://141.218.60.56/~jnz1568/getInfo.php?workbook=16_08.xlsx&amp;sheet=U0&amp;row=2124&amp;col=7&amp;number=0.00237&amp;sourceID=14","0.00237")</f>
        <v>0.00237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HYPERLINK("http://141.218.60.56/~jnz1568/getInfo.php?workbook=16_08.xlsx&amp;sheet=U0&amp;row=2125&amp;col=6&amp;number=3.1&amp;sourceID=14","3.1")</f>
        <v>3.1</v>
      </c>
      <c r="G2125" s="4" t="str">
        <f>HYPERLINK("http://141.218.60.56/~jnz1568/getInfo.php?workbook=16_08.xlsx&amp;sheet=U0&amp;row=2125&amp;col=7&amp;number=0.00237&amp;sourceID=14","0.00237")</f>
        <v>0.00237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HYPERLINK("http://141.218.60.56/~jnz1568/getInfo.php?workbook=16_08.xlsx&amp;sheet=U0&amp;row=2126&amp;col=6&amp;number=3.2&amp;sourceID=14","3.2")</f>
        <v>3.2</v>
      </c>
      <c r="G2126" s="4" t="str">
        <f>HYPERLINK("http://141.218.60.56/~jnz1568/getInfo.php?workbook=16_08.xlsx&amp;sheet=U0&amp;row=2126&amp;col=7&amp;number=0.00237&amp;sourceID=14","0.00237")</f>
        <v>0.00237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HYPERLINK("http://141.218.60.56/~jnz1568/getInfo.php?workbook=16_08.xlsx&amp;sheet=U0&amp;row=2127&amp;col=6&amp;number=3.3&amp;sourceID=14","3.3")</f>
        <v>3.3</v>
      </c>
      <c r="G2127" s="4" t="str">
        <f>HYPERLINK("http://141.218.60.56/~jnz1568/getInfo.php?workbook=16_08.xlsx&amp;sheet=U0&amp;row=2127&amp;col=7&amp;number=0.00237&amp;sourceID=14","0.00237")</f>
        <v>0.00237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HYPERLINK("http://141.218.60.56/~jnz1568/getInfo.php?workbook=16_08.xlsx&amp;sheet=U0&amp;row=2128&amp;col=6&amp;number=3.4&amp;sourceID=14","3.4")</f>
        <v>3.4</v>
      </c>
      <c r="G2128" s="4" t="str">
        <f>HYPERLINK("http://141.218.60.56/~jnz1568/getInfo.php?workbook=16_08.xlsx&amp;sheet=U0&amp;row=2128&amp;col=7&amp;number=0.00237&amp;sourceID=14","0.00237")</f>
        <v>0.00237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HYPERLINK("http://141.218.60.56/~jnz1568/getInfo.php?workbook=16_08.xlsx&amp;sheet=U0&amp;row=2129&amp;col=6&amp;number=3.5&amp;sourceID=14","3.5")</f>
        <v>3.5</v>
      </c>
      <c r="G2129" s="4" t="str">
        <f>HYPERLINK("http://141.218.60.56/~jnz1568/getInfo.php?workbook=16_08.xlsx&amp;sheet=U0&amp;row=2129&amp;col=7&amp;number=0.00237&amp;sourceID=14","0.00237")</f>
        <v>0.00237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HYPERLINK("http://141.218.60.56/~jnz1568/getInfo.php?workbook=16_08.xlsx&amp;sheet=U0&amp;row=2130&amp;col=6&amp;number=3.6&amp;sourceID=14","3.6")</f>
        <v>3.6</v>
      </c>
      <c r="G2130" s="4" t="str">
        <f>HYPERLINK("http://141.218.60.56/~jnz1568/getInfo.php?workbook=16_08.xlsx&amp;sheet=U0&amp;row=2130&amp;col=7&amp;number=0.00237&amp;sourceID=14","0.00237")</f>
        <v>0.00237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HYPERLINK("http://141.218.60.56/~jnz1568/getInfo.php?workbook=16_08.xlsx&amp;sheet=U0&amp;row=2131&amp;col=6&amp;number=3.7&amp;sourceID=14","3.7")</f>
        <v>3.7</v>
      </c>
      <c r="G2131" s="4" t="str">
        <f>HYPERLINK("http://141.218.60.56/~jnz1568/getInfo.php?workbook=16_08.xlsx&amp;sheet=U0&amp;row=2131&amp;col=7&amp;number=0.00237&amp;sourceID=14","0.00237")</f>
        <v>0.00237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HYPERLINK("http://141.218.60.56/~jnz1568/getInfo.php?workbook=16_08.xlsx&amp;sheet=U0&amp;row=2132&amp;col=6&amp;number=3.8&amp;sourceID=14","3.8")</f>
        <v>3.8</v>
      </c>
      <c r="G2132" s="4" t="str">
        <f>HYPERLINK("http://141.218.60.56/~jnz1568/getInfo.php?workbook=16_08.xlsx&amp;sheet=U0&amp;row=2132&amp;col=7&amp;number=0.00237&amp;sourceID=14","0.00237")</f>
        <v>0.00237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HYPERLINK("http://141.218.60.56/~jnz1568/getInfo.php?workbook=16_08.xlsx&amp;sheet=U0&amp;row=2133&amp;col=6&amp;number=3.9&amp;sourceID=14","3.9")</f>
        <v>3.9</v>
      </c>
      <c r="G2133" s="4" t="str">
        <f>HYPERLINK("http://141.218.60.56/~jnz1568/getInfo.php?workbook=16_08.xlsx&amp;sheet=U0&amp;row=2133&amp;col=7&amp;number=0.00237&amp;sourceID=14","0.00237")</f>
        <v>0.00237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HYPERLINK("http://141.218.60.56/~jnz1568/getInfo.php?workbook=16_08.xlsx&amp;sheet=U0&amp;row=2134&amp;col=6&amp;number=4&amp;sourceID=14","4")</f>
        <v>4</v>
      </c>
      <c r="G2134" s="4" t="str">
        <f>HYPERLINK("http://141.218.60.56/~jnz1568/getInfo.php?workbook=16_08.xlsx&amp;sheet=U0&amp;row=2134&amp;col=7&amp;number=0.00238&amp;sourceID=14","0.00238")</f>
        <v>0.00238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HYPERLINK("http://141.218.60.56/~jnz1568/getInfo.php?workbook=16_08.xlsx&amp;sheet=U0&amp;row=2135&amp;col=6&amp;number=4.1&amp;sourceID=14","4.1")</f>
        <v>4.1</v>
      </c>
      <c r="G2135" s="4" t="str">
        <f>HYPERLINK("http://141.218.60.56/~jnz1568/getInfo.php?workbook=16_08.xlsx&amp;sheet=U0&amp;row=2135&amp;col=7&amp;number=0.00238&amp;sourceID=14","0.00238")</f>
        <v>0.00238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HYPERLINK("http://141.218.60.56/~jnz1568/getInfo.php?workbook=16_08.xlsx&amp;sheet=U0&amp;row=2136&amp;col=6&amp;number=4.2&amp;sourceID=14","4.2")</f>
        <v>4.2</v>
      </c>
      <c r="G2136" s="4" t="str">
        <f>HYPERLINK("http://141.218.60.56/~jnz1568/getInfo.php?workbook=16_08.xlsx&amp;sheet=U0&amp;row=2136&amp;col=7&amp;number=0.00238&amp;sourceID=14","0.00238")</f>
        <v>0.00238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HYPERLINK("http://141.218.60.56/~jnz1568/getInfo.php?workbook=16_08.xlsx&amp;sheet=U0&amp;row=2137&amp;col=6&amp;number=4.3&amp;sourceID=14","4.3")</f>
        <v>4.3</v>
      </c>
      <c r="G2137" s="4" t="str">
        <f>HYPERLINK("http://141.218.60.56/~jnz1568/getInfo.php?workbook=16_08.xlsx&amp;sheet=U0&amp;row=2137&amp;col=7&amp;number=0.00238&amp;sourceID=14","0.00238")</f>
        <v>0.00238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HYPERLINK("http://141.218.60.56/~jnz1568/getInfo.php?workbook=16_08.xlsx&amp;sheet=U0&amp;row=2138&amp;col=6&amp;number=4.4&amp;sourceID=14","4.4")</f>
        <v>4.4</v>
      </c>
      <c r="G2138" s="4" t="str">
        <f>HYPERLINK("http://141.218.60.56/~jnz1568/getInfo.php?workbook=16_08.xlsx&amp;sheet=U0&amp;row=2138&amp;col=7&amp;number=0.00238&amp;sourceID=14","0.00238")</f>
        <v>0.00238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HYPERLINK("http://141.218.60.56/~jnz1568/getInfo.php?workbook=16_08.xlsx&amp;sheet=U0&amp;row=2139&amp;col=6&amp;number=4.5&amp;sourceID=14","4.5")</f>
        <v>4.5</v>
      </c>
      <c r="G2139" s="4" t="str">
        <f>HYPERLINK("http://141.218.60.56/~jnz1568/getInfo.php?workbook=16_08.xlsx&amp;sheet=U0&amp;row=2139&amp;col=7&amp;number=0.00239&amp;sourceID=14","0.00239")</f>
        <v>0.00239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HYPERLINK("http://141.218.60.56/~jnz1568/getInfo.php?workbook=16_08.xlsx&amp;sheet=U0&amp;row=2140&amp;col=6&amp;number=4.6&amp;sourceID=14","4.6")</f>
        <v>4.6</v>
      </c>
      <c r="G2140" s="4" t="str">
        <f>HYPERLINK("http://141.218.60.56/~jnz1568/getInfo.php?workbook=16_08.xlsx&amp;sheet=U0&amp;row=2140&amp;col=7&amp;number=0.00239&amp;sourceID=14","0.00239")</f>
        <v>0.00239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HYPERLINK("http://141.218.60.56/~jnz1568/getInfo.php?workbook=16_08.xlsx&amp;sheet=U0&amp;row=2141&amp;col=6&amp;number=4.7&amp;sourceID=14","4.7")</f>
        <v>4.7</v>
      </c>
      <c r="G2141" s="4" t="str">
        <f>HYPERLINK("http://141.218.60.56/~jnz1568/getInfo.php?workbook=16_08.xlsx&amp;sheet=U0&amp;row=2141&amp;col=7&amp;number=0.0024&amp;sourceID=14","0.0024")</f>
        <v>0.0024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HYPERLINK("http://141.218.60.56/~jnz1568/getInfo.php?workbook=16_08.xlsx&amp;sheet=U0&amp;row=2142&amp;col=6&amp;number=4.8&amp;sourceID=14","4.8")</f>
        <v>4.8</v>
      </c>
      <c r="G2142" s="4" t="str">
        <f>HYPERLINK("http://141.218.60.56/~jnz1568/getInfo.php?workbook=16_08.xlsx&amp;sheet=U0&amp;row=2142&amp;col=7&amp;number=0.00241&amp;sourceID=14","0.00241")</f>
        <v>0.00241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HYPERLINK("http://141.218.60.56/~jnz1568/getInfo.php?workbook=16_08.xlsx&amp;sheet=U0&amp;row=2143&amp;col=6&amp;number=4.9&amp;sourceID=14","4.9")</f>
        <v>4.9</v>
      </c>
      <c r="G2143" s="4" t="str">
        <f>HYPERLINK("http://141.218.60.56/~jnz1568/getInfo.php?workbook=16_08.xlsx&amp;sheet=U0&amp;row=2143&amp;col=7&amp;number=0.00242&amp;sourceID=14","0.00242")</f>
        <v>0.00242</v>
      </c>
    </row>
    <row r="2144" spans="1:7">
      <c r="A2144" s="3">
        <v>16</v>
      </c>
      <c r="B2144" s="3">
        <v>8</v>
      </c>
      <c r="C2144" s="3">
        <v>2</v>
      </c>
      <c r="D2144" s="3">
        <v>25</v>
      </c>
      <c r="E2144" s="3">
        <v>1</v>
      </c>
      <c r="F2144" s="4" t="str">
        <f>HYPERLINK("http://141.218.60.56/~jnz1568/getInfo.php?workbook=16_08.xlsx&amp;sheet=U0&amp;row=2144&amp;col=6&amp;number=3&amp;sourceID=14","3")</f>
        <v>3</v>
      </c>
      <c r="G2144" s="4" t="str">
        <f>HYPERLINK("http://141.218.60.56/~jnz1568/getInfo.php?workbook=16_08.xlsx&amp;sheet=U0&amp;row=2144&amp;col=7&amp;number=0.00316&amp;sourceID=14","0.00316")</f>
        <v>0.00316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HYPERLINK("http://141.218.60.56/~jnz1568/getInfo.php?workbook=16_08.xlsx&amp;sheet=U0&amp;row=2145&amp;col=6&amp;number=3.1&amp;sourceID=14","3.1")</f>
        <v>3.1</v>
      </c>
      <c r="G2145" s="4" t="str">
        <f>HYPERLINK("http://141.218.60.56/~jnz1568/getInfo.php?workbook=16_08.xlsx&amp;sheet=U0&amp;row=2145&amp;col=7&amp;number=0.00316&amp;sourceID=14","0.00316")</f>
        <v>0.00316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HYPERLINK("http://141.218.60.56/~jnz1568/getInfo.php?workbook=16_08.xlsx&amp;sheet=U0&amp;row=2146&amp;col=6&amp;number=3.2&amp;sourceID=14","3.2")</f>
        <v>3.2</v>
      </c>
      <c r="G2146" s="4" t="str">
        <f>HYPERLINK("http://141.218.60.56/~jnz1568/getInfo.php?workbook=16_08.xlsx&amp;sheet=U0&amp;row=2146&amp;col=7&amp;number=0.00316&amp;sourceID=14","0.00316")</f>
        <v>0.00316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HYPERLINK("http://141.218.60.56/~jnz1568/getInfo.php?workbook=16_08.xlsx&amp;sheet=U0&amp;row=2147&amp;col=6&amp;number=3.3&amp;sourceID=14","3.3")</f>
        <v>3.3</v>
      </c>
      <c r="G2147" s="4" t="str">
        <f>HYPERLINK("http://141.218.60.56/~jnz1568/getInfo.php?workbook=16_08.xlsx&amp;sheet=U0&amp;row=2147&amp;col=7&amp;number=0.00316&amp;sourceID=14","0.00316")</f>
        <v>0.00316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HYPERLINK("http://141.218.60.56/~jnz1568/getInfo.php?workbook=16_08.xlsx&amp;sheet=U0&amp;row=2148&amp;col=6&amp;number=3.4&amp;sourceID=14","3.4")</f>
        <v>3.4</v>
      </c>
      <c r="G2148" s="4" t="str">
        <f>HYPERLINK("http://141.218.60.56/~jnz1568/getInfo.php?workbook=16_08.xlsx&amp;sheet=U0&amp;row=2148&amp;col=7&amp;number=0.00316&amp;sourceID=14","0.00316")</f>
        <v>0.00316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HYPERLINK("http://141.218.60.56/~jnz1568/getInfo.php?workbook=16_08.xlsx&amp;sheet=U0&amp;row=2149&amp;col=6&amp;number=3.5&amp;sourceID=14","3.5")</f>
        <v>3.5</v>
      </c>
      <c r="G2149" s="4" t="str">
        <f>HYPERLINK("http://141.218.60.56/~jnz1568/getInfo.php?workbook=16_08.xlsx&amp;sheet=U0&amp;row=2149&amp;col=7&amp;number=0.00316&amp;sourceID=14","0.00316")</f>
        <v>0.00316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HYPERLINK("http://141.218.60.56/~jnz1568/getInfo.php?workbook=16_08.xlsx&amp;sheet=U0&amp;row=2150&amp;col=6&amp;number=3.6&amp;sourceID=14","3.6")</f>
        <v>3.6</v>
      </c>
      <c r="G2150" s="4" t="str">
        <f>HYPERLINK("http://141.218.60.56/~jnz1568/getInfo.php?workbook=16_08.xlsx&amp;sheet=U0&amp;row=2150&amp;col=7&amp;number=0.00316&amp;sourceID=14","0.00316")</f>
        <v>0.00316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HYPERLINK("http://141.218.60.56/~jnz1568/getInfo.php?workbook=16_08.xlsx&amp;sheet=U0&amp;row=2151&amp;col=6&amp;number=3.7&amp;sourceID=14","3.7")</f>
        <v>3.7</v>
      </c>
      <c r="G2151" s="4" t="str">
        <f>HYPERLINK("http://141.218.60.56/~jnz1568/getInfo.php?workbook=16_08.xlsx&amp;sheet=U0&amp;row=2151&amp;col=7&amp;number=0.00317&amp;sourceID=14","0.00317")</f>
        <v>0.00317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HYPERLINK("http://141.218.60.56/~jnz1568/getInfo.php?workbook=16_08.xlsx&amp;sheet=U0&amp;row=2152&amp;col=6&amp;number=3.8&amp;sourceID=14","3.8")</f>
        <v>3.8</v>
      </c>
      <c r="G2152" s="4" t="str">
        <f>HYPERLINK("http://141.218.60.56/~jnz1568/getInfo.php?workbook=16_08.xlsx&amp;sheet=U0&amp;row=2152&amp;col=7&amp;number=0.00317&amp;sourceID=14","0.00317")</f>
        <v>0.00317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HYPERLINK("http://141.218.60.56/~jnz1568/getInfo.php?workbook=16_08.xlsx&amp;sheet=U0&amp;row=2153&amp;col=6&amp;number=3.9&amp;sourceID=14","3.9")</f>
        <v>3.9</v>
      </c>
      <c r="G2153" s="4" t="str">
        <f>HYPERLINK("http://141.218.60.56/~jnz1568/getInfo.php?workbook=16_08.xlsx&amp;sheet=U0&amp;row=2153&amp;col=7&amp;number=0.00317&amp;sourceID=14","0.00317")</f>
        <v>0.00317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HYPERLINK("http://141.218.60.56/~jnz1568/getInfo.php?workbook=16_08.xlsx&amp;sheet=U0&amp;row=2154&amp;col=6&amp;number=4&amp;sourceID=14","4")</f>
        <v>4</v>
      </c>
      <c r="G2154" s="4" t="str">
        <f>HYPERLINK("http://141.218.60.56/~jnz1568/getInfo.php?workbook=16_08.xlsx&amp;sheet=U0&amp;row=2154&amp;col=7&amp;number=0.00318&amp;sourceID=14","0.00318")</f>
        <v>0.00318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HYPERLINK("http://141.218.60.56/~jnz1568/getInfo.php?workbook=16_08.xlsx&amp;sheet=U0&amp;row=2155&amp;col=6&amp;number=4.1&amp;sourceID=14","4.1")</f>
        <v>4.1</v>
      </c>
      <c r="G2155" s="4" t="str">
        <f>HYPERLINK("http://141.218.60.56/~jnz1568/getInfo.php?workbook=16_08.xlsx&amp;sheet=U0&amp;row=2155&amp;col=7&amp;number=0.00318&amp;sourceID=14","0.00318")</f>
        <v>0.00318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HYPERLINK("http://141.218.60.56/~jnz1568/getInfo.php?workbook=16_08.xlsx&amp;sheet=U0&amp;row=2156&amp;col=6&amp;number=4.2&amp;sourceID=14","4.2")</f>
        <v>4.2</v>
      </c>
      <c r="G2156" s="4" t="str">
        <f>HYPERLINK("http://141.218.60.56/~jnz1568/getInfo.php?workbook=16_08.xlsx&amp;sheet=U0&amp;row=2156&amp;col=7&amp;number=0.00319&amp;sourceID=14","0.00319")</f>
        <v>0.00319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HYPERLINK("http://141.218.60.56/~jnz1568/getInfo.php?workbook=16_08.xlsx&amp;sheet=U0&amp;row=2157&amp;col=6&amp;number=4.3&amp;sourceID=14","4.3")</f>
        <v>4.3</v>
      </c>
      <c r="G2157" s="4" t="str">
        <f>HYPERLINK("http://141.218.60.56/~jnz1568/getInfo.php?workbook=16_08.xlsx&amp;sheet=U0&amp;row=2157&amp;col=7&amp;number=0.0032&amp;sourceID=14","0.0032")</f>
        <v>0.0032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HYPERLINK("http://141.218.60.56/~jnz1568/getInfo.php?workbook=16_08.xlsx&amp;sheet=U0&amp;row=2158&amp;col=6&amp;number=4.4&amp;sourceID=14","4.4")</f>
        <v>4.4</v>
      </c>
      <c r="G2158" s="4" t="str">
        <f>HYPERLINK("http://141.218.60.56/~jnz1568/getInfo.php?workbook=16_08.xlsx&amp;sheet=U0&amp;row=2158&amp;col=7&amp;number=0.00321&amp;sourceID=14","0.00321")</f>
        <v>0.00321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HYPERLINK("http://141.218.60.56/~jnz1568/getInfo.php?workbook=16_08.xlsx&amp;sheet=U0&amp;row=2159&amp;col=6&amp;number=4.5&amp;sourceID=14","4.5")</f>
        <v>4.5</v>
      </c>
      <c r="G2159" s="4" t="str">
        <f>HYPERLINK("http://141.218.60.56/~jnz1568/getInfo.php?workbook=16_08.xlsx&amp;sheet=U0&amp;row=2159&amp;col=7&amp;number=0.00322&amp;sourceID=14","0.00322")</f>
        <v>0.00322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HYPERLINK("http://141.218.60.56/~jnz1568/getInfo.php?workbook=16_08.xlsx&amp;sheet=U0&amp;row=2160&amp;col=6&amp;number=4.6&amp;sourceID=14","4.6")</f>
        <v>4.6</v>
      </c>
      <c r="G2160" s="4" t="str">
        <f>HYPERLINK("http://141.218.60.56/~jnz1568/getInfo.php?workbook=16_08.xlsx&amp;sheet=U0&amp;row=2160&amp;col=7&amp;number=0.00324&amp;sourceID=14","0.00324")</f>
        <v>0.00324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HYPERLINK("http://141.218.60.56/~jnz1568/getInfo.php?workbook=16_08.xlsx&amp;sheet=U0&amp;row=2161&amp;col=6&amp;number=4.7&amp;sourceID=14","4.7")</f>
        <v>4.7</v>
      </c>
      <c r="G2161" s="4" t="str">
        <f>HYPERLINK("http://141.218.60.56/~jnz1568/getInfo.php?workbook=16_08.xlsx&amp;sheet=U0&amp;row=2161&amp;col=7&amp;number=0.00326&amp;sourceID=14","0.00326")</f>
        <v>0.00326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HYPERLINK("http://141.218.60.56/~jnz1568/getInfo.php?workbook=16_08.xlsx&amp;sheet=U0&amp;row=2162&amp;col=6&amp;number=4.8&amp;sourceID=14","4.8")</f>
        <v>4.8</v>
      </c>
      <c r="G2162" s="4" t="str">
        <f>HYPERLINK("http://141.218.60.56/~jnz1568/getInfo.php?workbook=16_08.xlsx&amp;sheet=U0&amp;row=2162&amp;col=7&amp;number=0.00329&amp;sourceID=14","0.00329")</f>
        <v>0.00329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HYPERLINK("http://141.218.60.56/~jnz1568/getInfo.php?workbook=16_08.xlsx&amp;sheet=U0&amp;row=2163&amp;col=6&amp;number=4.9&amp;sourceID=14","4.9")</f>
        <v>4.9</v>
      </c>
      <c r="G2163" s="4" t="str">
        <f>HYPERLINK("http://141.218.60.56/~jnz1568/getInfo.php?workbook=16_08.xlsx&amp;sheet=U0&amp;row=2163&amp;col=7&amp;number=0.00333&amp;sourceID=14","0.00333")</f>
        <v>0.00333</v>
      </c>
    </row>
    <row r="2164" spans="1:7">
      <c r="A2164" s="3">
        <v>16</v>
      </c>
      <c r="B2164" s="3">
        <v>8</v>
      </c>
      <c r="C2164" s="3">
        <v>2</v>
      </c>
      <c r="D2164" s="3">
        <v>26</v>
      </c>
      <c r="E2164" s="3">
        <v>1</v>
      </c>
      <c r="F2164" s="4" t="str">
        <f>HYPERLINK("http://141.218.60.56/~jnz1568/getInfo.php?workbook=16_08.xlsx&amp;sheet=U0&amp;row=2164&amp;col=6&amp;number=3&amp;sourceID=14","3")</f>
        <v>3</v>
      </c>
      <c r="G2164" s="4" t="str">
        <f>HYPERLINK("http://141.218.60.56/~jnz1568/getInfo.php?workbook=16_08.xlsx&amp;sheet=U0&amp;row=2164&amp;col=7&amp;number=0.00218&amp;sourceID=14","0.00218")</f>
        <v>0.00218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HYPERLINK("http://141.218.60.56/~jnz1568/getInfo.php?workbook=16_08.xlsx&amp;sheet=U0&amp;row=2165&amp;col=6&amp;number=3.1&amp;sourceID=14","3.1")</f>
        <v>3.1</v>
      </c>
      <c r="G2165" s="4" t="str">
        <f>HYPERLINK("http://141.218.60.56/~jnz1568/getInfo.php?workbook=16_08.xlsx&amp;sheet=U0&amp;row=2165&amp;col=7&amp;number=0.00218&amp;sourceID=14","0.00218")</f>
        <v>0.00218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HYPERLINK("http://141.218.60.56/~jnz1568/getInfo.php?workbook=16_08.xlsx&amp;sheet=U0&amp;row=2166&amp;col=6&amp;number=3.2&amp;sourceID=14","3.2")</f>
        <v>3.2</v>
      </c>
      <c r="G2166" s="4" t="str">
        <f>HYPERLINK("http://141.218.60.56/~jnz1568/getInfo.php?workbook=16_08.xlsx&amp;sheet=U0&amp;row=2166&amp;col=7&amp;number=0.00218&amp;sourceID=14","0.00218")</f>
        <v>0.00218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HYPERLINK("http://141.218.60.56/~jnz1568/getInfo.php?workbook=16_08.xlsx&amp;sheet=U0&amp;row=2167&amp;col=6&amp;number=3.3&amp;sourceID=14","3.3")</f>
        <v>3.3</v>
      </c>
      <c r="G2167" s="4" t="str">
        <f>HYPERLINK("http://141.218.60.56/~jnz1568/getInfo.php?workbook=16_08.xlsx&amp;sheet=U0&amp;row=2167&amp;col=7&amp;number=0.00218&amp;sourceID=14","0.00218")</f>
        <v>0.00218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HYPERLINK("http://141.218.60.56/~jnz1568/getInfo.php?workbook=16_08.xlsx&amp;sheet=U0&amp;row=2168&amp;col=6&amp;number=3.4&amp;sourceID=14","3.4")</f>
        <v>3.4</v>
      </c>
      <c r="G2168" s="4" t="str">
        <f>HYPERLINK("http://141.218.60.56/~jnz1568/getInfo.php?workbook=16_08.xlsx&amp;sheet=U0&amp;row=2168&amp;col=7&amp;number=0.00218&amp;sourceID=14","0.00218")</f>
        <v>0.00218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HYPERLINK("http://141.218.60.56/~jnz1568/getInfo.php?workbook=16_08.xlsx&amp;sheet=U0&amp;row=2169&amp;col=6&amp;number=3.5&amp;sourceID=14","3.5")</f>
        <v>3.5</v>
      </c>
      <c r="G2169" s="4" t="str">
        <f>HYPERLINK("http://141.218.60.56/~jnz1568/getInfo.php?workbook=16_08.xlsx&amp;sheet=U0&amp;row=2169&amp;col=7&amp;number=0.00217&amp;sourceID=14","0.00217")</f>
        <v>0.00217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HYPERLINK("http://141.218.60.56/~jnz1568/getInfo.php?workbook=16_08.xlsx&amp;sheet=U0&amp;row=2170&amp;col=6&amp;number=3.6&amp;sourceID=14","3.6")</f>
        <v>3.6</v>
      </c>
      <c r="G2170" s="4" t="str">
        <f>HYPERLINK("http://141.218.60.56/~jnz1568/getInfo.php?workbook=16_08.xlsx&amp;sheet=U0&amp;row=2170&amp;col=7&amp;number=0.00217&amp;sourceID=14","0.00217")</f>
        <v>0.00217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HYPERLINK("http://141.218.60.56/~jnz1568/getInfo.php?workbook=16_08.xlsx&amp;sheet=U0&amp;row=2171&amp;col=6&amp;number=3.7&amp;sourceID=14","3.7")</f>
        <v>3.7</v>
      </c>
      <c r="G2171" s="4" t="str">
        <f>HYPERLINK("http://141.218.60.56/~jnz1568/getInfo.php?workbook=16_08.xlsx&amp;sheet=U0&amp;row=2171&amp;col=7&amp;number=0.00217&amp;sourceID=14","0.00217")</f>
        <v>0.00217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HYPERLINK("http://141.218.60.56/~jnz1568/getInfo.php?workbook=16_08.xlsx&amp;sheet=U0&amp;row=2172&amp;col=6&amp;number=3.8&amp;sourceID=14","3.8")</f>
        <v>3.8</v>
      </c>
      <c r="G2172" s="4" t="str">
        <f>HYPERLINK("http://141.218.60.56/~jnz1568/getInfo.php?workbook=16_08.xlsx&amp;sheet=U0&amp;row=2172&amp;col=7&amp;number=0.00217&amp;sourceID=14","0.00217")</f>
        <v>0.00217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HYPERLINK("http://141.218.60.56/~jnz1568/getInfo.php?workbook=16_08.xlsx&amp;sheet=U0&amp;row=2173&amp;col=6&amp;number=3.9&amp;sourceID=14","3.9")</f>
        <v>3.9</v>
      </c>
      <c r="G2173" s="4" t="str">
        <f>HYPERLINK("http://141.218.60.56/~jnz1568/getInfo.php?workbook=16_08.xlsx&amp;sheet=U0&amp;row=2173&amp;col=7&amp;number=0.00217&amp;sourceID=14","0.00217")</f>
        <v>0.00217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HYPERLINK("http://141.218.60.56/~jnz1568/getInfo.php?workbook=16_08.xlsx&amp;sheet=U0&amp;row=2174&amp;col=6&amp;number=4&amp;sourceID=14","4")</f>
        <v>4</v>
      </c>
      <c r="G2174" s="4" t="str">
        <f>HYPERLINK("http://141.218.60.56/~jnz1568/getInfo.php?workbook=16_08.xlsx&amp;sheet=U0&amp;row=2174&amp;col=7&amp;number=0.00217&amp;sourceID=14","0.00217")</f>
        <v>0.00217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HYPERLINK("http://141.218.60.56/~jnz1568/getInfo.php?workbook=16_08.xlsx&amp;sheet=U0&amp;row=2175&amp;col=6&amp;number=4.1&amp;sourceID=14","4.1")</f>
        <v>4.1</v>
      </c>
      <c r="G2175" s="4" t="str">
        <f>HYPERLINK("http://141.218.60.56/~jnz1568/getInfo.php?workbook=16_08.xlsx&amp;sheet=U0&amp;row=2175&amp;col=7&amp;number=0.00217&amp;sourceID=14","0.00217")</f>
        <v>0.00217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HYPERLINK("http://141.218.60.56/~jnz1568/getInfo.php?workbook=16_08.xlsx&amp;sheet=U0&amp;row=2176&amp;col=6&amp;number=4.2&amp;sourceID=14","4.2")</f>
        <v>4.2</v>
      </c>
      <c r="G2176" s="4" t="str">
        <f>HYPERLINK("http://141.218.60.56/~jnz1568/getInfo.php?workbook=16_08.xlsx&amp;sheet=U0&amp;row=2176&amp;col=7&amp;number=0.00217&amp;sourceID=14","0.00217")</f>
        <v>0.00217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HYPERLINK("http://141.218.60.56/~jnz1568/getInfo.php?workbook=16_08.xlsx&amp;sheet=U0&amp;row=2177&amp;col=6&amp;number=4.3&amp;sourceID=14","4.3")</f>
        <v>4.3</v>
      </c>
      <c r="G2177" s="4" t="str">
        <f>HYPERLINK("http://141.218.60.56/~jnz1568/getInfo.php?workbook=16_08.xlsx&amp;sheet=U0&amp;row=2177&amp;col=7&amp;number=0.00216&amp;sourceID=14","0.00216")</f>
        <v>0.00216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HYPERLINK("http://141.218.60.56/~jnz1568/getInfo.php?workbook=16_08.xlsx&amp;sheet=U0&amp;row=2178&amp;col=6&amp;number=4.4&amp;sourceID=14","4.4")</f>
        <v>4.4</v>
      </c>
      <c r="G2178" s="4" t="str">
        <f>HYPERLINK("http://141.218.60.56/~jnz1568/getInfo.php?workbook=16_08.xlsx&amp;sheet=U0&amp;row=2178&amp;col=7&amp;number=0.00216&amp;sourceID=14","0.00216")</f>
        <v>0.00216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HYPERLINK("http://141.218.60.56/~jnz1568/getInfo.php?workbook=16_08.xlsx&amp;sheet=U0&amp;row=2179&amp;col=6&amp;number=4.5&amp;sourceID=14","4.5")</f>
        <v>4.5</v>
      </c>
      <c r="G2179" s="4" t="str">
        <f>HYPERLINK("http://141.218.60.56/~jnz1568/getInfo.php?workbook=16_08.xlsx&amp;sheet=U0&amp;row=2179&amp;col=7&amp;number=0.00215&amp;sourceID=14","0.00215")</f>
        <v>0.00215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HYPERLINK("http://141.218.60.56/~jnz1568/getInfo.php?workbook=16_08.xlsx&amp;sheet=U0&amp;row=2180&amp;col=6&amp;number=4.6&amp;sourceID=14","4.6")</f>
        <v>4.6</v>
      </c>
      <c r="G2180" s="4" t="str">
        <f>HYPERLINK("http://141.218.60.56/~jnz1568/getInfo.php?workbook=16_08.xlsx&amp;sheet=U0&amp;row=2180&amp;col=7&amp;number=0.00215&amp;sourceID=14","0.00215")</f>
        <v>0.00215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HYPERLINK("http://141.218.60.56/~jnz1568/getInfo.php?workbook=16_08.xlsx&amp;sheet=U0&amp;row=2181&amp;col=6&amp;number=4.7&amp;sourceID=14","4.7")</f>
        <v>4.7</v>
      </c>
      <c r="G2181" s="4" t="str">
        <f>HYPERLINK("http://141.218.60.56/~jnz1568/getInfo.php?workbook=16_08.xlsx&amp;sheet=U0&amp;row=2181&amp;col=7&amp;number=0.00214&amp;sourceID=14","0.00214")</f>
        <v>0.00214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HYPERLINK("http://141.218.60.56/~jnz1568/getInfo.php?workbook=16_08.xlsx&amp;sheet=U0&amp;row=2182&amp;col=6&amp;number=4.8&amp;sourceID=14","4.8")</f>
        <v>4.8</v>
      </c>
      <c r="G2182" s="4" t="str">
        <f>HYPERLINK("http://141.218.60.56/~jnz1568/getInfo.php?workbook=16_08.xlsx&amp;sheet=U0&amp;row=2182&amp;col=7&amp;number=0.00213&amp;sourceID=14","0.00213")</f>
        <v>0.00213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HYPERLINK("http://141.218.60.56/~jnz1568/getInfo.php?workbook=16_08.xlsx&amp;sheet=U0&amp;row=2183&amp;col=6&amp;number=4.9&amp;sourceID=14","4.9")</f>
        <v>4.9</v>
      </c>
      <c r="G2183" s="4" t="str">
        <f>HYPERLINK("http://141.218.60.56/~jnz1568/getInfo.php?workbook=16_08.xlsx&amp;sheet=U0&amp;row=2183&amp;col=7&amp;number=0.00212&amp;sourceID=14","0.00212")</f>
        <v>0.00212</v>
      </c>
    </row>
    <row r="2184" spans="1:7">
      <c r="A2184" s="3">
        <v>16</v>
      </c>
      <c r="B2184" s="3">
        <v>8</v>
      </c>
      <c r="C2184" s="3">
        <v>2</v>
      </c>
      <c r="D2184" s="3">
        <v>27</v>
      </c>
      <c r="E2184" s="3">
        <v>1</v>
      </c>
      <c r="F2184" s="4" t="str">
        <f>HYPERLINK("http://141.218.60.56/~jnz1568/getInfo.php?workbook=16_08.xlsx&amp;sheet=U0&amp;row=2184&amp;col=6&amp;number=3&amp;sourceID=14","3")</f>
        <v>3</v>
      </c>
      <c r="G2184" s="4" t="str">
        <f>HYPERLINK("http://141.218.60.56/~jnz1568/getInfo.php?workbook=16_08.xlsx&amp;sheet=U0&amp;row=2184&amp;col=7&amp;number=0.00568&amp;sourceID=14","0.00568")</f>
        <v>0.00568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HYPERLINK("http://141.218.60.56/~jnz1568/getInfo.php?workbook=16_08.xlsx&amp;sheet=U0&amp;row=2185&amp;col=6&amp;number=3.1&amp;sourceID=14","3.1")</f>
        <v>3.1</v>
      </c>
      <c r="G2185" s="4" t="str">
        <f>HYPERLINK("http://141.218.60.56/~jnz1568/getInfo.php?workbook=16_08.xlsx&amp;sheet=U0&amp;row=2185&amp;col=7&amp;number=0.00568&amp;sourceID=14","0.00568")</f>
        <v>0.00568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HYPERLINK("http://141.218.60.56/~jnz1568/getInfo.php?workbook=16_08.xlsx&amp;sheet=U0&amp;row=2186&amp;col=6&amp;number=3.2&amp;sourceID=14","3.2")</f>
        <v>3.2</v>
      </c>
      <c r="G2186" s="4" t="str">
        <f>HYPERLINK("http://141.218.60.56/~jnz1568/getInfo.php?workbook=16_08.xlsx&amp;sheet=U0&amp;row=2186&amp;col=7&amp;number=0.00567&amp;sourceID=14","0.00567")</f>
        <v>0.00567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HYPERLINK("http://141.218.60.56/~jnz1568/getInfo.php?workbook=16_08.xlsx&amp;sheet=U0&amp;row=2187&amp;col=6&amp;number=3.3&amp;sourceID=14","3.3")</f>
        <v>3.3</v>
      </c>
      <c r="G2187" s="4" t="str">
        <f>HYPERLINK("http://141.218.60.56/~jnz1568/getInfo.php?workbook=16_08.xlsx&amp;sheet=U0&amp;row=2187&amp;col=7&amp;number=0.00567&amp;sourceID=14","0.00567")</f>
        <v>0.00567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HYPERLINK("http://141.218.60.56/~jnz1568/getInfo.php?workbook=16_08.xlsx&amp;sheet=U0&amp;row=2188&amp;col=6&amp;number=3.4&amp;sourceID=14","3.4")</f>
        <v>3.4</v>
      </c>
      <c r="G2188" s="4" t="str">
        <f>HYPERLINK("http://141.218.60.56/~jnz1568/getInfo.php?workbook=16_08.xlsx&amp;sheet=U0&amp;row=2188&amp;col=7&amp;number=0.00567&amp;sourceID=14","0.00567")</f>
        <v>0.00567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HYPERLINK("http://141.218.60.56/~jnz1568/getInfo.php?workbook=16_08.xlsx&amp;sheet=U0&amp;row=2189&amp;col=6&amp;number=3.5&amp;sourceID=14","3.5")</f>
        <v>3.5</v>
      </c>
      <c r="G2189" s="4" t="str">
        <f>HYPERLINK("http://141.218.60.56/~jnz1568/getInfo.php?workbook=16_08.xlsx&amp;sheet=U0&amp;row=2189&amp;col=7&amp;number=0.00567&amp;sourceID=14","0.00567")</f>
        <v>0.00567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HYPERLINK("http://141.218.60.56/~jnz1568/getInfo.php?workbook=16_08.xlsx&amp;sheet=U0&amp;row=2190&amp;col=6&amp;number=3.6&amp;sourceID=14","3.6")</f>
        <v>3.6</v>
      </c>
      <c r="G2190" s="4" t="str">
        <f>HYPERLINK("http://141.218.60.56/~jnz1568/getInfo.php?workbook=16_08.xlsx&amp;sheet=U0&amp;row=2190&amp;col=7&amp;number=0.00567&amp;sourceID=14","0.00567")</f>
        <v>0.00567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HYPERLINK("http://141.218.60.56/~jnz1568/getInfo.php?workbook=16_08.xlsx&amp;sheet=U0&amp;row=2191&amp;col=6&amp;number=3.7&amp;sourceID=14","3.7")</f>
        <v>3.7</v>
      </c>
      <c r="G2191" s="4" t="str">
        <f>HYPERLINK("http://141.218.60.56/~jnz1568/getInfo.php?workbook=16_08.xlsx&amp;sheet=U0&amp;row=2191&amp;col=7&amp;number=0.00567&amp;sourceID=14","0.00567")</f>
        <v>0.00567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HYPERLINK("http://141.218.60.56/~jnz1568/getInfo.php?workbook=16_08.xlsx&amp;sheet=U0&amp;row=2192&amp;col=6&amp;number=3.8&amp;sourceID=14","3.8")</f>
        <v>3.8</v>
      </c>
      <c r="G2192" s="4" t="str">
        <f>HYPERLINK("http://141.218.60.56/~jnz1568/getInfo.php?workbook=16_08.xlsx&amp;sheet=U0&amp;row=2192&amp;col=7&amp;number=0.00567&amp;sourceID=14","0.00567")</f>
        <v>0.00567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HYPERLINK("http://141.218.60.56/~jnz1568/getInfo.php?workbook=16_08.xlsx&amp;sheet=U0&amp;row=2193&amp;col=6&amp;number=3.9&amp;sourceID=14","3.9")</f>
        <v>3.9</v>
      </c>
      <c r="G2193" s="4" t="str">
        <f>HYPERLINK("http://141.218.60.56/~jnz1568/getInfo.php?workbook=16_08.xlsx&amp;sheet=U0&amp;row=2193&amp;col=7&amp;number=0.00567&amp;sourceID=14","0.00567")</f>
        <v>0.00567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HYPERLINK("http://141.218.60.56/~jnz1568/getInfo.php?workbook=16_08.xlsx&amp;sheet=U0&amp;row=2194&amp;col=6&amp;number=4&amp;sourceID=14","4")</f>
        <v>4</v>
      </c>
      <c r="G2194" s="4" t="str">
        <f>HYPERLINK("http://141.218.60.56/~jnz1568/getInfo.php?workbook=16_08.xlsx&amp;sheet=U0&amp;row=2194&amp;col=7&amp;number=0.00567&amp;sourceID=14","0.00567")</f>
        <v>0.00567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HYPERLINK("http://141.218.60.56/~jnz1568/getInfo.php?workbook=16_08.xlsx&amp;sheet=U0&amp;row=2195&amp;col=6&amp;number=4.1&amp;sourceID=14","4.1")</f>
        <v>4.1</v>
      </c>
      <c r="G2195" s="4" t="str">
        <f>HYPERLINK("http://141.218.60.56/~jnz1568/getInfo.php?workbook=16_08.xlsx&amp;sheet=U0&amp;row=2195&amp;col=7&amp;number=0.00567&amp;sourceID=14","0.00567")</f>
        <v>0.00567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HYPERLINK("http://141.218.60.56/~jnz1568/getInfo.php?workbook=16_08.xlsx&amp;sheet=U0&amp;row=2196&amp;col=6&amp;number=4.2&amp;sourceID=14","4.2")</f>
        <v>4.2</v>
      </c>
      <c r="G2196" s="4" t="str">
        <f>HYPERLINK("http://141.218.60.56/~jnz1568/getInfo.php?workbook=16_08.xlsx&amp;sheet=U0&amp;row=2196&amp;col=7&amp;number=0.00566&amp;sourceID=14","0.00566")</f>
        <v>0.00566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HYPERLINK("http://141.218.60.56/~jnz1568/getInfo.php?workbook=16_08.xlsx&amp;sheet=U0&amp;row=2197&amp;col=6&amp;number=4.3&amp;sourceID=14","4.3")</f>
        <v>4.3</v>
      </c>
      <c r="G2197" s="4" t="str">
        <f>HYPERLINK("http://141.218.60.56/~jnz1568/getInfo.php?workbook=16_08.xlsx&amp;sheet=U0&amp;row=2197&amp;col=7&amp;number=0.00566&amp;sourceID=14","0.00566")</f>
        <v>0.00566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HYPERLINK("http://141.218.60.56/~jnz1568/getInfo.php?workbook=16_08.xlsx&amp;sheet=U0&amp;row=2198&amp;col=6&amp;number=4.4&amp;sourceID=14","4.4")</f>
        <v>4.4</v>
      </c>
      <c r="G2198" s="4" t="str">
        <f>HYPERLINK("http://141.218.60.56/~jnz1568/getInfo.php?workbook=16_08.xlsx&amp;sheet=U0&amp;row=2198&amp;col=7&amp;number=0.00566&amp;sourceID=14","0.00566")</f>
        <v>0.00566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HYPERLINK("http://141.218.60.56/~jnz1568/getInfo.php?workbook=16_08.xlsx&amp;sheet=U0&amp;row=2199&amp;col=6&amp;number=4.5&amp;sourceID=14","4.5")</f>
        <v>4.5</v>
      </c>
      <c r="G2199" s="4" t="str">
        <f>HYPERLINK("http://141.218.60.56/~jnz1568/getInfo.php?workbook=16_08.xlsx&amp;sheet=U0&amp;row=2199&amp;col=7&amp;number=0.00565&amp;sourceID=14","0.00565")</f>
        <v>0.00565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HYPERLINK("http://141.218.60.56/~jnz1568/getInfo.php?workbook=16_08.xlsx&amp;sheet=U0&amp;row=2200&amp;col=6&amp;number=4.6&amp;sourceID=14","4.6")</f>
        <v>4.6</v>
      </c>
      <c r="G2200" s="4" t="str">
        <f>HYPERLINK("http://141.218.60.56/~jnz1568/getInfo.php?workbook=16_08.xlsx&amp;sheet=U0&amp;row=2200&amp;col=7&amp;number=0.00565&amp;sourceID=14","0.00565")</f>
        <v>0.00565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HYPERLINK("http://141.218.60.56/~jnz1568/getInfo.php?workbook=16_08.xlsx&amp;sheet=U0&amp;row=2201&amp;col=6&amp;number=4.7&amp;sourceID=14","4.7")</f>
        <v>4.7</v>
      </c>
      <c r="G2201" s="4" t="str">
        <f>HYPERLINK("http://141.218.60.56/~jnz1568/getInfo.php?workbook=16_08.xlsx&amp;sheet=U0&amp;row=2201&amp;col=7&amp;number=0.00564&amp;sourceID=14","0.00564")</f>
        <v>0.00564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HYPERLINK("http://141.218.60.56/~jnz1568/getInfo.php?workbook=16_08.xlsx&amp;sheet=U0&amp;row=2202&amp;col=6&amp;number=4.8&amp;sourceID=14","4.8")</f>
        <v>4.8</v>
      </c>
      <c r="G2202" s="4" t="str">
        <f>HYPERLINK("http://141.218.60.56/~jnz1568/getInfo.php?workbook=16_08.xlsx&amp;sheet=U0&amp;row=2202&amp;col=7&amp;number=0.00563&amp;sourceID=14","0.00563")</f>
        <v>0.00563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HYPERLINK("http://141.218.60.56/~jnz1568/getInfo.php?workbook=16_08.xlsx&amp;sheet=U0&amp;row=2203&amp;col=6&amp;number=4.9&amp;sourceID=14","4.9")</f>
        <v>4.9</v>
      </c>
      <c r="G2203" s="4" t="str">
        <f>HYPERLINK("http://141.218.60.56/~jnz1568/getInfo.php?workbook=16_08.xlsx&amp;sheet=U0&amp;row=2203&amp;col=7&amp;number=0.00562&amp;sourceID=14","0.00562")</f>
        <v>0.00562</v>
      </c>
    </row>
    <row r="2204" spans="1:7">
      <c r="A2204" s="3">
        <v>16</v>
      </c>
      <c r="B2204" s="3">
        <v>8</v>
      </c>
      <c r="C2204" s="3">
        <v>2</v>
      </c>
      <c r="D2204" s="3">
        <v>28</v>
      </c>
      <c r="E2204" s="3">
        <v>1</v>
      </c>
      <c r="F2204" s="4" t="str">
        <f>HYPERLINK("http://141.218.60.56/~jnz1568/getInfo.php?workbook=16_08.xlsx&amp;sheet=U0&amp;row=2204&amp;col=6&amp;number=3&amp;sourceID=14","3")</f>
        <v>3</v>
      </c>
      <c r="G2204" s="4" t="str">
        <f>HYPERLINK("http://141.218.60.56/~jnz1568/getInfo.php?workbook=16_08.xlsx&amp;sheet=U0&amp;row=2204&amp;col=7&amp;number=0.00495&amp;sourceID=14","0.00495")</f>
        <v>0.00495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HYPERLINK("http://141.218.60.56/~jnz1568/getInfo.php?workbook=16_08.xlsx&amp;sheet=U0&amp;row=2205&amp;col=6&amp;number=3.1&amp;sourceID=14","3.1")</f>
        <v>3.1</v>
      </c>
      <c r="G2205" s="4" t="str">
        <f>HYPERLINK("http://141.218.60.56/~jnz1568/getInfo.php?workbook=16_08.xlsx&amp;sheet=U0&amp;row=2205&amp;col=7&amp;number=0.00495&amp;sourceID=14","0.00495")</f>
        <v>0.00495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HYPERLINK("http://141.218.60.56/~jnz1568/getInfo.php?workbook=16_08.xlsx&amp;sheet=U0&amp;row=2206&amp;col=6&amp;number=3.2&amp;sourceID=14","3.2")</f>
        <v>3.2</v>
      </c>
      <c r="G2206" s="4" t="str">
        <f>HYPERLINK("http://141.218.60.56/~jnz1568/getInfo.php?workbook=16_08.xlsx&amp;sheet=U0&amp;row=2206&amp;col=7&amp;number=0.00495&amp;sourceID=14","0.00495")</f>
        <v>0.00495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HYPERLINK("http://141.218.60.56/~jnz1568/getInfo.php?workbook=16_08.xlsx&amp;sheet=U0&amp;row=2207&amp;col=6&amp;number=3.3&amp;sourceID=14","3.3")</f>
        <v>3.3</v>
      </c>
      <c r="G2207" s="4" t="str">
        <f>HYPERLINK("http://141.218.60.56/~jnz1568/getInfo.php?workbook=16_08.xlsx&amp;sheet=U0&amp;row=2207&amp;col=7&amp;number=0.00495&amp;sourceID=14","0.00495")</f>
        <v>0.00495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HYPERLINK("http://141.218.60.56/~jnz1568/getInfo.php?workbook=16_08.xlsx&amp;sheet=U0&amp;row=2208&amp;col=6&amp;number=3.4&amp;sourceID=14","3.4")</f>
        <v>3.4</v>
      </c>
      <c r="G2208" s="4" t="str">
        <f>HYPERLINK("http://141.218.60.56/~jnz1568/getInfo.php?workbook=16_08.xlsx&amp;sheet=U0&amp;row=2208&amp;col=7&amp;number=0.00495&amp;sourceID=14","0.00495")</f>
        <v>0.00495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HYPERLINK("http://141.218.60.56/~jnz1568/getInfo.php?workbook=16_08.xlsx&amp;sheet=U0&amp;row=2209&amp;col=6&amp;number=3.5&amp;sourceID=14","3.5")</f>
        <v>3.5</v>
      </c>
      <c r="G2209" s="4" t="str">
        <f>HYPERLINK("http://141.218.60.56/~jnz1568/getInfo.php?workbook=16_08.xlsx&amp;sheet=U0&amp;row=2209&amp;col=7&amp;number=0.00495&amp;sourceID=14","0.00495")</f>
        <v>0.00495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HYPERLINK("http://141.218.60.56/~jnz1568/getInfo.php?workbook=16_08.xlsx&amp;sheet=U0&amp;row=2210&amp;col=6&amp;number=3.6&amp;sourceID=14","3.6")</f>
        <v>3.6</v>
      </c>
      <c r="G2210" s="4" t="str">
        <f>HYPERLINK("http://141.218.60.56/~jnz1568/getInfo.php?workbook=16_08.xlsx&amp;sheet=U0&amp;row=2210&amp;col=7&amp;number=0.00495&amp;sourceID=14","0.00495")</f>
        <v>0.00495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HYPERLINK("http://141.218.60.56/~jnz1568/getInfo.php?workbook=16_08.xlsx&amp;sheet=U0&amp;row=2211&amp;col=6&amp;number=3.7&amp;sourceID=14","3.7")</f>
        <v>3.7</v>
      </c>
      <c r="G2211" s="4" t="str">
        <f>HYPERLINK("http://141.218.60.56/~jnz1568/getInfo.php?workbook=16_08.xlsx&amp;sheet=U0&amp;row=2211&amp;col=7&amp;number=0.00495&amp;sourceID=14","0.00495")</f>
        <v>0.00495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HYPERLINK("http://141.218.60.56/~jnz1568/getInfo.php?workbook=16_08.xlsx&amp;sheet=U0&amp;row=2212&amp;col=6&amp;number=3.8&amp;sourceID=14","3.8")</f>
        <v>3.8</v>
      </c>
      <c r="G2212" s="4" t="str">
        <f>HYPERLINK("http://141.218.60.56/~jnz1568/getInfo.php?workbook=16_08.xlsx&amp;sheet=U0&amp;row=2212&amp;col=7&amp;number=0.00494&amp;sourceID=14","0.00494")</f>
        <v>0.00494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HYPERLINK("http://141.218.60.56/~jnz1568/getInfo.php?workbook=16_08.xlsx&amp;sheet=U0&amp;row=2213&amp;col=6&amp;number=3.9&amp;sourceID=14","3.9")</f>
        <v>3.9</v>
      </c>
      <c r="G2213" s="4" t="str">
        <f>HYPERLINK("http://141.218.60.56/~jnz1568/getInfo.php?workbook=16_08.xlsx&amp;sheet=U0&amp;row=2213&amp;col=7&amp;number=0.00494&amp;sourceID=14","0.00494")</f>
        <v>0.00494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HYPERLINK("http://141.218.60.56/~jnz1568/getInfo.php?workbook=16_08.xlsx&amp;sheet=U0&amp;row=2214&amp;col=6&amp;number=4&amp;sourceID=14","4")</f>
        <v>4</v>
      </c>
      <c r="G2214" s="4" t="str">
        <f>HYPERLINK("http://141.218.60.56/~jnz1568/getInfo.php?workbook=16_08.xlsx&amp;sheet=U0&amp;row=2214&amp;col=7&amp;number=0.00494&amp;sourceID=14","0.00494")</f>
        <v>0.00494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HYPERLINK("http://141.218.60.56/~jnz1568/getInfo.php?workbook=16_08.xlsx&amp;sheet=U0&amp;row=2215&amp;col=6&amp;number=4.1&amp;sourceID=14","4.1")</f>
        <v>4.1</v>
      </c>
      <c r="G2215" s="4" t="str">
        <f>HYPERLINK("http://141.218.60.56/~jnz1568/getInfo.php?workbook=16_08.xlsx&amp;sheet=U0&amp;row=2215&amp;col=7&amp;number=0.00494&amp;sourceID=14","0.00494")</f>
        <v>0.00494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HYPERLINK("http://141.218.60.56/~jnz1568/getInfo.php?workbook=16_08.xlsx&amp;sheet=U0&amp;row=2216&amp;col=6&amp;number=4.2&amp;sourceID=14","4.2")</f>
        <v>4.2</v>
      </c>
      <c r="G2216" s="4" t="str">
        <f>HYPERLINK("http://141.218.60.56/~jnz1568/getInfo.php?workbook=16_08.xlsx&amp;sheet=U0&amp;row=2216&amp;col=7&amp;number=0.00494&amp;sourceID=14","0.00494")</f>
        <v>0.00494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HYPERLINK("http://141.218.60.56/~jnz1568/getInfo.php?workbook=16_08.xlsx&amp;sheet=U0&amp;row=2217&amp;col=6&amp;number=4.3&amp;sourceID=14","4.3")</f>
        <v>4.3</v>
      </c>
      <c r="G2217" s="4" t="str">
        <f>HYPERLINK("http://141.218.60.56/~jnz1568/getInfo.php?workbook=16_08.xlsx&amp;sheet=U0&amp;row=2217&amp;col=7&amp;number=0.00493&amp;sourceID=14","0.00493")</f>
        <v>0.00493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HYPERLINK("http://141.218.60.56/~jnz1568/getInfo.php?workbook=16_08.xlsx&amp;sheet=U0&amp;row=2218&amp;col=6&amp;number=4.4&amp;sourceID=14","4.4")</f>
        <v>4.4</v>
      </c>
      <c r="G2218" s="4" t="str">
        <f>HYPERLINK("http://141.218.60.56/~jnz1568/getInfo.php?workbook=16_08.xlsx&amp;sheet=U0&amp;row=2218&amp;col=7&amp;number=0.00493&amp;sourceID=14","0.00493")</f>
        <v>0.00493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HYPERLINK("http://141.218.60.56/~jnz1568/getInfo.php?workbook=16_08.xlsx&amp;sheet=U0&amp;row=2219&amp;col=6&amp;number=4.5&amp;sourceID=14","4.5")</f>
        <v>4.5</v>
      </c>
      <c r="G2219" s="4" t="str">
        <f>HYPERLINK("http://141.218.60.56/~jnz1568/getInfo.php?workbook=16_08.xlsx&amp;sheet=U0&amp;row=2219&amp;col=7&amp;number=0.00492&amp;sourceID=14","0.00492")</f>
        <v>0.00492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HYPERLINK("http://141.218.60.56/~jnz1568/getInfo.php?workbook=16_08.xlsx&amp;sheet=U0&amp;row=2220&amp;col=6&amp;number=4.6&amp;sourceID=14","4.6")</f>
        <v>4.6</v>
      </c>
      <c r="G2220" s="4" t="str">
        <f>HYPERLINK("http://141.218.60.56/~jnz1568/getInfo.php?workbook=16_08.xlsx&amp;sheet=U0&amp;row=2220&amp;col=7&amp;number=0.00492&amp;sourceID=14","0.00492")</f>
        <v>0.00492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HYPERLINK("http://141.218.60.56/~jnz1568/getInfo.php?workbook=16_08.xlsx&amp;sheet=U0&amp;row=2221&amp;col=6&amp;number=4.7&amp;sourceID=14","4.7")</f>
        <v>4.7</v>
      </c>
      <c r="G2221" s="4" t="str">
        <f>HYPERLINK("http://141.218.60.56/~jnz1568/getInfo.php?workbook=16_08.xlsx&amp;sheet=U0&amp;row=2221&amp;col=7&amp;number=0.00491&amp;sourceID=14","0.00491")</f>
        <v>0.00491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HYPERLINK("http://141.218.60.56/~jnz1568/getInfo.php?workbook=16_08.xlsx&amp;sheet=U0&amp;row=2222&amp;col=6&amp;number=4.8&amp;sourceID=14","4.8")</f>
        <v>4.8</v>
      </c>
      <c r="G2222" s="4" t="str">
        <f>HYPERLINK("http://141.218.60.56/~jnz1568/getInfo.php?workbook=16_08.xlsx&amp;sheet=U0&amp;row=2222&amp;col=7&amp;number=0.0049&amp;sourceID=14","0.0049")</f>
        <v>0.0049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HYPERLINK("http://141.218.60.56/~jnz1568/getInfo.php?workbook=16_08.xlsx&amp;sheet=U0&amp;row=2223&amp;col=6&amp;number=4.9&amp;sourceID=14","4.9")</f>
        <v>4.9</v>
      </c>
      <c r="G2223" s="4" t="str">
        <f>HYPERLINK("http://141.218.60.56/~jnz1568/getInfo.php?workbook=16_08.xlsx&amp;sheet=U0&amp;row=2223&amp;col=7&amp;number=0.00489&amp;sourceID=14","0.00489")</f>
        <v>0.00489</v>
      </c>
    </row>
    <row r="2224" spans="1:7">
      <c r="A2224" s="3">
        <v>16</v>
      </c>
      <c r="B2224" s="3">
        <v>8</v>
      </c>
      <c r="C2224" s="3">
        <v>2</v>
      </c>
      <c r="D2224" s="3">
        <v>29</v>
      </c>
      <c r="E2224" s="3">
        <v>1</v>
      </c>
      <c r="F2224" s="4" t="str">
        <f>HYPERLINK("http://141.218.60.56/~jnz1568/getInfo.php?workbook=16_08.xlsx&amp;sheet=U0&amp;row=2224&amp;col=6&amp;number=3&amp;sourceID=14","3")</f>
        <v>3</v>
      </c>
      <c r="G2224" s="4" t="str">
        <f>HYPERLINK("http://141.218.60.56/~jnz1568/getInfo.php?workbook=16_08.xlsx&amp;sheet=U0&amp;row=2224&amp;col=7&amp;number=0.00319&amp;sourceID=14","0.00319")</f>
        <v>0.00319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HYPERLINK("http://141.218.60.56/~jnz1568/getInfo.php?workbook=16_08.xlsx&amp;sheet=U0&amp;row=2225&amp;col=6&amp;number=3.1&amp;sourceID=14","3.1")</f>
        <v>3.1</v>
      </c>
      <c r="G2225" s="4" t="str">
        <f>HYPERLINK("http://141.218.60.56/~jnz1568/getInfo.php?workbook=16_08.xlsx&amp;sheet=U0&amp;row=2225&amp;col=7&amp;number=0.00319&amp;sourceID=14","0.00319")</f>
        <v>0.00319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HYPERLINK("http://141.218.60.56/~jnz1568/getInfo.php?workbook=16_08.xlsx&amp;sheet=U0&amp;row=2226&amp;col=6&amp;number=3.2&amp;sourceID=14","3.2")</f>
        <v>3.2</v>
      </c>
      <c r="G2226" s="4" t="str">
        <f>HYPERLINK("http://141.218.60.56/~jnz1568/getInfo.php?workbook=16_08.xlsx&amp;sheet=U0&amp;row=2226&amp;col=7&amp;number=0.00319&amp;sourceID=14","0.00319")</f>
        <v>0.00319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HYPERLINK("http://141.218.60.56/~jnz1568/getInfo.php?workbook=16_08.xlsx&amp;sheet=U0&amp;row=2227&amp;col=6&amp;number=3.3&amp;sourceID=14","3.3")</f>
        <v>3.3</v>
      </c>
      <c r="G2227" s="4" t="str">
        <f>HYPERLINK("http://141.218.60.56/~jnz1568/getInfo.php?workbook=16_08.xlsx&amp;sheet=U0&amp;row=2227&amp;col=7&amp;number=0.00319&amp;sourceID=14","0.00319")</f>
        <v>0.00319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HYPERLINK("http://141.218.60.56/~jnz1568/getInfo.php?workbook=16_08.xlsx&amp;sheet=U0&amp;row=2228&amp;col=6&amp;number=3.4&amp;sourceID=14","3.4")</f>
        <v>3.4</v>
      </c>
      <c r="G2228" s="4" t="str">
        <f>HYPERLINK("http://141.218.60.56/~jnz1568/getInfo.php?workbook=16_08.xlsx&amp;sheet=U0&amp;row=2228&amp;col=7&amp;number=0.00319&amp;sourceID=14","0.00319")</f>
        <v>0.00319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HYPERLINK("http://141.218.60.56/~jnz1568/getInfo.php?workbook=16_08.xlsx&amp;sheet=U0&amp;row=2229&amp;col=6&amp;number=3.5&amp;sourceID=14","3.5")</f>
        <v>3.5</v>
      </c>
      <c r="G2229" s="4" t="str">
        <f>HYPERLINK("http://141.218.60.56/~jnz1568/getInfo.php?workbook=16_08.xlsx&amp;sheet=U0&amp;row=2229&amp;col=7&amp;number=0.00319&amp;sourceID=14","0.00319")</f>
        <v>0.00319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HYPERLINK("http://141.218.60.56/~jnz1568/getInfo.php?workbook=16_08.xlsx&amp;sheet=U0&amp;row=2230&amp;col=6&amp;number=3.6&amp;sourceID=14","3.6")</f>
        <v>3.6</v>
      </c>
      <c r="G2230" s="4" t="str">
        <f>HYPERLINK("http://141.218.60.56/~jnz1568/getInfo.php?workbook=16_08.xlsx&amp;sheet=U0&amp;row=2230&amp;col=7&amp;number=0.00319&amp;sourceID=14","0.00319")</f>
        <v>0.00319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HYPERLINK("http://141.218.60.56/~jnz1568/getInfo.php?workbook=16_08.xlsx&amp;sheet=U0&amp;row=2231&amp;col=6&amp;number=3.7&amp;sourceID=14","3.7")</f>
        <v>3.7</v>
      </c>
      <c r="G2231" s="4" t="str">
        <f>HYPERLINK("http://141.218.60.56/~jnz1568/getInfo.php?workbook=16_08.xlsx&amp;sheet=U0&amp;row=2231&amp;col=7&amp;number=0.00319&amp;sourceID=14","0.00319")</f>
        <v>0.00319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HYPERLINK("http://141.218.60.56/~jnz1568/getInfo.php?workbook=16_08.xlsx&amp;sheet=U0&amp;row=2232&amp;col=6&amp;number=3.8&amp;sourceID=14","3.8")</f>
        <v>3.8</v>
      </c>
      <c r="G2232" s="4" t="str">
        <f>HYPERLINK("http://141.218.60.56/~jnz1568/getInfo.php?workbook=16_08.xlsx&amp;sheet=U0&amp;row=2232&amp;col=7&amp;number=0.00319&amp;sourceID=14","0.00319")</f>
        <v>0.00319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HYPERLINK("http://141.218.60.56/~jnz1568/getInfo.php?workbook=16_08.xlsx&amp;sheet=U0&amp;row=2233&amp;col=6&amp;number=3.9&amp;sourceID=14","3.9")</f>
        <v>3.9</v>
      </c>
      <c r="G2233" s="4" t="str">
        <f>HYPERLINK("http://141.218.60.56/~jnz1568/getInfo.php?workbook=16_08.xlsx&amp;sheet=U0&amp;row=2233&amp;col=7&amp;number=0.00319&amp;sourceID=14","0.00319")</f>
        <v>0.00319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HYPERLINK("http://141.218.60.56/~jnz1568/getInfo.php?workbook=16_08.xlsx&amp;sheet=U0&amp;row=2234&amp;col=6&amp;number=4&amp;sourceID=14","4")</f>
        <v>4</v>
      </c>
      <c r="G2234" s="4" t="str">
        <f>HYPERLINK("http://141.218.60.56/~jnz1568/getInfo.php?workbook=16_08.xlsx&amp;sheet=U0&amp;row=2234&amp;col=7&amp;number=0.00318&amp;sourceID=14","0.00318")</f>
        <v>0.00318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HYPERLINK("http://141.218.60.56/~jnz1568/getInfo.php?workbook=16_08.xlsx&amp;sheet=U0&amp;row=2235&amp;col=6&amp;number=4.1&amp;sourceID=14","4.1")</f>
        <v>4.1</v>
      </c>
      <c r="G2235" s="4" t="str">
        <f>HYPERLINK("http://141.218.60.56/~jnz1568/getInfo.php?workbook=16_08.xlsx&amp;sheet=U0&amp;row=2235&amp;col=7&amp;number=0.00318&amp;sourceID=14","0.00318")</f>
        <v>0.00318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HYPERLINK("http://141.218.60.56/~jnz1568/getInfo.php?workbook=16_08.xlsx&amp;sheet=U0&amp;row=2236&amp;col=6&amp;number=4.2&amp;sourceID=14","4.2")</f>
        <v>4.2</v>
      </c>
      <c r="G2236" s="4" t="str">
        <f>HYPERLINK("http://141.218.60.56/~jnz1568/getInfo.php?workbook=16_08.xlsx&amp;sheet=U0&amp;row=2236&amp;col=7&amp;number=0.00318&amp;sourceID=14","0.00318")</f>
        <v>0.00318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HYPERLINK("http://141.218.60.56/~jnz1568/getInfo.php?workbook=16_08.xlsx&amp;sheet=U0&amp;row=2237&amp;col=6&amp;number=4.3&amp;sourceID=14","4.3")</f>
        <v>4.3</v>
      </c>
      <c r="G2237" s="4" t="str">
        <f>HYPERLINK("http://141.218.60.56/~jnz1568/getInfo.php?workbook=16_08.xlsx&amp;sheet=U0&amp;row=2237&amp;col=7&amp;number=0.00318&amp;sourceID=14","0.00318")</f>
        <v>0.00318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HYPERLINK("http://141.218.60.56/~jnz1568/getInfo.php?workbook=16_08.xlsx&amp;sheet=U0&amp;row=2238&amp;col=6&amp;number=4.4&amp;sourceID=14","4.4")</f>
        <v>4.4</v>
      </c>
      <c r="G2238" s="4" t="str">
        <f>HYPERLINK("http://141.218.60.56/~jnz1568/getInfo.php?workbook=16_08.xlsx&amp;sheet=U0&amp;row=2238&amp;col=7&amp;number=0.00317&amp;sourceID=14","0.00317")</f>
        <v>0.00317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HYPERLINK("http://141.218.60.56/~jnz1568/getInfo.php?workbook=16_08.xlsx&amp;sheet=U0&amp;row=2239&amp;col=6&amp;number=4.5&amp;sourceID=14","4.5")</f>
        <v>4.5</v>
      </c>
      <c r="G2239" s="4" t="str">
        <f>HYPERLINK("http://141.218.60.56/~jnz1568/getInfo.php?workbook=16_08.xlsx&amp;sheet=U0&amp;row=2239&amp;col=7&amp;number=0.00317&amp;sourceID=14","0.00317")</f>
        <v>0.00317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HYPERLINK("http://141.218.60.56/~jnz1568/getInfo.php?workbook=16_08.xlsx&amp;sheet=U0&amp;row=2240&amp;col=6&amp;number=4.6&amp;sourceID=14","4.6")</f>
        <v>4.6</v>
      </c>
      <c r="G2240" s="4" t="str">
        <f>HYPERLINK("http://141.218.60.56/~jnz1568/getInfo.php?workbook=16_08.xlsx&amp;sheet=U0&amp;row=2240&amp;col=7&amp;number=0.00316&amp;sourceID=14","0.00316")</f>
        <v>0.00316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HYPERLINK("http://141.218.60.56/~jnz1568/getInfo.php?workbook=16_08.xlsx&amp;sheet=U0&amp;row=2241&amp;col=6&amp;number=4.7&amp;sourceID=14","4.7")</f>
        <v>4.7</v>
      </c>
      <c r="G2241" s="4" t="str">
        <f>HYPERLINK("http://141.218.60.56/~jnz1568/getInfo.php?workbook=16_08.xlsx&amp;sheet=U0&amp;row=2241&amp;col=7&amp;number=0.00316&amp;sourceID=14","0.00316")</f>
        <v>0.00316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HYPERLINK("http://141.218.60.56/~jnz1568/getInfo.php?workbook=16_08.xlsx&amp;sheet=U0&amp;row=2242&amp;col=6&amp;number=4.8&amp;sourceID=14","4.8")</f>
        <v>4.8</v>
      </c>
      <c r="G2242" s="4" t="str">
        <f>HYPERLINK("http://141.218.60.56/~jnz1568/getInfo.php?workbook=16_08.xlsx&amp;sheet=U0&amp;row=2242&amp;col=7&amp;number=0.00315&amp;sourceID=14","0.00315")</f>
        <v>0.00315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HYPERLINK("http://141.218.60.56/~jnz1568/getInfo.php?workbook=16_08.xlsx&amp;sheet=U0&amp;row=2243&amp;col=6&amp;number=4.9&amp;sourceID=14","4.9")</f>
        <v>4.9</v>
      </c>
      <c r="G2243" s="4" t="str">
        <f>HYPERLINK("http://141.218.60.56/~jnz1568/getInfo.php?workbook=16_08.xlsx&amp;sheet=U0&amp;row=2243&amp;col=7&amp;number=0.00314&amp;sourceID=14","0.00314")</f>
        <v>0.00314</v>
      </c>
    </row>
    <row r="2244" spans="1:7">
      <c r="A2244" s="3">
        <v>16</v>
      </c>
      <c r="B2244" s="3">
        <v>8</v>
      </c>
      <c r="C2244" s="3">
        <v>2</v>
      </c>
      <c r="D2244" s="3">
        <v>30</v>
      </c>
      <c r="E2244" s="3">
        <v>1</v>
      </c>
      <c r="F2244" s="4" t="str">
        <f>HYPERLINK("http://141.218.60.56/~jnz1568/getInfo.php?workbook=16_08.xlsx&amp;sheet=U0&amp;row=2244&amp;col=6&amp;number=3&amp;sourceID=14","3")</f>
        <v>3</v>
      </c>
      <c r="G2244" s="4" t="str">
        <f>HYPERLINK("http://141.218.60.56/~jnz1568/getInfo.php?workbook=16_08.xlsx&amp;sheet=U0&amp;row=2244&amp;col=7&amp;number=0.00433&amp;sourceID=14","0.00433")</f>
        <v>0.00433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HYPERLINK("http://141.218.60.56/~jnz1568/getInfo.php?workbook=16_08.xlsx&amp;sheet=U0&amp;row=2245&amp;col=6&amp;number=3.1&amp;sourceID=14","3.1")</f>
        <v>3.1</v>
      </c>
      <c r="G2245" s="4" t="str">
        <f>HYPERLINK("http://141.218.60.56/~jnz1568/getInfo.php?workbook=16_08.xlsx&amp;sheet=U0&amp;row=2245&amp;col=7&amp;number=0.00433&amp;sourceID=14","0.00433")</f>
        <v>0.00433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HYPERLINK("http://141.218.60.56/~jnz1568/getInfo.php?workbook=16_08.xlsx&amp;sheet=U0&amp;row=2246&amp;col=6&amp;number=3.2&amp;sourceID=14","3.2")</f>
        <v>3.2</v>
      </c>
      <c r="G2246" s="4" t="str">
        <f>HYPERLINK("http://141.218.60.56/~jnz1568/getInfo.php?workbook=16_08.xlsx&amp;sheet=U0&amp;row=2246&amp;col=7&amp;number=0.00433&amp;sourceID=14","0.00433")</f>
        <v>0.00433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HYPERLINK("http://141.218.60.56/~jnz1568/getInfo.php?workbook=16_08.xlsx&amp;sheet=U0&amp;row=2247&amp;col=6&amp;number=3.3&amp;sourceID=14","3.3")</f>
        <v>3.3</v>
      </c>
      <c r="G2247" s="4" t="str">
        <f>HYPERLINK("http://141.218.60.56/~jnz1568/getInfo.php?workbook=16_08.xlsx&amp;sheet=U0&amp;row=2247&amp;col=7&amp;number=0.00433&amp;sourceID=14","0.00433")</f>
        <v>0.00433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HYPERLINK("http://141.218.60.56/~jnz1568/getInfo.php?workbook=16_08.xlsx&amp;sheet=U0&amp;row=2248&amp;col=6&amp;number=3.4&amp;sourceID=14","3.4")</f>
        <v>3.4</v>
      </c>
      <c r="G2248" s="4" t="str">
        <f>HYPERLINK("http://141.218.60.56/~jnz1568/getInfo.php?workbook=16_08.xlsx&amp;sheet=U0&amp;row=2248&amp;col=7&amp;number=0.00433&amp;sourceID=14","0.00433")</f>
        <v>0.00433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HYPERLINK("http://141.218.60.56/~jnz1568/getInfo.php?workbook=16_08.xlsx&amp;sheet=U0&amp;row=2249&amp;col=6&amp;number=3.5&amp;sourceID=14","3.5")</f>
        <v>3.5</v>
      </c>
      <c r="G2249" s="4" t="str">
        <f>HYPERLINK("http://141.218.60.56/~jnz1568/getInfo.php?workbook=16_08.xlsx&amp;sheet=U0&amp;row=2249&amp;col=7&amp;number=0.00433&amp;sourceID=14","0.00433")</f>
        <v>0.00433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HYPERLINK("http://141.218.60.56/~jnz1568/getInfo.php?workbook=16_08.xlsx&amp;sheet=U0&amp;row=2250&amp;col=6&amp;number=3.6&amp;sourceID=14","3.6")</f>
        <v>3.6</v>
      </c>
      <c r="G2250" s="4" t="str">
        <f>HYPERLINK("http://141.218.60.56/~jnz1568/getInfo.php?workbook=16_08.xlsx&amp;sheet=U0&amp;row=2250&amp;col=7&amp;number=0.00433&amp;sourceID=14","0.00433")</f>
        <v>0.00433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HYPERLINK("http://141.218.60.56/~jnz1568/getInfo.php?workbook=16_08.xlsx&amp;sheet=U0&amp;row=2251&amp;col=6&amp;number=3.7&amp;sourceID=14","3.7")</f>
        <v>3.7</v>
      </c>
      <c r="G2251" s="4" t="str">
        <f>HYPERLINK("http://141.218.60.56/~jnz1568/getInfo.php?workbook=16_08.xlsx&amp;sheet=U0&amp;row=2251&amp;col=7&amp;number=0.00433&amp;sourceID=14","0.00433")</f>
        <v>0.00433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HYPERLINK("http://141.218.60.56/~jnz1568/getInfo.php?workbook=16_08.xlsx&amp;sheet=U0&amp;row=2252&amp;col=6&amp;number=3.8&amp;sourceID=14","3.8")</f>
        <v>3.8</v>
      </c>
      <c r="G2252" s="4" t="str">
        <f>HYPERLINK("http://141.218.60.56/~jnz1568/getInfo.php?workbook=16_08.xlsx&amp;sheet=U0&amp;row=2252&amp;col=7&amp;number=0.00433&amp;sourceID=14","0.00433")</f>
        <v>0.00433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HYPERLINK("http://141.218.60.56/~jnz1568/getInfo.php?workbook=16_08.xlsx&amp;sheet=U0&amp;row=2253&amp;col=6&amp;number=3.9&amp;sourceID=14","3.9")</f>
        <v>3.9</v>
      </c>
      <c r="G2253" s="4" t="str">
        <f>HYPERLINK("http://141.218.60.56/~jnz1568/getInfo.php?workbook=16_08.xlsx&amp;sheet=U0&amp;row=2253&amp;col=7&amp;number=0.00433&amp;sourceID=14","0.00433")</f>
        <v>0.00433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HYPERLINK("http://141.218.60.56/~jnz1568/getInfo.php?workbook=16_08.xlsx&amp;sheet=U0&amp;row=2254&amp;col=6&amp;number=4&amp;sourceID=14","4")</f>
        <v>4</v>
      </c>
      <c r="G2254" s="4" t="str">
        <f>HYPERLINK("http://141.218.60.56/~jnz1568/getInfo.php?workbook=16_08.xlsx&amp;sheet=U0&amp;row=2254&amp;col=7&amp;number=0.00433&amp;sourceID=14","0.00433")</f>
        <v>0.00433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HYPERLINK("http://141.218.60.56/~jnz1568/getInfo.php?workbook=16_08.xlsx&amp;sheet=U0&amp;row=2255&amp;col=6&amp;number=4.1&amp;sourceID=14","4.1")</f>
        <v>4.1</v>
      </c>
      <c r="G2255" s="4" t="str">
        <f>HYPERLINK("http://141.218.60.56/~jnz1568/getInfo.php?workbook=16_08.xlsx&amp;sheet=U0&amp;row=2255&amp;col=7&amp;number=0.00433&amp;sourceID=14","0.00433")</f>
        <v>0.00433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HYPERLINK("http://141.218.60.56/~jnz1568/getInfo.php?workbook=16_08.xlsx&amp;sheet=U0&amp;row=2256&amp;col=6&amp;number=4.2&amp;sourceID=14","4.2")</f>
        <v>4.2</v>
      </c>
      <c r="G2256" s="4" t="str">
        <f>HYPERLINK("http://141.218.60.56/~jnz1568/getInfo.php?workbook=16_08.xlsx&amp;sheet=U0&amp;row=2256&amp;col=7&amp;number=0.00433&amp;sourceID=14","0.00433")</f>
        <v>0.00433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HYPERLINK("http://141.218.60.56/~jnz1568/getInfo.php?workbook=16_08.xlsx&amp;sheet=U0&amp;row=2257&amp;col=6&amp;number=4.3&amp;sourceID=14","4.3")</f>
        <v>4.3</v>
      </c>
      <c r="G2257" s="4" t="str">
        <f>HYPERLINK("http://141.218.60.56/~jnz1568/getInfo.php?workbook=16_08.xlsx&amp;sheet=U0&amp;row=2257&amp;col=7&amp;number=0.00432&amp;sourceID=14","0.00432")</f>
        <v>0.00432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HYPERLINK("http://141.218.60.56/~jnz1568/getInfo.php?workbook=16_08.xlsx&amp;sheet=U0&amp;row=2258&amp;col=6&amp;number=4.4&amp;sourceID=14","4.4")</f>
        <v>4.4</v>
      </c>
      <c r="G2258" s="4" t="str">
        <f>HYPERLINK("http://141.218.60.56/~jnz1568/getInfo.php?workbook=16_08.xlsx&amp;sheet=U0&amp;row=2258&amp;col=7&amp;number=0.00432&amp;sourceID=14","0.00432")</f>
        <v>0.00432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HYPERLINK("http://141.218.60.56/~jnz1568/getInfo.php?workbook=16_08.xlsx&amp;sheet=U0&amp;row=2259&amp;col=6&amp;number=4.5&amp;sourceID=14","4.5")</f>
        <v>4.5</v>
      </c>
      <c r="G2259" s="4" t="str">
        <f>HYPERLINK("http://141.218.60.56/~jnz1568/getInfo.php?workbook=16_08.xlsx&amp;sheet=U0&amp;row=2259&amp;col=7&amp;number=0.00432&amp;sourceID=14","0.00432")</f>
        <v>0.00432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HYPERLINK("http://141.218.60.56/~jnz1568/getInfo.php?workbook=16_08.xlsx&amp;sheet=U0&amp;row=2260&amp;col=6&amp;number=4.6&amp;sourceID=14","4.6")</f>
        <v>4.6</v>
      </c>
      <c r="G2260" s="4" t="str">
        <f>HYPERLINK("http://141.218.60.56/~jnz1568/getInfo.php?workbook=16_08.xlsx&amp;sheet=U0&amp;row=2260&amp;col=7&amp;number=0.00431&amp;sourceID=14","0.00431")</f>
        <v>0.00431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HYPERLINK("http://141.218.60.56/~jnz1568/getInfo.php?workbook=16_08.xlsx&amp;sheet=U0&amp;row=2261&amp;col=6&amp;number=4.7&amp;sourceID=14","4.7")</f>
        <v>4.7</v>
      </c>
      <c r="G2261" s="4" t="str">
        <f>HYPERLINK("http://141.218.60.56/~jnz1568/getInfo.php?workbook=16_08.xlsx&amp;sheet=U0&amp;row=2261&amp;col=7&amp;number=0.00431&amp;sourceID=14","0.00431")</f>
        <v>0.00431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HYPERLINK("http://141.218.60.56/~jnz1568/getInfo.php?workbook=16_08.xlsx&amp;sheet=U0&amp;row=2262&amp;col=6&amp;number=4.8&amp;sourceID=14","4.8")</f>
        <v>4.8</v>
      </c>
      <c r="G2262" s="4" t="str">
        <f>HYPERLINK("http://141.218.60.56/~jnz1568/getInfo.php?workbook=16_08.xlsx&amp;sheet=U0&amp;row=2262&amp;col=7&amp;number=0.0043&amp;sourceID=14","0.0043")</f>
        <v>0.0043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HYPERLINK("http://141.218.60.56/~jnz1568/getInfo.php?workbook=16_08.xlsx&amp;sheet=U0&amp;row=2263&amp;col=6&amp;number=4.9&amp;sourceID=14","4.9")</f>
        <v>4.9</v>
      </c>
      <c r="G2263" s="4" t="str">
        <f>HYPERLINK("http://141.218.60.56/~jnz1568/getInfo.php?workbook=16_08.xlsx&amp;sheet=U0&amp;row=2263&amp;col=7&amp;number=0.00429&amp;sourceID=14","0.00429")</f>
        <v>0.00429</v>
      </c>
    </row>
    <row r="2264" spans="1:7">
      <c r="A2264" s="3">
        <v>16</v>
      </c>
      <c r="B2264" s="3">
        <v>8</v>
      </c>
      <c r="C2264" s="3">
        <v>2</v>
      </c>
      <c r="D2264" s="3">
        <v>31</v>
      </c>
      <c r="E2264" s="3">
        <v>1</v>
      </c>
      <c r="F2264" s="4" t="str">
        <f>HYPERLINK("http://141.218.60.56/~jnz1568/getInfo.php?workbook=16_08.xlsx&amp;sheet=U0&amp;row=2264&amp;col=6&amp;number=3&amp;sourceID=14","3")</f>
        <v>3</v>
      </c>
      <c r="G2264" s="4" t="str">
        <f>HYPERLINK("http://141.218.60.56/~jnz1568/getInfo.php?workbook=16_08.xlsx&amp;sheet=U0&amp;row=2264&amp;col=7&amp;number=0.00964&amp;sourceID=14","0.00964")</f>
        <v>0.00964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HYPERLINK("http://141.218.60.56/~jnz1568/getInfo.php?workbook=16_08.xlsx&amp;sheet=U0&amp;row=2265&amp;col=6&amp;number=3.1&amp;sourceID=14","3.1")</f>
        <v>3.1</v>
      </c>
      <c r="G2265" s="4" t="str">
        <f>HYPERLINK("http://141.218.60.56/~jnz1568/getInfo.php?workbook=16_08.xlsx&amp;sheet=U0&amp;row=2265&amp;col=7&amp;number=0.00964&amp;sourceID=14","0.00964")</f>
        <v>0.00964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HYPERLINK("http://141.218.60.56/~jnz1568/getInfo.php?workbook=16_08.xlsx&amp;sheet=U0&amp;row=2266&amp;col=6&amp;number=3.2&amp;sourceID=14","3.2")</f>
        <v>3.2</v>
      </c>
      <c r="G2266" s="4" t="str">
        <f>HYPERLINK("http://141.218.60.56/~jnz1568/getInfo.php?workbook=16_08.xlsx&amp;sheet=U0&amp;row=2266&amp;col=7&amp;number=0.00964&amp;sourceID=14","0.00964")</f>
        <v>0.00964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HYPERLINK("http://141.218.60.56/~jnz1568/getInfo.php?workbook=16_08.xlsx&amp;sheet=U0&amp;row=2267&amp;col=6&amp;number=3.3&amp;sourceID=14","3.3")</f>
        <v>3.3</v>
      </c>
      <c r="G2267" s="4" t="str">
        <f>HYPERLINK("http://141.218.60.56/~jnz1568/getInfo.php?workbook=16_08.xlsx&amp;sheet=U0&amp;row=2267&amp;col=7&amp;number=0.00964&amp;sourceID=14","0.00964")</f>
        <v>0.00964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HYPERLINK("http://141.218.60.56/~jnz1568/getInfo.php?workbook=16_08.xlsx&amp;sheet=U0&amp;row=2268&amp;col=6&amp;number=3.4&amp;sourceID=14","3.4")</f>
        <v>3.4</v>
      </c>
      <c r="G2268" s="4" t="str">
        <f>HYPERLINK("http://141.218.60.56/~jnz1568/getInfo.php?workbook=16_08.xlsx&amp;sheet=U0&amp;row=2268&amp;col=7&amp;number=0.00964&amp;sourceID=14","0.00964")</f>
        <v>0.00964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HYPERLINK("http://141.218.60.56/~jnz1568/getInfo.php?workbook=16_08.xlsx&amp;sheet=U0&amp;row=2269&amp;col=6&amp;number=3.5&amp;sourceID=14","3.5")</f>
        <v>3.5</v>
      </c>
      <c r="G2269" s="4" t="str">
        <f>HYPERLINK("http://141.218.60.56/~jnz1568/getInfo.php?workbook=16_08.xlsx&amp;sheet=U0&amp;row=2269&amp;col=7&amp;number=0.00964&amp;sourceID=14","0.00964")</f>
        <v>0.00964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HYPERLINK("http://141.218.60.56/~jnz1568/getInfo.php?workbook=16_08.xlsx&amp;sheet=U0&amp;row=2270&amp;col=6&amp;number=3.6&amp;sourceID=14","3.6")</f>
        <v>3.6</v>
      </c>
      <c r="G2270" s="4" t="str">
        <f>HYPERLINK("http://141.218.60.56/~jnz1568/getInfo.php?workbook=16_08.xlsx&amp;sheet=U0&amp;row=2270&amp;col=7&amp;number=0.00964&amp;sourceID=14","0.00964")</f>
        <v>0.00964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HYPERLINK("http://141.218.60.56/~jnz1568/getInfo.php?workbook=16_08.xlsx&amp;sheet=U0&amp;row=2271&amp;col=6&amp;number=3.7&amp;sourceID=14","3.7")</f>
        <v>3.7</v>
      </c>
      <c r="G2271" s="4" t="str">
        <f>HYPERLINK("http://141.218.60.56/~jnz1568/getInfo.php?workbook=16_08.xlsx&amp;sheet=U0&amp;row=2271&amp;col=7&amp;number=0.00964&amp;sourceID=14","0.00964")</f>
        <v>0.00964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HYPERLINK("http://141.218.60.56/~jnz1568/getInfo.php?workbook=16_08.xlsx&amp;sheet=U0&amp;row=2272&amp;col=6&amp;number=3.8&amp;sourceID=14","3.8")</f>
        <v>3.8</v>
      </c>
      <c r="G2272" s="4" t="str">
        <f>HYPERLINK("http://141.218.60.56/~jnz1568/getInfo.php?workbook=16_08.xlsx&amp;sheet=U0&amp;row=2272&amp;col=7&amp;number=0.00963&amp;sourceID=14","0.00963")</f>
        <v>0.00963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HYPERLINK("http://141.218.60.56/~jnz1568/getInfo.php?workbook=16_08.xlsx&amp;sheet=U0&amp;row=2273&amp;col=6&amp;number=3.9&amp;sourceID=14","3.9")</f>
        <v>3.9</v>
      </c>
      <c r="G2273" s="4" t="str">
        <f>HYPERLINK("http://141.218.60.56/~jnz1568/getInfo.php?workbook=16_08.xlsx&amp;sheet=U0&amp;row=2273&amp;col=7&amp;number=0.00963&amp;sourceID=14","0.00963")</f>
        <v>0.00963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HYPERLINK("http://141.218.60.56/~jnz1568/getInfo.php?workbook=16_08.xlsx&amp;sheet=U0&amp;row=2274&amp;col=6&amp;number=4&amp;sourceID=14","4")</f>
        <v>4</v>
      </c>
      <c r="G2274" s="4" t="str">
        <f>HYPERLINK("http://141.218.60.56/~jnz1568/getInfo.php?workbook=16_08.xlsx&amp;sheet=U0&amp;row=2274&amp;col=7&amp;number=0.00963&amp;sourceID=14","0.00963")</f>
        <v>0.00963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HYPERLINK("http://141.218.60.56/~jnz1568/getInfo.php?workbook=16_08.xlsx&amp;sheet=U0&amp;row=2275&amp;col=6&amp;number=4.1&amp;sourceID=14","4.1")</f>
        <v>4.1</v>
      </c>
      <c r="G2275" s="4" t="str">
        <f>HYPERLINK("http://141.218.60.56/~jnz1568/getInfo.php?workbook=16_08.xlsx&amp;sheet=U0&amp;row=2275&amp;col=7&amp;number=0.00963&amp;sourceID=14","0.00963")</f>
        <v>0.00963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HYPERLINK("http://141.218.60.56/~jnz1568/getInfo.php?workbook=16_08.xlsx&amp;sheet=U0&amp;row=2276&amp;col=6&amp;number=4.2&amp;sourceID=14","4.2")</f>
        <v>4.2</v>
      </c>
      <c r="G2276" s="4" t="str">
        <f>HYPERLINK("http://141.218.60.56/~jnz1568/getInfo.php?workbook=16_08.xlsx&amp;sheet=U0&amp;row=2276&amp;col=7&amp;number=0.00963&amp;sourceID=14","0.00963")</f>
        <v>0.00963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HYPERLINK("http://141.218.60.56/~jnz1568/getInfo.php?workbook=16_08.xlsx&amp;sheet=U0&amp;row=2277&amp;col=6&amp;number=4.3&amp;sourceID=14","4.3")</f>
        <v>4.3</v>
      </c>
      <c r="G2277" s="4" t="str">
        <f>HYPERLINK("http://141.218.60.56/~jnz1568/getInfo.php?workbook=16_08.xlsx&amp;sheet=U0&amp;row=2277&amp;col=7&amp;number=0.00962&amp;sourceID=14","0.00962")</f>
        <v>0.00962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HYPERLINK("http://141.218.60.56/~jnz1568/getInfo.php?workbook=16_08.xlsx&amp;sheet=U0&amp;row=2278&amp;col=6&amp;number=4.4&amp;sourceID=14","4.4")</f>
        <v>4.4</v>
      </c>
      <c r="G2278" s="4" t="str">
        <f>HYPERLINK("http://141.218.60.56/~jnz1568/getInfo.php?workbook=16_08.xlsx&amp;sheet=U0&amp;row=2278&amp;col=7&amp;number=0.00962&amp;sourceID=14","0.00962")</f>
        <v>0.00962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HYPERLINK("http://141.218.60.56/~jnz1568/getInfo.php?workbook=16_08.xlsx&amp;sheet=U0&amp;row=2279&amp;col=6&amp;number=4.5&amp;sourceID=14","4.5")</f>
        <v>4.5</v>
      </c>
      <c r="G2279" s="4" t="str">
        <f>HYPERLINK("http://141.218.60.56/~jnz1568/getInfo.php?workbook=16_08.xlsx&amp;sheet=U0&amp;row=2279&amp;col=7&amp;number=0.00961&amp;sourceID=14","0.00961")</f>
        <v>0.00961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HYPERLINK("http://141.218.60.56/~jnz1568/getInfo.php?workbook=16_08.xlsx&amp;sheet=U0&amp;row=2280&amp;col=6&amp;number=4.6&amp;sourceID=14","4.6")</f>
        <v>4.6</v>
      </c>
      <c r="G2280" s="4" t="str">
        <f>HYPERLINK("http://141.218.60.56/~jnz1568/getInfo.php?workbook=16_08.xlsx&amp;sheet=U0&amp;row=2280&amp;col=7&amp;number=0.00961&amp;sourceID=14","0.00961")</f>
        <v>0.00961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HYPERLINK("http://141.218.60.56/~jnz1568/getInfo.php?workbook=16_08.xlsx&amp;sheet=U0&amp;row=2281&amp;col=6&amp;number=4.7&amp;sourceID=14","4.7")</f>
        <v>4.7</v>
      </c>
      <c r="G2281" s="4" t="str">
        <f>HYPERLINK("http://141.218.60.56/~jnz1568/getInfo.php?workbook=16_08.xlsx&amp;sheet=U0&amp;row=2281&amp;col=7&amp;number=0.0096&amp;sourceID=14","0.0096")</f>
        <v>0.0096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HYPERLINK("http://141.218.60.56/~jnz1568/getInfo.php?workbook=16_08.xlsx&amp;sheet=U0&amp;row=2282&amp;col=6&amp;number=4.8&amp;sourceID=14","4.8")</f>
        <v>4.8</v>
      </c>
      <c r="G2282" s="4" t="str">
        <f>HYPERLINK("http://141.218.60.56/~jnz1568/getInfo.php?workbook=16_08.xlsx&amp;sheet=U0&amp;row=2282&amp;col=7&amp;number=0.00959&amp;sourceID=14","0.00959")</f>
        <v>0.00959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HYPERLINK("http://141.218.60.56/~jnz1568/getInfo.php?workbook=16_08.xlsx&amp;sheet=U0&amp;row=2283&amp;col=6&amp;number=4.9&amp;sourceID=14","4.9")</f>
        <v>4.9</v>
      </c>
      <c r="G2283" s="4" t="str">
        <f>HYPERLINK("http://141.218.60.56/~jnz1568/getInfo.php?workbook=16_08.xlsx&amp;sheet=U0&amp;row=2283&amp;col=7&amp;number=0.00958&amp;sourceID=14","0.00958")</f>
        <v>0.00958</v>
      </c>
    </row>
    <row r="2284" spans="1:7">
      <c r="A2284" s="3">
        <v>16</v>
      </c>
      <c r="B2284" s="3">
        <v>8</v>
      </c>
      <c r="C2284" s="3">
        <v>2</v>
      </c>
      <c r="D2284" s="3">
        <v>32</v>
      </c>
      <c r="E2284" s="3">
        <v>1</v>
      </c>
      <c r="F2284" s="4" t="str">
        <f>HYPERLINK("http://141.218.60.56/~jnz1568/getInfo.php?workbook=16_08.xlsx&amp;sheet=U0&amp;row=2284&amp;col=6&amp;number=3&amp;sourceID=14","3")</f>
        <v>3</v>
      </c>
      <c r="G2284" s="4" t="str">
        <f>HYPERLINK("http://141.218.60.56/~jnz1568/getInfo.php?workbook=16_08.xlsx&amp;sheet=U0&amp;row=2284&amp;col=7&amp;number=0.00962&amp;sourceID=14","0.00962")</f>
        <v>0.00962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HYPERLINK("http://141.218.60.56/~jnz1568/getInfo.php?workbook=16_08.xlsx&amp;sheet=U0&amp;row=2285&amp;col=6&amp;number=3.1&amp;sourceID=14","3.1")</f>
        <v>3.1</v>
      </c>
      <c r="G2285" s="4" t="str">
        <f>HYPERLINK("http://141.218.60.56/~jnz1568/getInfo.php?workbook=16_08.xlsx&amp;sheet=U0&amp;row=2285&amp;col=7&amp;number=0.00962&amp;sourceID=14","0.00962")</f>
        <v>0.00962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HYPERLINK("http://141.218.60.56/~jnz1568/getInfo.php?workbook=16_08.xlsx&amp;sheet=U0&amp;row=2286&amp;col=6&amp;number=3.2&amp;sourceID=14","3.2")</f>
        <v>3.2</v>
      </c>
      <c r="G2286" s="4" t="str">
        <f>HYPERLINK("http://141.218.60.56/~jnz1568/getInfo.php?workbook=16_08.xlsx&amp;sheet=U0&amp;row=2286&amp;col=7&amp;number=0.00962&amp;sourceID=14","0.00962")</f>
        <v>0.00962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HYPERLINK("http://141.218.60.56/~jnz1568/getInfo.php?workbook=16_08.xlsx&amp;sheet=U0&amp;row=2287&amp;col=6&amp;number=3.3&amp;sourceID=14","3.3")</f>
        <v>3.3</v>
      </c>
      <c r="G2287" s="4" t="str">
        <f>HYPERLINK("http://141.218.60.56/~jnz1568/getInfo.php?workbook=16_08.xlsx&amp;sheet=U0&amp;row=2287&amp;col=7&amp;number=0.00962&amp;sourceID=14","0.00962")</f>
        <v>0.00962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HYPERLINK("http://141.218.60.56/~jnz1568/getInfo.php?workbook=16_08.xlsx&amp;sheet=U0&amp;row=2288&amp;col=6&amp;number=3.4&amp;sourceID=14","3.4")</f>
        <v>3.4</v>
      </c>
      <c r="G2288" s="4" t="str">
        <f>HYPERLINK("http://141.218.60.56/~jnz1568/getInfo.php?workbook=16_08.xlsx&amp;sheet=U0&amp;row=2288&amp;col=7&amp;number=0.00962&amp;sourceID=14","0.00962")</f>
        <v>0.00962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HYPERLINK("http://141.218.60.56/~jnz1568/getInfo.php?workbook=16_08.xlsx&amp;sheet=U0&amp;row=2289&amp;col=6&amp;number=3.5&amp;sourceID=14","3.5")</f>
        <v>3.5</v>
      </c>
      <c r="G2289" s="4" t="str">
        <f>HYPERLINK("http://141.218.60.56/~jnz1568/getInfo.php?workbook=16_08.xlsx&amp;sheet=U0&amp;row=2289&amp;col=7&amp;number=0.00963&amp;sourceID=14","0.00963")</f>
        <v>0.00963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HYPERLINK("http://141.218.60.56/~jnz1568/getInfo.php?workbook=16_08.xlsx&amp;sheet=U0&amp;row=2290&amp;col=6&amp;number=3.6&amp;sourceID=14","3.6")</f>
        <v>3.6</v>
      </c>
      <c r="G2290" s="4" t="str">
        <f>HYPERLINK("http://141.218.60.56/~jnz1568/getInfo.php?workbook=16_08.xlsx&amp;sheet=U0&amp;row=2290&amp;col=7&amp;number=0.00963&amp;sourceID=14","0.00963")</f>
        <v>0.00963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HYPERLINK("http://141.218.60.56/~jnz1568/getInfo.php?workbook=16_08.xlsx&amp;sheet=U0&amp;row=2291&amp;col=6&amp;number=3.7&amp;sourceID=14","3.7")</f>
        <v>3.7</v>
      </c>
      <c r="G2291" s="4" t="str">
        <f>HYPERLINK("http://141.218.60.56/~jnz1568/getInfo.php?workbook=16_08.xlsx&amp;sheet=U0&amp;row=2291&amp;col=7&amp;number=0.00963&amp;sourceID=14","0.00963")</f>
        <v>0.00963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HYPERLINK("http://141.218.60.56/~jnz1568/getInfo.php?workbook=16_08.xlsx&amp;sheet=U0&amp;row=2292&amp;col=6&amp;number=3.8&amp;sourceID=14","3.8")</f>
        <v>3.8</v>
      </c>
      <c r="G2292" s="4" t="str">
        <f>HYPERLINK("http://141.218.60.56/~jnz1568/getInfo.php?workbook=16_08.xlsx&amp;sheet=U0&amp;row=2292&amp;col=7&amp;number=0.00963&amp;sourceID=14","0.00963")</f>
        <v>0.00963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HYPERLINK("http://141.218.60.56/~jnz1568/getInfo.php?workbook=16_08.xlsx&amp;sheet=U0&amp;row=2293&amp;col=6&amp;number=3.9&amp;sourceID=14","3.9")</f>
        <v>3.9</v>
      </c>
      <c r="G2293" s="4" t="str">
        <f>HYPERLINK("http://141.218.60.56/~jnz1568/getInfo.php?workbook=16_08.xlsx&amp;sheet=U0&amp;row=2293&amp;col=7&amp;number=0.00963&amp;sourceID=14","0.00963")</f>
        <v>0.00963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HYPERLINK("http://141.218.60.56/~jnz1568/getInfo.php?workbook=16_08.xlsx&amp;sheet=U0&amp;row=2294&amp;col=6&amp;number=4&amp;sourceID=14","4")</f>
        <v>4</v>
      </c>
      <c r="G2294" s="4" t="str">
        <f>HYPERLINK("http://141.218.60.56/~jnz1568/getInfo.php?workbook=16_08.xlsx&amp;sheet=U0&amp;row=2294&amp;col=7&amp;number=0.00963&amp;sourceID=14","0.00963")</f>
        <v>0.00963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HYPERLINK("http://141.218.60.56/~jnz1568/getInfo.php?workbook=16_08.xlsx&amp;sheet=U0&amp;row=2295&amp;col=6&amp;number=4.1&amp;sourceID=14","4.1")</f>
        <v>4.1</v>
      </c>
      <c r="G2295" s="4" t="str">
        <f>HYPERLINK("http://141.218.60.56/~jnz1568/getInfo.php?workbook=16_08.xlsx&amp;sheet=U0&amp;row=2295&amp;col=7&amp;number=0.00963&amp;sourceID=14","0.00963")</f>
        <v>0.00963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HYPERLINK("http://141.218.60.56/~jnz1568/getInfo.php?workbook=16_08.xlsx&amp;sheet=U0&amp;row=2296&amp;col=6&amp;number=4.2&amp;sourceID=14","4.2")</f>
        <v>4.2</v>
      </c>
      <c r="G2296" s="4" t="str">
        <f>HYPERLINK("http://141.218.60.56/~jnz1568/getInfo.php?workbook=16_08.xlsx&amp;sheet=U0&amp;row=2296&amp;col=7&amp;number=0.00963&amp;sourceID=14","0.00963")</f>
        <v>0.00963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HYPERLINK("http://141.218.60.56/~jnz1568/getInfo.php?workbook=16_08.xlsx&amp;sheet=U0&amp;row=2297&amp;col=6&amp;number=4.3&amp;sourceID=14","4.3")</f>
        <v>4.3</v>
      </c>
      <c r="G2297" s="4" t="str">
        <f>HYPERLINK("http://141.218.60.56/~jnz1568/getInfo.php?workbook=16_08.xlsx&amp;sheet=U0&amp;row=2297&amp;col=7&amp;number=0.00964&amp;sourceID=14","0.00964")</f>
        <v>0.00964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HYPERLINK("http://141.218.60.56/~jnz1568/getInfo.php?workbook=16_08.xlsx&amp;sheet=U0&amp;row=2298&amp;col=6&amp;number=4.4&amp;sourceID=14","4.4")</f>
        <v>4.4</v>
      </c>
      <c r="G2298" s="4" t="str">
        <f>HYPERLINK("http://141.218.60.56/~jnz1568/getInfo.php?workbook=16_08.xlsx&amp;sheet=U0&amp;row=2298&amp;col=7&amp;number=0.00964&amp;sourceID=14","0.00964")</f>
        <v>0.00964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HYPERLINK("http://141.218.60.56/~jnz1568/getInfo.php?workbook=16_08.xlsx&amp;sheet=U0&amp;row=2299&amp;col=6&amp;number=4.5&amp;sourceID=14","4.5")</f>
        <v>4.5</v>
      </c>
      <c r="G2299" s="4" t="str">
        <f>HYPERLINK("http://141.218.60.56/~jnz1568/getInfo.php?workbook=16_08.xlsx&amp;sheet=U0&amp;row=2299&amp;col=7&amp;number=0.00965&amp;sourceID=14","0.00965")</f>
        <v>0.00965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HYPERLINK("http://141.218.60.56/~jnz1568/getInfo.php?workbook=16_08.xlsx&amp;sheet=U0&amp;row=2300&amp;col=6&amp;number=4.6&amp;sourceID=14","4.6")</f>
        <v>4.6</v>
      </c>
      <c r="G2300" s="4" t="str">
        <f>HYPERLINK("http://141.218.60.56/~jnz1568/getInfo.php?workbook=16_08.xlsx&amp;sheet=U0&amp;row=2300&amp;col=7&amp;number=0.00965&amp;sourceID=14","0.00965")</f>
        <v>0.00965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HYPERLINK("http://141.218.60.56/~jnz1568/getInfo.php?workbook=16_08.xlsx&amp;sheet=U0&amp;row=2301&amp;col=6&amp;number=4.7&amp;sourceID=14","4.7")</f>
        <v>4.7</v>
      </c>
      <c r="G2301" s="4" t="str">
        <f>HYPERLINK("http://141.218.60.56/~jnz1568/getInfo.php?workbook=16_08.xlsx&amp;sheet=U0&amp;row=2301&amp;col=7&amp;number=0.00966&amp;sourceID=14","0.00966")</f>
        <v>0.00966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HYPERLINK("http://141.218.60.56/~jnz1568/getInfo.php?workbook=16_08.xlsx&amp;sheet=U0&amp;row=2302&amp;col=6&amp;number=4.8&amp;sourceID=14","4.8")</f>
        <v>4.8</v>
      </c>
      <c r="G2302" s="4" t="str">
        <f>HYPERLINK("http://141.218.60.56/~jnz1568/getInfo.php?workbook=16_08.xlsx&amp;sheet=U0&amp;row=2302&amp;col=7&amp;number=0.00967&amp;sourceID=14","0.00967")</f>
        <v>0.00967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HYPERLINK("http://141.218.60.56/~jnz1568/getInfo.php?workbook=16_08.xlsx&amp;sheet=U0&amp;row=2303&amp;col=6&amp;number=4.9&amp;sourceID=14","4.9")</f>
        <v>4.9</v>
      </c>
      <c r="G2303" s="4" t="str">
        <f>HYPERLINK("http://141.218.60.56/~jnz1568/getInfo.php?workbook=16_08.xlsx&amp;sheet=U0&amp;row=2303&amp;col=7&amp;number=0.00968&amp;sourceID=14","0.00968")</f>
        <v>0.00968</v>
      </c>
    </row>
    <row r="2304" spans="1:7">
      <c r="A2304" s="3">
        <v>16</v>
      </c>
      <c r="B2304" s="3">
        <v>8</v>
      </c>
      <c r="C2304" s="3">
        <v>2</v>
      </c>
      <c r="D2304" s="3">
        <v>33</v>
      </c>
      <c r="E2304" s="3">
        <v>1</v>
      </c>
      <c r="F2304" s="4" t="str">
        <f>HYPERLINK("http://141.218.60.56/~jnz1568/getInfo.php?workbook=16_08.xlsx&amp;sheet=U0&amp;row=2304&amp;col=6&amp;number=3&amp;sourceID=14","3")</f>
        <v>3</v>
      </c>
      <c r="G2304" s="4" t="str">
        <f>HYPERLINK("http://141.218.60.56/~jnz1568/getInfo.php?workbook=16_08.xlsx&amp;sheet=U0&amp;row=2304&amp;col=7&amp;number=0.00523&amp;sourceID=14","0.00523")</f>
        <v>0.00523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HYPERLINK("http://141.218.60.56/~jnz1568/getInfo.php?workbook=16_08.xlsx&amp;sheet=U0&amp;row=2305&amp;col=6&amp;number=3.1&amp;sourceID=14","3.1")</f>
        <v>3.1</v>
      </c>
      <c r="G2305" s="4" t="str">
        <f>HYPERLINK("http://141.218.60.56/~jnz1568/getInfo.php?workbook=16_08.xlsx&amp;sheet=U0&amp;row=2305&amp;col=7&amp;number=0.00523&amp;sourceID=14","0.00523")</f>
        <v>0.00523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HYPERLINK("http://141.218.60.56/~jnz1568/getInfo.php?workbook=16_08.xlsx&amp;sheet=U0&amp;row=2306&amp;col=6&amp;number=3.2&amp;sourceID=14","3.2")</f>
        <v>3.2</v>
      </c>
      <c r="G2306" s="4" t="str">
        <f>HYPERLINK("http://141.218.60.56/~jnz1568/getInfo.php?workbook=16_08.xlsx&amp;sheet=U0&amp;row=2306&amp;col=7&amp;number=0.00523&amp;sourceID=14","0.00523")</f>
        <v>0.00523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HYPERLINK("http://141.218.60.56/~jnz1568/getInfo.php?workbook=16_08.xlsx&amp;sheet=U0&amp;row=2307&amp;col=6&amp;number=3.3&amp;sourceID=14","3.3")</f>
        <v>3.3</v>
      </c>
      <c r="G2307" s="4" t="str">
        <f>HYPERLINK("http://141.218.60.56/~jnz1568/getInfo.php?workbook=16_08.xlsx&amp;sheet=U0&amp;row=2307&amp;col=7&amp;number=0.00523&amp;sourceID=14","0.00523")</f>
        <v>0.00523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HYPERLINK("http://141.218.60.56/~jnz1568/getInfo.php?workbook=16_08.xlsx&amp;sheet=U0&amp;row=2308&amp;col=6&amp;number=3.4&amp;sourceID=14","3.4")</f>
        <v>3.4</v>
      </c>
      <c r="G2308" s="4" t="str">
        <f>HYPERLINK("http://141.218.60.56/~jnz1568/getInfo.php?workbook=16_08.xlsx&amp;sheet=U0&amp;row=2308&amp;col=7&amp;number=0.00523&amp;sourceID=14","0.00523")</f>
        <v>0.00523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HYPERLINK("http://141.218.60.56/~jnz1568/getInfo.php?workbook=16_08.xlsx&amp;sheet=U0&amp;row=2309&amp;col=6&amp;number=3.5&amp;sourceID=14","3.5")</f>
        <v>3.5</v>
      </c>
      <c r="G2309" s="4" t="str">
        <f>HYPERLINK("http://141.218.60.56/~jnz1568/getInfo.php?workbook=16_08.xlsx&amp;sheet=U0&amp;row=2309&amp;col=7&amp;number=0.00523&amp;sourceID=14","0.00523")</f>
        <v>0.00523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HYPERLINK("http://141.218.60.56/~jnz1568/getInfo.php?workbook=16_08.xlsx&amp;sheet=U0&amp;row=2310&amp;col=6&amp;number=3.6&amp;sourceID=14","3.6")</f>
        <v>3.6</v>
      </c>
      <c r="G2310" s="4" t="str">
        <f>HYPERLINK("http://141.218.60.56/~jnz1568/getInfo.php?workbook=16_08.xlsx&amp;sheet=U0&amp;row=2310&amp;col=7&amp;number=0.00522&amp;sourceID=14","0.00522")</f>
        <v>0.00522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HYPERLINK("http://141.218.60.56/~jnz1568/getInfo.php?workbook=16_08.xlsx&amp;sheet=U0&amp;row=2311&amp;col=6&amp;number=3.7&amp;sourceID=14","3.7")</f>
        <v>3.7</v>
      </c>
      <c r="G2311" s="4" t="str">
        <f>HYPERLINK("http://141.218.60.56/~jnz1568/getInfo.php?workbook=16_08.xlsx&amp;sheet=U0&amp;row=2311&amp;col=7&amp;number=0.00522&amp;sourceID=14","0.00522")</f>
        <v>0.00522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HYPERLINK("http://141.218.60.56/~jnz1568/getInfo.php?workbook=16_08.xlsx&amp;sheet=U0&amp;row=2312&amp;col=6&amp;number=3.8&amp;sourceID=14","3.8")</f>
        <v>3.8</v>
      </c>
      <c r="G2312" s="4" t="str">
        <f>HYPERLINK("http://141.218.60.56/~jnz1568/getInfo.php?workbook=16_08.xlsx&amp;sheet=U0&amp;row=2312&amp;col=7&amp;number=0.00522&amp;sourceID=14","0.00522")</f>
        <v>0.00522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HYPERLINK("http://141.218.60.56/~jnz1568/getInfo.php?workbook=16_08.xlsx&amp;sheet=U0&amp;row=2313&amp;col=6&amp;number=3.9&amp;sourceID=14","3.9")</f>
        <v>3.9</v>
      </c>
      <c r="G2313" s="4" t="str">
        <f>HYPERLINK("http://141.218.60.56/~jnz1568/getInfo.php?workbook=16_08.xlsx&amp;sheet=U0&amp;row=2313&amp;col=7&amp;number=0.00522&amp;sourceID=14","0.00522")</f>
        <v>0.00522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HYPERLINK("http://141.218.60.56/~jnz1568/getInfo.php?workbook=16_08.xlsx&amp;sheet=U0&amp;row=2314&amp;col=6&amp;number=4&amp;sourceID=14","4")</f>
        <v>4</v>
      </c>
      <c r="G2314" s="4" t="str">
        <f>HYPERLINK("http://141.218.60.56/~jnz1568/getInfo.php?workbook=16_08.xlsx&amp;sheet=U0&amp;row=2314&amp;col=7&amp;number=0.00522&amp;sourceID=14","0.00522")</f>
        <v>0.00522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HYPERLINK("http://141.218.60.56/~jnz1568/getInfo.php?workbook=16_08.xlsx&amp;sheet=U0&amp;row=2315&amp;col=6&amp;number=4.1&amp;sourceID=14","4.1")</f>
        <v>4.1</v>
      </c>
      <c r="G2315" s="4" t="str">
        <f>HYPERLINK("http://141.218.60.56/~jnz1568/getInfo.php?workbook=16_08.xlsx&amp;sheet=U0&amp;row=2315&amp;col=7&amp;number=0.00521&amp;sourceID=14","0.00521")</f>
        <v>0.00521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HYPERLINK("http://141.218.60.56/~jnz1568/getInfo.php?workbook=16_08.xlsx&amp;sheet=U0&amp;row=2316&amp;col=6&amp;number=4.2&amp;sourceID=14","4.2")</f>
        <v>4.2</v>
      </c>
      <c r="G2316" s="4" t="str">
        <f>HYPERLINK("http://141.218.60.56/~jnz1568/getInfo.php?workbook=16_08.xlsx&amp;sheet=U0&amp;row=2316&amp;col=7&amp;number=0.00521&amp;sourceID=14","0.00521")</f>
        <v>0.00521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HYPERLINK("http://141.218.60.56/~jnz1568/getInfo.php?workbook=16_08.xlsx&amp;sheet=U0&amp;row=2317&amp;col=6&amp;number=4.3&amp;sourceID=14","4.3")</f>
        <v>4.3</v>
      </c>
      <c r="G2317" s="4" t="str">
        <f>HYPERLINK("http://141.218.60.56/~jnz1568/getInfo.php?workbook=16_08.xlsx&amp;sheet=U0&amp;row=2317&amp;col=7&amp;number=0.00521&amp;sourceID=14","0.00521")</f>
        <v>0.00521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HYPERLINK("http://141.218.60.56/~jnz1568/getInfo.php?workbook=16_08.xlsx&amp;sheet=U0&amp;row=2318&amp;col=6&amp;number=4.4&amp;sourceID=14","4.4")</f>
        <v>4.4</v>
      </c>
      <c r="G2318" s="4" t="str">
        <f>HYPERLINK("http://141.218.60.56/~jnz1568/getInfo.php?workbook=16_08.xlsx&amp;sheet=U0&amp;row=2318&amp;col=7&amp;number=0.0052&amp;sourceID=14","0.0052")</f>
        <v>0.0052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HYPERLINK("http://141.218.60.56/~jnz1568/getInfo.php?workbook=16_08.xlsx&amp;sheet=U0&amp;row=2319&amp;col=6&amp;number=4.5&amp;sourceID=14","4.5")</f>
        <v>4.5</v>
      </c>
      <c r="G2319" s="4" t="str">
        <f>HYPERLINK("http://141.218.60.56/~jnz1568/getInfo.php?workbook=16_08.xlsx&amp;sheet=U0&amp;row=2319&amp;col=7&amp;number=0.00519&amp;sourceID=14","0.00519")</f>
        <v>0.00519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HYPERLINK("http://141.218.60.56/~jnz1568/getInfo.php?workbook=16_08.xlsx&amp;sheet=U0&amp;row=2320&amp;col=6&amp;number=4.6&amp;sourceID=14","4.6")</f>
        <v>4.6</v>
      </c>
      <c r="G2320" s="4" t="str">
        <f>HYPERLINK("http://141.218.60.56/~jnz1568/getInfo.php?workbook=16_08.xlsx&amp;sheet=U0&amp;row=2320&amp;col=7&amp;number=0.00518&amp;sourceID=14","0.00518")</f>
        <v>0.00518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HYPERLINK("http://141.218.60.56/~jnz1568/getInfo.php?workbook=16_08.xlsx&amp;sheet=U0&amp;row=2321&amp;col=6&amp;number=4.7&amp;sourceID=14","4.7")</f>
        <v>4.7</v>
      </c>
      <c r="G2321" s="4" t="str">
        <f>HYPERLINK("http://141.218.60.56/~jnz1568/getInfo.php?workbook=16_08.xlsx&amp;sheet=U0&amp;row=2321&amp;col=7&amp;number=0.00517&amp;sourceID=14","0.00517")</f>
        <v>0.00517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HYPERLINK("http://141.218.60.56/~jnz1568/getInfo.php?workbook=16_08.xlsx&amp;sheet=U0&amp;row=2322&amp;col=6&amp;number=4.8&amp;sourceID=14","4.8")</f>
        <v>4.8</v>
      </c>
      <c r="G2322" s="4" t="str">
        <f>HYPERLINK("http://141.218.60.56/~jnz1568/getInfo.php?workbook=16_08.xlsx&amp;sheet=U0&amp;row=2322&amp;col=7&amp;number=0.00516&amp;sourceID=14","0.00516")</f>
        <v>0.00516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HYPERLINK("http://141.218.60.56/~jnz1568/getInfo.php?workbook=16_08.xlsx&amp;sheet=U0&amp;row=2323&amp;col=6&amp;number=4.9&amp;sourceID=14","4.9")</f>
        <v>4.9</v>
      </c>
      <c r="G2323" s="4" t="str">
        <f>HYPERLINK("http://141.218.60.56/~jnz1568/getInfo.php?workbook=16_08.xlsx&amp;sheet=U0&amp;row=2323&amp;col=7&amp;number=0.00514&amp;sourceID=14","0.00514")</f>
        <v>0.00514</v>
      </c>
    </row>
    <row r="2324" spans="1:7">
      <c r="A2324" s="3">
        <v>16</v>
      </c>
      <c r="B2324" s="3">
        <v>8</v>
      </c>
      <c r="C2324" s="3">
        <v>2</v>
      </c>
      <c r="D2324" s="3">
        <v>34</v>
      </c>
      <c r="E2324" s="3">
        <v>1</v>
      </c>
      <c r="F2324" s="4" t="str">
        <f>HYPERLINK("http://141.218.60.56/~jnz1568/getInfo.php?workbook=16_08.xlsx&amp;sheet=U0&amp;row=2324&amp;col=6&amp;number=3&amp;sourceID=14","3")</f>
        <v>3</v>
      </c>
      <c r="G2324" s="4" t="str">
        <f>HYPERLINK("http://141.218.60.56/~jnz1568/getInfo.php?workbook=16_08.xlsx&amp;sheet=U0&amp;row=2324&amp;col=7&amp;number=0.00999&amp;sourceID=14","0.00999")</f>
        <v>0.00999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HYPERLINK("http://141.218.60.56/~jnz1568/getInfo.php?workbook=16_08.xlsx&amp;sheet=U0&amp;row=2325&amp;col=6&amp;number=3.1&amp;sourceID=14","3.1")</f>
        <v>3.1</v>
      </c>
      <c r="G2325" s="4" t="str">
        <f>HYPERLINK("http://141.218.60.56/~jnz1568/getInfo.php?workbook=16_08.xlsx&amp;sheet=U0&amp;row=2325&amp;col=7&amp;number=0.00998&amp;sourceID=14","0.00998")</f>
        <v>0.00998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HYPERLINK("http://141.218.60.56/~jnz1568/getInfo.php?workbook=16_08.xlsx&amp;sheet=U0&amp;row=2326&amp;col=6&amp;number=3.2&amp;sourceID=14","3.2")</f>
        <v>3.2</v>
      </c>
      <c r="G2326" s="4" t="str">
        <f>HYPERLINK("http://141.218.60.56/~jnz1568/getInfo.php?workbook=16_08.xlsx&amp;sheet=U0&amp;row=2326&amp;col=7&amp;number=0.00998&amp;sourceID=14","0.00998")</f>
        <v>0.00998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HYPERLINK("http://141.218.60.56/~jnz1568/getInfo.php?workbook=16_08.xlsx&amp;sheet=U0&amp;row=2327&amp;col=6&amp;number=3.3&amp;sourceID=14","3.3")</f>
        <v>3.3</v>
      </c>
      <c r="G2327" s="4" t="str">
        <f>HYPERLINK("http://141.218.60.56/~jnz1568/getInfo.php?workbook=16_08.xlsx&amp;sheet=U0&amp;row=2327&amp;col=7&amp;number=0.00998&amp;sourceID=14","0.00998")</f>
        <v>0.00998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HYPERLINK("http://141.218.60.56/~jnz1568/getInfo.php?workbook=16_08.xlsx&amp;sheet=U0&amp;row=2328&amp;col=6&amp;number=3.4&amp;sourceID=14","3.4")</f>
        <v>3.4</v>
      </c>
      <c r="G2328" s="4" t="str">
        <f>HYPERLINK("http://141.218.60.56/~jnz1568/getInfo.php?workbook=16_08.xlsx&amp;sheet=U0&amp;row=2328&amp;col=7&amp;number=0.00998&amp;sourceID=14","0.00998")</f>
        <v>0.00998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HYPERLINK("http://141.218.60.56/~jnz1568/getInfo.php?workbook=16_08.xlsx&amp;sheet=U0&amp;row=2329&amp;col=6&amp;number=3.5&amp;sourceID=14","3.5")</f>
        <v>3.5</v>
      </c>
      <c r="G2329" s="4" t="str">
        <f>HYPERLINK("http://141.218.60.56/~jnz1568/getInfo.php?workbook=16_08.xlsx&amp;sheet=U0&amp;row=2329&amp;col=7&amp;number=0.00998&amp;sourceID=14","0.00998")</f>
        <v>0.00998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HYPERLINK("http://141.218.60.56/~jnz1568/getInfo.php?workbook=16_08.xlsx&amp;sheet=U0&amp;row=2330&amp;col=6&amp;number=3.6&amp;sourceID=14","3.6")</f>
        <v>3.6</v>
      </c>
      <c r="G2330" s="4" t="str">
        <f>HYPERLINK("http://141.218.60.56/~jnz1568/getInfo.php?workbook=16_08.xlsx&amp;sheet=U0&amp;row=2330&amp;col=7&amp;number=0.00997&amp;sourceID=14","0.00997")</f>
        <v>0.00997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HYPERLINK("http://141.218.60.56/~jnz1568/getInfo.php?workbook=16_08.xlsx&amp;sheet=U0&amp;row=2331&amp;col=6&amp;number=3.7&amp;sourceID=14","3.7")</f>
        <v>3.7</v>
      </c>
      <c r="G2331" s="4" t="str">
        <f>HYPERLINK("http://141.218.60.56/~jnz1568/getInfo.php?workbook=16_08.xlsx&amp;sheet=U0&amp;row=2331&amp;col=7&amp;number=0.00997&amp;sourceID=14","0.00997")</f>
        <v>0.00997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HYPERLINK("http://141.218.60.56/~jnz1568/getInfo.php?workbook=16_08.xlsx&amp;sheet=U0&amp;row=2332&amp;col=6&amp;number=3.8&amp;sourceID=14","3.8")</f>
        <v>3.8</v>
      </c>
      <c r="G2332" s="4" t="str">
        <f>HYPERLINK("http://141.218.60.56/~jnz1568/getInfo.php?workbook=16_08.xlsx&amp;sheet=U0&amp;row=2332&amp;col=7&amp;number=0.00996&amp;sourceID=14","0.00996")</f>
        <v>0.00996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HYPERLINK("http://141.218.60.56/~jnz1568/getInfo.php?workbook=16_08.xlsx&amp;sheet=U0&amp;row=2333&amp;col=6&amp;number=3.9&amp;sourceID=14","3.9")</f>
        <v>3.9</v>
      </c>
      <c r="G2333" s="4" t="str">
        <f>HYPERLINK("http://141.218.60.56/~jnz1568/getInfo.php?workbook=16_08.xlsx&amp;sheet=U0&amp;row=2333&amp;col=7&amp;number=0.00996&amp;sourceID=14","0.00996")</f>
        <v>0.00996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HYPERLINK("http://141.218.60.56/~jnz1568/getInfo.php?workbook=16_08.xlsx&amp;sheet=U0&amp;row=2334&amp;col=6&amp;number=4&amp;sourceID=14","4")</f>
        <v>4</v>
      </c>
      <c r="G2334" s="4" t="str">
        <f>HYPERLINK("http://141.218.60.56/~jnz1568/getInfo.php?workbook=16_08.xlsx&amp;sheet=U0&amp;row=2334&amp;col=7&amp;number=0.00995&amp;sourceID=14","0.00995")</f>
        <v>0.00995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HYPERLINK("http://141.218.60.56/~jnz1568/getInfo.php?workbook=16_08.xlsx&amp;sheet=U0&amp;row=2335&amp;col=6&amp;number=4.1&amp;sourceID=14","4.1")</f>
        <v>4.1</v>
      </c>
      <c r="G2335" s="4" t="str">
        <f>HYPERLINK("http://141.218.60.56/~jnz1568/getInfo.php?workbook=16_08.xlsx&amp;sheet=U0&amp;row=2335&amp;col=7&amp;number=0.00994&amp;sourceID=14","0.00994")</f>
        <v>0.00994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HYPERLINK("http://141.218.60.56/~jnz1568/getInfo.php?workbook=16_08.xlsx&amp;sheet=U0&amp;row=2336&amp;col=6&amp;number=4.2&amp;sourceID=14","4.2")</f>
        <v>4.2</v>
      </c>
      <c r="G2336" s="4" t="str">
        <f>HYPERLINK("http://141.218.60.56/~jnz1568/getInfo.php?workbook=16_08.xlsx&amp;sheet=U0&amp;row=2336&amp;col=7&amp;number=0.00993&amp;sourceID=14","0.00993")</f>
        <v>0.00993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HYPERLINK("http://141.218.60.56/~jnz1568/getInfo.php?workbook=16_08.xlsx&amp;sheet=U0&amp;row=2337&amp;col=6&amp;number=4.3&amp;sourceID=14","4.3")</f>
        <v>4.3</v>
      </c>
      <c r="G2337" s="4" t="str">
        <f>HYPERLINK("http://141.218.60.56/~jnz1568/getInfo.php?workbook=16_08.xlsx&amp;sheet=U0&amp;row=2337&amp;col=7&amp;number=0.00991&amp;sourceID=14","0.00991")</f>
        <v>0.00991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HYPERLINK("http://141.218.60.56/~jnz1568/getInfo.php?workbook=16_08.xlsx&amp;sheet=U0&amp;row=2338&amp;col=6&amp;number=4.4&amp;sourceID=14","4.4")</f>
        <v>4.4</v>
      </c>
      <c r="G2338" s="4" t="str">
        <f>HYPERLINK("http://141.218.60.56/~jnz1568/getInfo.php?workbook=16_08.xlsx&amp;sheet=U0&amp;row=2338&amp;col=7&amp;number=0.00989&amp;sourceID=14","0.00989")</f>
        <v>0.00989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HYPERLINK("http://141.218.60.56/~jnz1568/getInfo.php?workbook=16_08.xlsx&amp;sheet=U0&amp;row=2339&amp;col=6&amp;number=4.5&amp;sourceID=14","4.5")</f>
        <v>4.5</v>
      </c>
      <c r="G2339" s="4" t="str">
        <f>HYPERLINK("http://141.218.60.56/~jnz1568/getInfo.php?workbook=16_08.xlsx&amp;sheet=U0&amp;row=2339&amp;col=7&amp;number=0.00987&amp;sourceID=14","0.00987")</f>
        <v>0.00987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HYPERLINK("http://141.218.60.56/~jnz1568/getInfo.php?workbook=16_08.xlsx&amp;sheet=U0&amp;row=2340&amp;col=6&amp;number=4.6&amp;sourceID=14","4.6")</f>
        <v>4.6</v>
      </c>
      <c r="G2340" s="4" t="str">
        <f>HYPERLINK("http://141.218.60.56/~jnz1568/getInfo.php?workbook=16_08.xlsx&amp;sheet=U0&amp;row=2340&amp;col=7&amp;number=0.00984&amp;sourceID=14","0.00984")</f>
        <v>0.00984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HYPERLINK("http://141.218.60.56/~jnz1568/getInfo.php?workbook=16_08.xlsx&amp;sheet=U0&amp;row=2341&amp;col=6&amp;number=4.7&amp;sourceID=14","4.7")</f>
        <v>4.7</v>
      </c>
      <c r="G2341" s="4" t="str">
        <f>HYPERLINK("http://141.218.60.56/~jnz1568/getInfo.php?workbook=16_08.xlsx&amp;sheet=U0&amp;row=2341&amp;col=7&amp;number=0.0098&amp;sourceID=14","0.0098")</f>
        <v>0.0098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HYPERLINK("http://141.218.60.56/~jnz1568/getInfo.php?workbook=16_08.xlsx&amp;sheet=U0&amp;row=2342&amp;col=6&amp;number=4.8&amp;sourceID=14","4.8")</f>
        <v>4.8</v>
      </c>
      <c r="G2342" s="4" t="str">
        <f>HYPERLINK("http://141.218.60.56/~jnz1568/getInfo.php?workbook=16_08.xlsx&amp;sheet=U0&amp;row=2342&amp;col=7&amp;number=0.00975&amp;sourceID=14","0.00975")</f>
        <v>0.00975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HYPERLINK("http://141.218.60.56/~jnz1568/getInfo.php?workbook=16_08.xlsx&amp;sheet=U0&amp;row=2343&amp;col=6&amp;number=4.9&amp;sourceID=14","4.9")</f>
        <v>4.9</v>
      </c>
      <c r="G2343" s="4" t="str">
        <f>HYPERLINK("http://141.218.60.56/~jnz1568/getInfo.php?workbook=16_08.xlsx&amp;sheet=U0&amp;row=2343&amp;col=7&amp;number=0.00969&amp;sourceID=14","0.00969")</f>
        <v>0.00969</v>
      </c>
    </row>
    <row r="2344" spans="1:7">
      <c r="A2344" s="3">
        <v>16</v>
      </c>
      <c r="B2344" s="3">
        <v>8</v>
      </c>
      <c r="C2344" s="3">
        <v>2</v>
      </c>
      <c r="D2344" s="3">
        <v>35</v>
      </c>
      <c r="E2344" s="3">
        <v>1</v>
      </c>
      <c r="F2344" s="4" t="str">
        <f>HYPERLINK("http://141.218.60.56/~jnz1568/getInfo.php?workbook=16_08.xlsx&amp;sheet=U0&amp;row=2344&amp;col=6&amp;number=3&amp;sourceID=14","3")</f>
        <v>3</v>
      </c>
      <c r="G2344" s="4" t="str">
        <f>HYPERLINK("http://141.218.60.56/~jnz1568/getInfo.php?workbook=16_08.xlsx&amp;sheet=U0&amp;row=2344&amp;col=7&amp;number=0.00105&amp;sourceID=14","0.00105")</f>
        <v>0.00105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HYPERLINK("http://141.218.60.56/~jnz1568/getInfo.php?workbook=16_08.xlsx&amp;sheet=U0&amp;row=2345&amp;col=6&amp;number=3.1&amp;sourceID=14","3.1")</f>
        <v>3.1</v>
      </c>
      <c r="G2345" s="4" t="str">
        <f>HYPERLINK("http://141.218.60.56/~jnz1568/getInfo.php?workbook=16_08.xlsx&amp;sheet=U0&amp;row=2345&amp;col=7&amp;number=0.00105&amp;sourceID=14","0.00105")</f>
        <v>0.00105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HYPERLINK("http://141.218.60.56/~jnz1568/getInfo.php?workbook=16_08.xlsx&amp;sheet=U0&amp;row=2346&amp;col=6&amp;number=3.2&amp;sourceID=14","3.2")</f>
        <v>3.2</v>
      </c>
      <c r="G2346" s="4" t="str">
        <f>HYPERLINK("http://141.218.60.56/~jnz1568/getInfo.php?workbook=16_08.xlsx&amp;sheet=U0&amp;row=2346&amp;col=7&amp;number=0.00105&amp;sourceID=14","0.00105")</f>
        <v>0.00105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HYPERLINK("http://141.218.60.56/~jnz1568/getInfo.php?workbook=16_08.xlsx&amp;sheet=U0&amp;row=2347&amp;col=6&amp;number=3.3&amp;sourceID=14","3.3")</f>
        <v>3.3</v>
      </c>
      <c r="G2347" s="4" t="str">
        <f>HYPERLINK("http://141.218.60.56/~jnz1568/getInfo.php?workbook=16_08.xlsx&amp;sheet=U0&amp;row=2347&amp;col=7&amp;number=0.00105&amp;sourceID=14","0.00105")</f>
        <v>0.00105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HYPERLINK("http://141.218.60.56/~jnz1568/getInfo.php?workbook=16_08.xlsx&amp;sheet=U0&amp;row=2348&amp;col=6&amp;number=3.4&amp;sourceID=14","3.4")</f>
        <v>3.4</v>
      </c>
      <c r="G2348" s="4" t="str">
        <f>HYPERLINK("http://141.218.60.56/~jnz1568/getInfo.php?workbook=16_08.xlsx&amp;sheet=U0&amp;row=2348&amp;col=7&amp;number=0.00105&amp;sourceID=14","0.00105")</f>
        <v>0.00105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HYPERLINK("http://141.218.60.56/~jnz1568/getInfo.php?workbook=16_08.xlsx&amp;sheet=U0&amp;row=2349&amp;col=6&amp;number=3.5&amp;sourceID=14","3.5")</f>
        <v>3.5</v>
      </c>
      <c r="G2349" s="4" t="str">
        <f>HYPERLINK("http://141.218.60.56/~jnz1568/getInfo.php?workbook=16_08.xlsx&amp;sheet=U0&amp;row=2349&amp;col=7&amp;number=0.00105&amp;sourceID=14","0.00105")</f>
        <v>0.00105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HYPERLINK("http://141.218.60.56/~jnz1568/getInfo.php?workbook=16_08.xlsx&amp;sheet=U0&amp;row=2350&amp;col=6&amp;number=3.6&amp;sourceID=14","3.6")</f>
        <v>3.6</v>
      </c>
      <c r="G2350" s="4" t="str">
        <f>HYPERLINK("http://141.218.60.56/~jnz1568/getInfo.php?workbook=16_08.xlsx&amp;sheet=U0&amp;row=2350&amp;col=7&amp;number=0.00105&amp;sourceID=14","0.00105")</f>
        <v>0.00105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HYPERLINK("http://141.218.60.56/~jnz1568/getInfo.php?workbook=16_08.xlsx&amp;sheet=U0&amp;row=2351&amp;col=6&amp;number=3.7&amp;sourceID=14","3.7")</f>
        <v>3.7</v>
      </c>
      <c r="G2351" s="4" t="str">
        <f>HYPERLINK("http://141.218.60.56/~jnz1568/getInfo.php?workbook=16_08.xlsx&amp;sheet=U0&amp;row=2351&amp;col=7&amp;number=0.00105&amp;sourceID=14","0.00105")</f>
        <v>0.00105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HYPERLINK("http://141.218.60.56/~jnz1568/getInfo.php?workbook=16_08.xlsx&amp;sheet=U0&amp;row=2352&amp;col=6&amp;number=3.8&amp;sourceID=14","3.8")</f>
        <v>3.8</v>
      </c>
      <c r="G2352" s="4" t="str">
        <f>HYPERLINK("http://141.218.60.56/~jnz1568/getInfo.php?workbook=16_08.xlsx&amp;sheet=U0&amp;row=2352&amp;col=7&amp;number=0.00105&amp;sourceID=14","0.00105")</f>
        <v>0.00105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HYPERLINK("http://141.218.60.56/~jnz1568/getInfo.php?workbook=16_08.xlsx&amp;sheet=U0&amp;row=2353&amp;col=6&amp;number=3.9&amp;sourceID=14","3.9")</f>
        <v>3.9</v>
      </c>
      <c r="G2353" s="4" t="str">
        <f>HYPERLINK("http://141.218.60.56/~jnz1568/getInfo.php?workbook=16_08.xlsx&amp;sheet=U0&amp;row=2353&amp;col=7&amp;number=0.00105&amp;sourceID=14","0.00105")</f>
        <v>0.00105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HYPERLINK("http://141.218.60.56/~jnz1568/getInfo.php?workbook=16_08.xlsx&amp;sheet=U0&amp;row=2354&amp;col=6&amp;number=4&amp;sourceID=14","4")</f>
        <v>4</v>
      </c>
      <c r="G2354" s="4" t="str">
        <f>HYPERLINK("http://141.218.60.56/~jnz1568/getInfo.php?workbook=16_08.xlsx&amp;sheet=U0&amp;row=2354&amp;col=7&amp;number=0.00105&amp;sourceID=14","0.00105")</f>
        <v>0.00105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HYPERLINK("http://141.218.60.56/~jnz1568/getInfo.php?workbook=16_08.xlsx&amp;sheet=U0&amp;row=2355&amp;col=6&amp;number=4.1&amp;sourceID=14","4.1")</f>
        <v>4.1</v>
      </c>
      <c r="G2355" s="4" t="str">
        <f>HYPERLINK("http://141.218.60.56/~jnz1568/getInfo.php?workbook=16_08.xlsx&amp;sheet=U0&amp;row=2355&amp;col=7&amp;number=0.00105&amp;sourceID=14","0.00105")</f>
        <v>0.00105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HYPERLINK("http://141.218.60.56/~jnz1568/getInfo.php?workbook=16_08.xlsx&amp;sheet=U0&amp;row=2356&amp;col=6&amp;number=4.2&amp;sourceID=14","4.2")</f>
        <v>4.2</v>
      </c>
      <c r="G2356" s="4" t="str">
        <f>HYPERLINK("http://141.218.60.56/~jnz1568/getInfo.php?workbook=16_08.xlsx&amp;sheet=U0&amp;row=2356&amp;col=7&amp;number=0.00105&amp;sourceID=14","0.00105")</f>
        <v>0.00105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HYPERLINK("http://141.218.60.56/~jnz1568/getInfo.php?workbook=16_08.xlsx&amp;sheet=U0&amp;row=2357&amp;col=6&amp;number=4.3&amp;sourceID=14","4.3")</f>
        <v>4.3</v>
      </c>
      <c r="G2357" s="4" t="str">
        <f>HYPERLINK("http://141.218.60.56/~jnz1568/getInfo.php?workbook=16_08.xlsx&amp;sheet=U0&amp;row=2357&amp;col=7&amp;number=0.00105&amp;sourceID=14","0.00105")</f>
        <v>0.00105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HYPERLINK("http://141.218.60.56/~jnz1568/getInfo.php?workbook=16_08.xlsx&amp;sheet=U0&amp;row=2358&amp;col=6&amp;number=4.4&amp;sourceID=14","4.4")</f>
        <v>4.4</v>
      </c>
      <c r="G2358" s="4" t="str">
        <f>HYPERLINK("http://141.218.60.56/~jnz1568/getInfo.php?workbook=16_08.xlsx&amp;sheet=U0&amp;row=2358&amp;col=7&amp;number=0.00105&amp;sourceID=14","0.00105")</f>
        <v>0.00105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HYPERLINK("http://141.218.60.56/~jnz1568/getInfo.php?workbook=16_08.xlsx&amp;sheet=U0&amp;row=2359&amp;col=6&amp;number=4.5&amp;sourceID=14","4.5")</f>
        <v>4.5</v>
      </c>
      <c r="G2359" s="4" t="str">
        <f>HYPERLINK("http://141.218.60.56/~jnz1568/getInfo.php?workbook=16_08.xlsx&amp;sheet=U0&amp;row=2359&amp;col=7&amp;number=0.00105&amp;sourceID=14","0.00105")</f>
        <v>0.00105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HYPERLINK("http://141.218.60.56/~jnz1568/getInfo.php?workbook=16_08.xlsx&amp;sheet=U0&amp;row=2360&amp;col=6&amp;number=4.6&amp;sourceID=14","4.6")</f>
        <v>4.6</v>
      </c>
      <c r="G2360" s="4" t="str">
        <f>HYPERLINK("http://141.218.60.56/~jnz1568/getInfo.php?workbook=16_08.xlsx&amp;sheet=U0&amp;row=2360&amp;col=7&amp;number=0.00105&amp;sourceID=14","0.00105")</f>
        <v>0.00105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HYPERLINK("http://141.218.60.56/~jnz1568/getInfo.php?workbook=16_08.xlsx&amp;sheet=U0&amp;row=2361&amp;col=6&amp;number=4.7&amp;sourceID=14","4.7")</f>
        <v>4.7</v>
      </c>
      <c r="G2361" s="4" t="str">
        <f>HYPERLINK("http://141.218.60.56/~jnz1568/getInfo.php?workbook=16_08.xlsx&amp;sheet=U0&amp;row=2361&amp;col=7&amp;number=0.00104&amp;sourceID=14","0.00104")</f>
        <v>0.00104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HYPERLINK("http://141.218.60.56/~jnz1568/getInfo.php?workbook=16_08.xlsx&amp;sheet=U0&amp;row=2362&amp;col=6&amp;number=4.8&amp;sourceID=14","4.8")</f>
        <v>4.8</v>
      </c>
      <c r="G2362" s="4" t="str">
        <f>HYPERLINK("http://141.218.60.56/~jnz1568/getInfo.php?workbook=16_08.xlsx&amp;sheet=U0&amp;row=2362&amp;col=7&amp;number=0.00104&amp;sourceID=14","0.00104")</f>
        <v>0.00104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HYPERLINK("http://141.218.60.56/~jnz1568/getInfo.php?workbook=16_08.xlsx&amp;sheet=U0&amp;row=2363&amp;col=6&amp;number=4.9&amp;sourceID=14","4.9")</f>
        <v>4.9</v>
      </c>
      <c r="G2363" s="4" t="str">
        <f>HYPERLINK("http://141.218.60.56/~jnz1568/getInfo.php?workbook=16_08.xlsx&amp;sheet=U0&amp;row=2363&amp;col=7&amp;number=0.00104&amp;sourceID=14","0.00104")</f>
        <v>0.00104</v>
      </c>
    </row>
    <row r="2364" spans="1:7">
      <c r="A2364" s="3">
        <v>16</v>
      </c>
      <c r="B2364" s="3">
        <v>8</v>
      </c>
      <c r="C2364" s="3">
        <v>2</v>
      </c>
      <c r="D2364" s="3">
        <v>36</v>
      </c>
      <c r="E2364" s="3">
        <v>1</v>
      </c>
      <c r="F2364" s="4" t="str">
        <f>HYPERLINK("http://141.218.60.56/~jnz1568/getInfo.php?workbook=16_08.xlsx&amp;sheet=U0&amp;row=2364&amp;col=6&amp;number=3&amp;sourceID=14","3")</f>
        <v>3</v>
      </c>
      <c r="G2364" s="4" t="str">
        <f>HYPERLINK("http://141.218.60.56/~jnz1568/getInfo.php?workbook=16_08.xlsx&amp;sheet=U0&amp;row=2364&amp;col=7&amp;number=0.103&amp;sourceID=14","0.103")</f>
        <v>0.103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HYPERLINK("http://141.218.60.56/~jnz1568/getInfo.php?workbook=16_08.xlsx&amp;sheet=U0&amp;row=2365&amp;col=6&amp;number=3.1&amp;sourceID=14","3.1")</f>
        <v>3.1</v>
      </c>
      <c r="G2365" s="4" t="str">
        <f>HYPERLINK("http://141.218.60.56/~jnz1568/getInfo.php?workbook=16_08.xlsx&amp;sheet=U0&amp;row=2365&amp;col=7&amp;number=0.103&amp;sourceID=14","0.103")</f>
        <v>0.103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HYPERLINK("http://141.218.60.56/~jnz1568/getInfo.php?workbook=16_08.xlsx&amp;sheet=U0&amp;row=2366&amp;col=6&amp;number=3.2&amp;sourceID=14","3.2")</f>
        <v>3.2</v>
      </c>
      <c r="G2366" s="4" t="str">
        <f>HYPERLINK("http://141.218.60.56/~jnz1568/getInfo.php?workbook=16_08.xlsx&amp;sheet=U0&amp;row=2366&amp;col=7&amp;number=0.103&amp;sourceID=14","0.103")</f>
        <v>0.103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HYPERLINK("http://141.218.60.56/~jnz1568/getInfo.php?workbook=16_08.xlsx&amp;sheet=U0&amp;row=2367&amp;col=6&amp;number=3.3&amp;sourceID=14","3.3")</f>
        <v>3.3</v>
      </c>
      <c r="G2367" s="4" t="str">
        <f>HYPERLINK("http://141.218.60.56/~jnz1568/getInfo.php?workbook=16_08.xlsx&amp;sheet=U0&amp;row=2367&amp;col=7&amp;number=0.103&amp;sourceID=14","0.103")</f>
        <v>0.103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HYPERLINK("http://141.218.60.56/~jnz1568/getInfo.php?workbook=16_08.xlsx&amp;sheet=U0&amp;row=2368&amp;col=6&amp;number=3.4&amp;sourceID=14","3.4")</f>
        <v>3.4</v>
      </c>
      <c r="G2368" s="4" t="str">
        <f>HYPERLINK("http://141.218.60.56/~jnz1568/getInfo.php?workbook=16_08.xlsx&amp;sheet=U0&amp;row=2368&amp;col=7&amp;number=0.103&amp;sourceID=14","0.103")</f>
        <v>0.103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HYPERLINK("http://141.218.60.56/~jnz1568/getInfo.php?workbook=16_08.xlsx&amp;sheet=U0&amp;row=2369&amp;col=6&amp;number=3.5&amp;sourceID=14","3.5")</f>
        <v>3.5</v>
      </c>
      <c r="G2369" s="4" t="str">
        <f>HYPERLINK("http://141.218.60.56/~jnz1568/getInfo.php?workbook=16_08.xlsx&amp;sheet=U0&amp;row=2369&amp;col=7&amp;number=0.103&amp;sourceID=14","0.103")</f>
        <v>0.103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HYPERLINK("http://141.218.60.56/~jnz1568/getInfo.php?workbook=16_08.xlsx&amp;sheet=U0&amp;row=2370&amp;col=6&amp;number=3.6&amp;sourceID=14","3.6")</f>
        <v>3.6</v>
      </c>
      <c r="G2370" s="4" t="str">
        <f>HYPERLINK("http://141.218.60.56/~jnz1568/getInfo.php?workbook=16_08.xlsx&amp;sheet=U0&amp;row=2370&amp;col=7&amp;number=0.103&amp;sourceID=14","0.103")</f>
        <v>0.103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HYPERLINK("http://141.218.60.56/~jnz1568/getInfo.php?workbook=16_08.xlsx&amp;sheet=U0&amp;row=2371&amp;col=6&amp;number=3.7&amp;sourceID=14","3.7")</f>
        <v>3.7</v>
      </c>
      <c r="G2371" s="4" t="str">
        <f>HYPERLINK("http://141.218.60.56/~jnz1568/getInfo.php?workbook=16_08.xlsx&amp;sheet=U0&amp;row=2371&amp;col=7&amp;number=0.103&amp;sourceID=14","0.103")</f>
        <v>0.103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HYPERLINK("http://141.218.60.56/~jnz1568/getInfo.php?workbook=16_08.xlsx&amp;sheet=U0&amp;row=2372&amp;col=6&amp;number=3.8&amp;sourceID=14","3.8")</f>
        <v>3.8</v>
      </c>
      <c r="G2372" s="4" t="str">
        <f>HYPERLINK("http://141.218.60.56/~jnz1568/getInfo.php?workbook=16_08.xlsx&amp;sheet=U0&amp;row=2372&amp;col=7&amp;number=0.103&amp;sourceID=14","0.103")</f>
        <v>0.103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HYPERLINK("http://141.218.60.56/~jnz1568/getInfo.php?workbook=16_08.xlsx&amp;sheet=U0&amp;row=2373&amp;col=6&amp;number=3.9&amp;sourceID=14","3.9")</f>
        <v>3.9</v>
      </c>
      <c r="G2373" s="4" t="str">
        <f>HYPERLINK("http://141.218.60.56/~jnz1568/getInfo.php?workbook=16_08.xlsx&amp;sheet=U0&amp;row=2373&amp;col=7&amp;number=0.103&amp;sourceID=14","0.103")</f>
        <v>0.103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HYPERLINK("http://141.218.60.56/~jnz1568/getInfo.php?workbook=16_08.xlsx&amp;sheet=U0&amp;row=2374&amp;col=6&amp;number=4&amp;sourceID=14","4")</f>
        <v>4</v>
      </c>
      <c r="G2374" s="4" t="str">
        <f>HYPERLINK("http://141.218.60.56/~jnz1568/getInfo.php?workbook=16_08.xlsx&amp;sheet=U0&amp;row=2374&amp;col=7&amp;number=0.103&amp;sourceID=14","0.103")</f>
        <v>0.103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HYPERLINK("http://141.218.60.56/~jnz1568/getInfo.php?workbook=16_08.xlsx&amp;sheet=U0&amp;row=2375&amp;col=6&amp;number=4.1&amp;sourceID=14","4.1")</f>
        <v>4.1</v>
      </c>
      <c r="G2375" s="4" t="str">
        <f>HYPERLINK("http://141.218.60.56/~jnz1568/getInfo.php?workbook=16_08.xlsx&amp;sheet=U0&amp;row=2375&amp;col=7&amp;number=0.103&amp;sourceID=14","0.103")</f>
        <v>0.103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HYPERLINK("http://141.218.60.56/~jnz1568/getInfo.php?workbook=16_08.xlsx&amp;sheet=U0&amp;row=2376&amp;col=6&amp;number=4.2&amp;sourceID=14","4.2")</f>
        <v>4.2</v>
      </c>
      <c r="G2376" s="4" t="str">
        <f>HYPERLINK("http://141.218.60.56/~jnz1568/getInfo.php?workbook=16_08.xlsx&amp;sheet=U0&amp;row=2376&amp;col=7&amp;number=0.103&amp;sourceID=14","0.103")</f>
        <v>0.103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HYPERLINK("http://141.218.60.56/~jnz1568/getInfo.php?workbook=16_08.xlsx&amp;sheet=U0&amp;row=2377&amp;col=6&amp;number=4.3&amp;sourceID=14","4.3")</f>
        <v>4.3</v>
      </c>
      <c r="G2377" s="4" t="str">
        <f>HYPERLINK("http://141.218.60.56/~jnz1568/getInfo.php?workbook=16_08.xlsx&amp;sheet=U0&amp;row=2377&amp;col=7&amp;number=0.103&amp;sourceID=14","0.103")</f>
        <v>0.103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HYPERLINK("http://141.218.60.56/~jnz1568/getInfo.php?workbook=16_08.xlsx&amp;sheet=U0&amp;row=2378&amp;col=6&amp;number=4.4&amp;sourceID=14","4.4")</f>
        <v>4.4</v>
      </c>
      <c r="G2378" s="4" t="str">
        <f>HYPERLINK("http://141.218.60.56/~jnz1568/getInfo.php?workbook=16_08.xlsx&amp;sheet=U0&amp;row=2378&amp;col=7&amp;number=0.103&amp;sourceID=14","0.103")</f>
        <v>0.103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HYPERLINK("http://141.218.60.56/~jnz1568/getInfo.php?workbook=16_08.xlsx&amp;sheet=U0&amp;row=2379&amp;col=6&amp;number=4.5&amp;sourceID=14","4.5")</f>
        <v>4.5</v>
      </c>
      <c r="G2379" s="4" t="str">
        <f>HYPERLINK("http://141.218.60.56/~jnz1568/getInfo.php?workbook=16_08.xlsx&amp;sheet=U0&amp;row=2379&amp;col=7&amp;number=0.103&amp;sourceID=14","0.103")</f>
        <v>0.103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HYPERLINK("http://141.218.60.56/~jnz1568/getInfo.php?workbook=16_08.xlsx&amp;sheet=U0&amp;row=2380&amp;col=6&amp;number=4.6&amp;sourceID=14","4.6")</f>
        <v>4.6</v>
      </c>
      <c r="G2380" s="4" t="str">
        <f>HYPERLINK("http://141.218.60.56/~jnz1568/getInfo.php?workbook=16_08.xlsx&amp;sheet=U0&amp;row=2380&amp;col=7&amp;number=0.103&amp;sourceID=14","0.103")</f>
        <v>0.103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HYPERLINK("http://141.218.60.56/~jnz1568/getInfo.php?workbook=16_08.xlsx&amp;sheet=U0&amp;row=2381&amp;col=6&amp;number=4.7&amp;sourceID=14","4.7")</f>
        <v>4.7</v>
      </c>
      <c r="G2381" s="4" t="str">
        <f>HYPERLINK("http://141.218.60.56/~jnz1568/getInfo.php?workbook=16_08.xlsx&amp;sheet=U0&amp;row=2381&amp;col=7&amp;number=0.103&amp;sourceID=14","0.103")</f>
        <v>0.103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HYPERLINK("http://141.218.60.56/~jnz1568/getInfo.php?workbook=16_08.xlsx&amp;sheet=U0&amp;row=2382&amp;col=6&amp;number=4.8&amp;sourceID=14","4.8")</f>
        <v>4.8</v>
      </c>
      <c r="G2382" s="4" t="str">
        <f>HYPERLINK("http://141.218.60.56/~jnz1568/getInfo.php?workbook=16_08.xlsx&amp;sheet=U0&amp;row=2382&amp;col=7&amp;number=0.103&amp;sourceID=14","0.103")</f>
        <v>0.103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HYPERLINK("http://141.218.60.56/~jnz1568/getInfo.php?workbook=16_08.xlsx&amp;sheet=U0&amp;row=2383&amp;col=6&amp;number=4.9&amp;sourceID=14","4.9")</f>
        <v>4.9</v>
      </c>
      <c r="G2383" s="4" t="str">
        <f>HYPERLINK("http://141.218.60.56/~jnz1568/getInfo.php?workbook=16_08.xlsx&amp;sheet=U0&amp;row=2383&amp;col=7&amp;number=0.103&amp;sourceID=14","0.103")</f>
        <v>0.103</v>
      </c>
    </row>
    <row r="2384" spans="1:7">
      <c r="A2384" s="3">
        <v>16</v>
      </c>
      <c r="B2384" s="3">
        <v>8</v>
      </c>
      <c r="C2384" s="3">
        <v>2</v>
      </c>
      <c r="D2384" s="3">
        <v>37</v>
      </c>
      <c r="E2384" s="3">
        <v>1</v>
      </c>
      <c r="F2384" s="4" t="str">
        <f>HYPERLINK("http://141.218.60.56/~jnz1568/getInfo.php?workbook=16_08.xlsx&amp;sheet=U0&amp;row=2384&amp;col=6&amp;number=3&amp;sourceID=14","3")</f>
        <v>3</v>
      </c>
      <c r="G2384" s="4" t="str">
        <f>HYPERLINK("http://141.218.60.56/~jnz1568/getInfo.php?workbook=16_08.xlsx&amp;sheet=U0&amp;row=2384&amp;col=7&amp;number=0.00396&amp;sourceID=14","0.00396")</f>
        <v>0.00396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HYPERLINK("http://141.218.60.56/~jnz1568/getInfo.php?workbook=16_08.xlsx&amp;sheet=U0&amp;row=2385&amp;col=6&amp;number=3.1&amp;sourceID=14","3.1")</f>
        <v>3.1</v>
      </c>
      <c r="G2385" s="4" t="str">
        <f>HYPERLINK("http://141.218.60.56/~jnz1568/getInfo.php?workbook=16_08.xlsx&amp;sheet=U0&amp;row=2385&amp;col=7&amp;number=0.00396&amp;sourceID=14","0.00396")</f>
        <v>0.00396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HYPERLINK("http://141.218.60.56/~jnz1568/getInfo.php?workbook=16_08.xlsx&amp;sheet=U0&amp;row=2386&amp;col=6&amp;number=3.2&amp;sourceID=14","3.2")</f>
        <v>3.2</v>
      </c>
      <c r="G2386" s="4" t="str">
        <f>HYPERLINK("http://141.218.60.56/~jnz1568/getInfo.php?workbook=16_08.xlsx&amp;sheet=U0&amp;row=2386&amp;col=7&amp;number=0.00396&amp;sourceID=14","0.00396")</f>
        <v>0.00396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HYPERLINK("http://141.218.60.56/~jnz1568/getInfo.php?workbook=16_08.xlsx&amp;sheet=U0&amp;row=2387&amp;col=6&amp;number=3.3&amp;sourceID=14","3.3")</f>
        <v>3.3</v>
      </c>
      <c r="G2387" s="4" t="str">
        <f>HYPERLINK("http://141.218.60.56/~jnz1568/getInfo.php?workbook=16_08.xlsx&amp;sheet=U0&amp;row=2387&amp;col=7&amp;number=0.00396&amp;sourceID=14","0.00396")</f>
        <v>0.00396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HYPERLINK("http://141.218.60.56/~jnz1568/getInfo.php?workbook=16_08.xlsx&amp;sheet=U0&amp;row=2388&amp;col=6&amp;number=3.4&amp;sourceID=14","3.4")</f>
        <v>3.4</v>
      </c>
      <c r="G2388" s="4" t="str">
        <f>HYPERLINK("http://141.218.60.56/~jnz1568/getInfo.php?workbook=16_08.xlsx&amp;sheet=U0&amp;row=2388&amp;col=7&amp;number=0.00396&amp;sourceID=14","0.00396")</f>
        <v>0.00396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HYPERLINK("http://141.218.60.56/~jnz1568/getInfo.php?workbook=16_08.xlsx&amp;sheet=U0&amp;row=2389&amp;col=6&amp;number=3.5&amp;sourceID=14","3.5")</f>
        <v>3.5</v>
      </c>
      <c r="G2389" s="4" t="str">
        <f>HYPERLINK("http://141.218.60.56/~jnz1568/getInfo.php?workbook=16_08.xlsx&amp;sheet=U0&amp;row=2389&amp;col=7&amp;number=0.00396&amp;sourceID=14","0.00396")</f>
        <v>0.00396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HYPERLINK("http://141.218.60.56/~jnz1568/getInfo.php?workbook=16_08.xlsx&amp;sheet=U0&amp;row=2390&amp;col=6&amp;number=3.6&amp;sourceID=14","3.6")</f>
        <v>3.6</v>
      </c>
      <c r="G2390" s="4" t="str">
        <f>HYPERLINK("http://141.218.60.56/~jnz1568/getInfo.php?workbook=16_08.xlsx&amp;sheet=U0&amp;row=2390&amp;col=7&amp;number=0.00396&amp;sourceID=14","0.00396")</f>
        <v>0.00396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HYPERLINK("http://141.218.60.56/~jnz1568/getInfo.php?workbook=16_08.xlsx&amp;sheet=U0&amp;row=2391&amp;col=6&amp;number=3.7&amp;sourceID=14","3.7")</f>
        <v>3.7</v>
      </c>
      <c r="G2391" s="4" t="str">
        <f>HYPERLINK("http://141.218.60.56/~jnz1568/getInfo.php?workbook=16_08.xlsx&amp;sheet=U0&amp;row=2391&amp;col=7&amp;number=0.00396&amp;sourceID=14","0.00396")</f>
        <v>0.00396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HYPERLINK("http://141.218.60.56/~jnz1568/getInfo.php?workbook=16_08.xlsx&amp;sheet=U0&amp;row=2392&amp;col=6&amp;number=3.8&amp;sourceID=14","3.8")</f>
        <v>3.8</v>
      </c>
      <c r="G2392" s="4" t="str">
        <f>HYPERLINK("http://141.218.60.56/~jnz1568/getInfo.php?workbook=16_08.xlsx&amp;sheet=U0&amp;row=2392&amp;col=7&amp;number=0.00396&amp;sourceID=14","0.00396")</f>
        <v>0.00396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HYPERLINK("http://141.218.60.56/~jnz1568/getInfo.php?workbook=16_08.xlsx&amp;sheet=U0&amp;row=2393&amp;col=6&amp;number=3.9&amp;sourceID=14","3.9")</f>
        <v>3.9</v>
      </c>
      <c r="G2393" s="4" t="str">
        <f>HYPERLINK("http://141.218.60.56/~jnz1568/getInfo.php?workbook=16_08.xlsx&amp;sheet=U0&amp;row=2393&amp;col=7&amp;number=0.00396&amp;sourceID=14","0.00396")</f>
        <v>0.00396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HYPERLINK("http://141.218.60.56/~jnz1568/getInfo.php?workbook=16_08.xlsx&amp;sheet=U0&amp;row=2394&amp;col=6&amp;number=4&amp;sourceID=14","4")</f>
        <v>4</v>
      </c>
      <c r="G2394" s="4" t="str">
        <f>HYPERLINK("http://141.218.60.56/~jnz1568/getInfo.php?workbook=16_08.xlsx&amp;sheet=U0&amp;row=2394&amp;col=7&amp;number=0.00396&amp;sourceID=14","0.00396")</f>
        <v>0.00396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HYPERLINK("http://141.218.60.56/~jnz1568/getInfo.php?workbook=16_08.xlsx&amp;sheet=U0&amp;row=2395&amp;col=6&amp;number=4.1&amp;sourceID=14","4.1")</f>
        <v>4.1</v>
      </c>
      <c r="G2395" s="4" t="str">
        <f>HYPERLINK("http://141.218.60.56/~jnz1568/getInfo.php?workbook=16_08.xlsx&amp;sheet=U0&amp;row=2395&amp;col=7&amp;number=0.00396&amp;sourceID=14","0.00396")</f>
        <v>0.00396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HYPERLINK("http://141.218.60.56/~jnz1568/getInfo.php?workbook=16_08.xlsx&amp;sheet=U0&amp;row=2396&amp;col=6&amp;number=4.2&amp;sourceID=14","4.2")</f>
        <v>4.2</v>
      </c>
      <c r="G2396" s="4" t="str">
        <f>HYPERLINK("http://141.218.60.56/~jnz1568/getInfo.php?workbook=16_08.xlsx&amp;sheet=U0&amp;row=2396&amp;col=7&amp;number=0.00396&amp;sourceID=14","0.00396")</f>
        <v>0.00396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HYPERLINK("http://141.218.60.56/~jnz1568/getInfo.php?workbook=16_08.xlsx&amp;sheet=U0&amp;row=2397&amp;col=6&amp;number=4.3&amp;sourceID=14","4.3")</f>
        <v>4.3</v>
      </c>
      <c r="G2397" s="4" t="str">
        <f>HYPERLINK("http://141.218.60.56/~jnz1568/getInfo.php?workbook=16_08.xlsx&amp;sheet=U0&amp;row=2397&amp;col=7&amp;number=0.00395&amp;sourceID=14","0.00395")</f>
        <v>0.00395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HYPERLINK("http://141.218.60.56/~jnz1568/getInfo.php?workbook=16_08.xlsx&amp;sheet=U0&amp;row=2398&amp;col=6&amp;number=4.4&amp;sourceID=14","4.4")</f>
        <v>4.4</v>
      </c>
      <c r="G2398" s="4" t="str">
        <f>HYPERLINK("http://141.218.60.56/~jnz1568/getInfo.php?workbook=16_08.xlsx&amp;sheet=U0&amp;row=2398&amp;col=7&amp;number=0.00395&amp;sourceID=14","0.00395")</f>
        <v>0.00395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HYPERLINK("http://141.218.60.56/~jnz1568/getInfo.php?workbook=16_08.xlsx&amp;sheet=U0&amp;row=2399&amp;col=6&amp;number=4.5&amp;sourceID=14","4.5")</f>
        <v>4.5</v>
      </c>
      <c r="G2399" s="4" t="str">
        <f>HYPERLINK("http://141.218.60.56/~jnz1568/getInfo.php?workbook=16_08.xlsx&amp;sheet=U0&amp;row=2399&amp;col=7&amp;number=0.00395&amp;sourceID=14","0.00395")</f>
        <v>0.00395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HYPERLINK("http://141.218.60.56/~jnz1568/getInfo.php?workbook=16_08.xlsx&amp;sheet=U0&amp;row=2400&amp;col=6&amp;number=4.6&amp;sourceID=14","4.6")</f>
        <v>4.6</v>
      </c>
      <c r="G2400" s="4" t="str">
        <f>HYPERLINK("http://141.218.60.56/~jnz1568/getInfo.php?workbook=16_08.xlsx&amp;sheet=U0&amp;row=2400&amp;col=7&amp;number=0.00395&amp;sourceID=14","0.00395")</f>
        <v>0.00395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HYPERLINK("http://141.218.60.56/~jnz1568/getInfo.php?workbook=16_08.xlsx&amp;sheet=U0&amp;row=2401&amp;col=6&amp;number=4.7&amp;sourceID=14","4.7")</f>
        <v>4.7</v>
      </c>
      <c r="G2401" s="4" t="str">
        <f>HYPERLINK("http://141.218.60.56/~jnz1568/getInfo.php?workbook=16_08.xlsx&amp;sheet=U0&amp;row=2401&amp;col=7&amp;number=0.00395&amp;sourceID=14","0.00395")</f>
        <v>0.00395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HYPERLINK("http://141.218.60.56/~jnz1568/getInfo.php?workbook=16_08.xlsx&amp;sheet=U0&amp;row=2402&amp;col=6&amp;number=4.8&amp;sourceID=14","4.8")</f>
        <v>4.8</v>
      </c>
      <c r="G2402" s="4" t="str">
        <f>HYPERLINK("http://141.218.60.56/~jnz1568/getInfo.php?workbook=16_08.xlsx&amp;sheet=U0&amp;row=2402&amp;col=7&amp;number=0.00395&amp;sourceID=14","0.00395")</f>
        <v>0.00395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HYPERLINK("http://141.218.60.56/~jnz1568/getInfo.php?workbook=16_08.xlsx&amp;sheet=U0&amp;row=2403&amp;col=6&amp;number=4.9&amp;sourceID=14","4.9")</f>
        <v>4.9</v>
      </c>
      <c r="G2403" s="4" t="str">
        <f>HYPERLINK("http://141.218.60.56/~jnz1568/getInfo.php?workbook=16_08.xlsx&amp;sheet=U0&amp;row=2403&amp;col=7&amp;number=0.00395&amp;sourceID=14","0.00395")</f>
        <v>0.00395</v>
      </c>
    </row>
    <row r="2404" spans="1:7">
      <c r="A2404" s="3">
        <v>16</v>
      </c>
      <c r="B2404" s="3">
        <v>8</v>
      </c>
      <c r="C2404" s="3">
        <v>2</v>
      </c>
      <c r="D2404" s="3">
        <v>38</v>
      </c>
      <c r="E2404" s="3">
        <v>1</v>
      </c>
      <c r="F2404" s="4" t="str">
        <f>HYPERLINK("http://141.218.60.56/~jnz1568/getInfo.php?workbook=16_08.xlsx&amp;sheet=U0&amp;row=2404&amp;col=6&amp;number=3&amp;sourceID=14","3")</f>
        <v>3</v>
      </c>
      <c r="G2404" s="4" t="str">
        <f>HYPERLINK("http://141.218.60.56/~jnz1568/getInfo.php?workbook=16_08.xlsx&amp;sheet=U0&amp;row=2404&amp;col=7&amp;number=0.00262&amp;sourceID=14","0.00262")</f>
        <v>0.00262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HYPERLINK("http://141.218.60.56/~jnz1568/getInfo.php?workbook=16_08.xlsx&amp;sheet=U0&amp;row=2405&amp;col=6&amp;number=3.1&amp;sourceID=14","3.1")</f>
        <v>3.1</v>
      </c>
      <c r="G2405" s="4" t="str">
        <f>HYPERLINK("http://141.218.60.56/~jnz1568/getInfo.php?workbook=16_08.xlsx&amp;sheet=U0&amp;row=2405&amp;col=7&amp;number=0.00262&amp;sourceID=14","0.00262")</f>
        <v>0.00262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HYPERLINK("http://141.218.60.56/~jnz1568/getInfo.php?workbook=16_08.xlsx&amp;sheet=U0&amp;row=2406&amp;col=6&amp;number=3.2&amp;sourceID=14","3.2")</f>
        <v>3.2</v>
      </c>
      <c r="G2406" s="4" t="str">
        <f>HYPERLINK("http://141.218.60.56/~jnz1568/getInfo.php?workbook=16_08.xlsx&amp;sheet=U0&amp;row=2406&amp;col=7&amp;number=0.00262&amp;sourceID=14","0.00262")</f>
        <v>0.00262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HYPERLINK("http://141.218.60.56/~jnz1568/getInfo.php?workbook=16_08.xlsx&amp;sheet=U0&amp;row=2407&amp;col=6&amp;number=3.3&amp;sourceID=14","3.3")</f>
        <v>3.3</v>
      </c>
      <c r="G2407" s="4" t="str">
        <f>HYPERLINK("http://141.218.60.56/~jnz1568/getInfo.php?workbook=16_08.xlsx&amp;sheet=U0&amp;row=2407&amp;col=7&amp;number=0.00262&amp;sourceID=14","0.00262")</f>
        <v>0.00262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HYPERLINK("http://141.218.60.56/~jnz1568/getInfo.php?workbook=16_08.xlsx&amp;sheet=U0&amp;row=2408&amp;col=6&amp;number=3.4&amp;sourceID=14","3.4")</f>
        <v>3.4</v>
      </c>
      <c r="G2408" s="4" t="str">
        <f>HYPERLINK("http://141.218.60.56/~jnz1568/getInfo.php?workbook=16_08.xlsx&amp;sheet=U0&amp;row=2408&amp;col=7&amp;number=0.00262&amp;sourceID=14","0.00262")</f>
        <v>0.00262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HYPERLINK("http://141.218.60.56/~jnz1568/getInfo.php?workbook=16_08.xlsx&amp;sheet=U0&amp;row=2409&amp;col=6&amp;number=3.5&amp;sourceID=14","3.5")</f>
        <v>3.5</v>
      </c>
      <c r="G2409" s="4" t="str">
        <f>HYPERLINK("http://141.218.60.56/~jnz1568/getInfo.php?workbook=16_08.xlsx&amp;sheet=U0&amp;row=2409&amp;col=7&amp;number=0.00262&amp;sourceID=14","0.00262")</f>
        <v>0.00262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HYPERLINK("http://141.218.60.56/~jnz1568/getInfo.php?workbook=16_08.xlsx&amp;sheet=U0&amp;row=2410&amp;col=6&amp;number=3.6&amp;sourceID=14","3.6")</f>
        <v>3.6</v>
      </c>
      <c r="G2410" s="4" t="str">
        <f>HYPERLINK("http://141.218.60.56/~jnz1568/getInfo.php?workbook=16_08.xlsx&amp;sheet=U0&amp;row=2410&amp;col=7&amp;number=0.00262&amp;sourceID=14","0.00262")</f>
        <v>0.00262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HYPERLINK("http://141.218.60.56/~jnz1568/getInfo.php?workbook=16_08.xlsx&amp;sheet=U0&amp;row=2411&amp;col=6&amp;number=3.7&amp;sourceID=14","3.7")</f>
        <v>3.7</v>
      </c>
      <c r="G2411" s="4" t="str">
        <f>HYPERLINK("http://141.218.60.56/~jnz1568/getInfo.php?workbook=16_08.xlsx&amp;sheet=U0&amp;row=2411&amp;col=7&amp;number=0.00261&amp;sourceID=14","0.00261")</f>
        <v>0.00261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HYPERLINK("http://141.218.60.56/~jnz1568/getInfo.php?workbook=16_08.xlsx&amp;sheet=U0&amp;row=2412&amp;col=6&amp;number=3.8&amp;sourceID=14","3.8")</f>
        <v>3.8</v>
      </c>
      <c r="G2412" s="4" t="str">
        <f>HYPERLINK("http://141.218.60.56/~jnz1568/getInfo.php?workbook=16_08.xlsx&amp;sheet=U0&amp;row=2412&amp;col=7&amp;number=0.00261&amp;sourceID=14","0.00261")</f>
        <v>0.00261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HYPERLINK("http://141.218.60.56/~jnz1568/getInfo.php?workbook=16_08.xlsx&amp;sheet=U0&amp;row=2413&amp;col=6&amp;number=3.9&amp;sourceID=14","3.9")</f>
        <v>3.9</v>
      </c>
      <c r="G2413" s="4" t="str">
        <f>HYPERLINK("http://141.218.60.56/~jnz1568/getInfo.php?workbook=16_08.xlsx&amp;sheet=U0&amp;row=2413&amp;col=7&amp;number=0.00261&amp;sourceID=14","0.00261")</f>
        <v>0.00261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HYPERLINK("http://141.218.60.56/~jnz1568/getInfo.php?workbook=16_08.xlsx&amp;sheet=U0&amp;row=2414&amp;col=6&amp;number=4&amp;sourceID=14","4")</f>
        <v>4</v>
      </c>
      <c r="G2414" s="4" t="str">
        <f>HYPERLINK("http://141.218.60.56/~jnz1568/getInfo.php?workbook=16_08.xlsx&amp;sheet=U0&amp;row=2414&amp;col=7&amp;number=0.00261&amp;sourceID=14","0.00261")</f>
        <v>0.00261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HYPERLINK("http://141.218.60.56/~jnz1568/getInfo.php?workbook=16_08.xlsx&amp;sheet=U0&amp;row=2415&amp;col=6&amp;number=4.1&amp;sourceID=14","4.1")</f>
        <v>4.1</v>
      </c>
      <c r="G2415" s="4" t="str">
        <f>HYPERLINK("http://141.218.60.56/~jnz1568/getInfo.php?workbook=16_08.xlsx&amp;sheet=U0&amp;row=2415&amp;col=7&amp;number=0.00261&amp;sourceID=14","0.00261")</f>
        <v>0.00261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HYPERLINK("http://141.218.60.56/~jnz1568/getInfo.php?workbook=16_08.xlsx&amp;sheet=U0&amp;row=2416&amp;col=6&amp;number=4.2&amp;sourceID=14","4.2")</f>
        <v>4.2</v>
      </c>
      <c r="G2416" s="4" t="str">
        <f>HYPERLINK("http://141.218.60.56/~jnz1568/getInfo.php?workbook=16_08.xlsx&amp;sheet=U0&amp;row=2416&amp;col=7&amp;number=0.00261&amp;sourceID=14","0.00261")</f>
        <v>0.00261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HYPERLINK("http://141.218.60.56/~jnz1568/getInfo.php?workbook=16_08.xlsx&amp;sheet=U0&amp;row=2417&amp;col=6&amp;number=4.3&amp;sourceID=14","4.3")</f>
        <v>4.3</v>
      </c>
      <c r="G2417" s="4" t="str">
        <f>HYPERLINK("http://141.218.60.56/~jnz1568/getInfo.php?workbook=16_08.xlsx&amp;sheet=U0&amp;row=2417&amp;col=7&amp;number=0.00261&amp;sourceID=14","0.00261")</f>
        <v>0.00261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HYPERLINK("http://141.218.60.56/~jnz1568/getInfo.php?workbook=16_08.xlsx&amp;sheet=U0&amp;row=2418&amp;col=6&amp;number=4.4&amp;sourceID=14","4.4")</f>
        <v>4.4</v>
      </c>
      <c r="G2418" s="4" t="str">
        <f>HYPERLINK("http://141.218.60.56/~jnz1568/getInfo.php?workbook=16_08.xlsx&amp;sheet=U0&amp;row=2418&amp;col=7&amp;number=0.0026&amp;sourceID=14","0.0026")</f>
        <v>0.0026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HYPERLINK("http://141.218.60.56/~jnz1568/getInfo.php?workbook=16_08.xlsx&amp;sheet=U0&amp;row=2419&amp;col=6&amp;number=4.5&amp;sourceID=14","4.5")</f>
        <v>4.5</v>
      </c>
      <c r="G2419" s="4" t="str">
        <f>HYPERLINK("http://141.218.60.56/~jnz1568/getInfo.php?workbook=16_08.xlsx&amp;sheet=U0&amp;row=2419&amp;col=7&amp;number=0.0026&amp;sourceID=14","0.0026")</f>
        <v>0.0026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HYPERLINK("http://141.218.60.56/~jnz1568/getInfo.php?workbook=16_08.xlsx&amp;sheet=U0&amp;row=2420&amp;col=6&amp;number=4.6&amp;sourceID=14","4.6")</f>
        <v>4.6</v>
      </c>
      <c r="G2420" s="4" t="str">
        <f>HYPERLINK("http://141.218.60.56/~jnz1568/getInfo.php?workbook=16_08.xlsx&amp;sheet=U0&amp;row=2420&amp;col=7&amp;number=0.00259&amp;sourceID=14","0.00259")</f>
        <v>0.00259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HYPERLINK("http://141.218.60.56/~jnz1568/getInfo.php?workbook=16_08.xlsx&amp;sheet=U0&amp;row=2421&amp;col=6&amp;number=4.7&amp;sourceID=14","4.7")</f>
        <v>4.7</v>
      </c>
      <c r="G2421" s="4" t="str">
        <f>HYPERLINK("http://141.218.60.56/~jnz1568/getInfo.php?workbook=16_08.xlsx&amp;sheet=U0&amp;row=2421&amp;col=7&amp;number=0.00259&amp;sourceID=14","0.00259")</f>
        <v>0.00259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HYPERLINK("http://141.218.60.56/~jnz1568/getInfo.php?workbook=16_08.xlsx&amp;sheet=U0&amp;row=2422&amp;col=6&amp;number=4.8&amp;sourceID=14","4.8")</f>
        <v>4.8</v>
      </c>
      <c r="G2422" s="4" t="str">
        <f>HYPERLINK("http://141.218.60.56/~jnz1568/getInfo.php?workbook=16_08.xlsx&amp;sheet=U0&amp;row=2422&amp;col=7&amp;number=0.00258&amp;sourceID=14","0.00258")</f>
        <v>0.00258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HYPERLINK("http://141.218.60.56/~jnz1568/getInfo.php?workbook=16_08.xlsx&amp;sheet=U0&amp;row=2423&amp;col=6&amp;number=4.9&amp;sourceID=14","4.9")</f>
        <v>4.9</v>
      </c>
      <c r="G2423" s="4" t="str">
        <f>HYPERLINK("http://141.218.60.56/~jnz1568/getInfo.php?workbook=16_08.xlsx&amp;sheet=U0&amp;row=2423&amp;col=7&amp;number=0.00257&amp;sourceID=14","0.00257")</f>
        <v>0.00257</v>
      </c>
    </row>
    <row r="2424" spans="1:7">
      <c r="A2424" s="3">
        <v>16</v>
      </c>
      <c r="B2424" s="3">
        <v>8</v>
      </c>
      <c r="C2424" s="3">
        <v>2</v>
      </c>
      <c r="D2424" s="3">
        <v>39</v>
      </c>
      <c r="E2424" s="3">
        <v>1</v>
      </c>
      <c r="F2424" s="4" t="str">
        <f>HYPERLINK("http://141.218.60.56/~jnz1568/getInfo.php?workbook=16_08.xlsx&amp;sheet=U0&amp;row=2424&amp;col=6&amp;number=3&amp;sourceID=14","3")</f>
        <v>3</v>
      </c>
      <c r="G2424" s="4" t="str">
        <f>HYPERLINK("http://141.218.60.56/~jnz1568/getInfo.php?workbook=16_08.xlsx&amp;sheet=U0&amp;row=2424&amp;col=7&amp;number=0.00877&amp;sourceID=14","0.00877")</f>
        <v>0.00877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HYPERLINK("http://141.218.60.56/~jnz1568/getInfo.php?workbook=16_08.xlsx&amp;sheet=U0&amp;row=2425&amp;col=6&amp;number=3.1&amp;sourceID=14","3.1")</f>
        <v>3.1</v>
      </c>
      <c r="G2425" s="4" t="str">
        <f>HYPERLINK("http://141.218.60.56/~jnz1568/getInfo.php?workbook=16_08.xlsx&amp;sheet=U0&amp;row=2425&amp;col=7&amp;number=0.00877&amp;sourceID=14","0.00877")</f>
        <v>0.00877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HYPERLINK("http://141.218.60.56/~jnz1568/getInfo.php?workbook=16_08.xlsx&amp;sheet=U0&amp;row=2426&amp;col=6&amp;number=3.2&amp;sourceID=14","3.2")</f>
        <v>3.2</v>
      </c>
      <c r="G2426" s="4" t="str">
        <f>HYPERLINK("http://141.218.60.56/~jnz1568/getInfo.php?workbook=16_08.xlsx&amp;sheet=U0&amp;row=2426&amp;col=7&amp;number=0.00876&amp;sourceID=14","0.00876")</f>
        <v>0.00876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HYPERLINK("http://141.218.60.56/~jnz1568/getInfo.php?workbook=16_08.xlsx&amp;sheet=U0&amp;row=2427&amp;col=6&amp;number=3.3&amp;sourceID=14","3.3")</f>
        <v>3.3</v>
      </c>
      <c r="G2427" s="4" t="str">
        <f>HYPERLINK("http://141.218.60.56/~jnz1568/getInfo.php?workbook=16_08.xlsx&amp;sheet=U0&amp;row=2427&amp;col=7&amp;number=0.00876&amp;sourceID=14","0.00876")</f>
        <v>0.00876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HYPERLINK("http://141.218.60.56/~jnz1568/getInfo.php?workbook=16_08.xlsx&amp;sheet=U0&amp;row=2428&amp;col=6&amp;number=3.4&amp;sourceID=14","3.4")</f>
        <v>3.4</v>
      </c>
      <c r="G2428" s="4" t="str">
        <f>HYPERLINK("http://141.218.60.56/~jnz1568/getInfo.php?workbook=16_08.xlsx&amp;sheet=U0&amp;row=2428&amp;col=7&amp;number=0.00876&amp;sourceID=14","0.00876")</f>
        <v>0.00876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HYPERLINK("http://141.218.60.56/~jnz1568/getInfo.php?workbook=16_08.xlsx&amp;sheet=U0&amp;row=2429&amp;col=6&amp;number=3.5&amp;sourceID=14","3.5")</f>
        <v>3.5</v>
      </c>
      <c r="G2429" s="4" t="str">
        <f>HYPERLINK("http://141.218.60.56/~jnz1568/getInfo.php?workbook=16_08.xlsx&amp;sheet=U0&amp;row=2429&amp;col=7&amp;number=0.00876&amp;sourceID=14","0.00876")</f>
        <v>0.00876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HYPERLINK("http://141.218.60.56/~jnz1568/getInfo.php?workbook=16_08.xlsx&amp;sheet=U0&amp;row=2430&amp;col=6&amp;number=3.6&amp;sourceID=14","3.6")</f>
        <v>3.6</v>
      </c>
      <c r="G2430" s="4" t="str">
        <f>HYPERLINK("http://141.218.60.56/~jnz1568/getInfo.php?workbook=16_08.xlsx&amp;sheet=U0&amp;row=2430&amp;col=7&amp;number=0.00876&amp;sourceID=14","0.00876")</f>
        <v>0.00876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HYPERLINK("http://141.218.60.56/~jnz1568/getInfo.php?workbook=16_08.xlsx&amp;sheet=U0&amp;row=2431&amp;col=6&amp;number=3.7&amp;sourceID=14","3.7")</f>
        <v>3.7</v>
      </c>
      <c r="G2431" s="4" t="str">
        <f>HYPERLINK("http://141.218.60.56/~jnz1568/getInfo.php?workbook=16_08.xlsx&amp;sheet=U0&amp;row=2431&amp;col=7&amp;number=0.00876&amp;sourceID=14","0.00876")</f>
        <v>0.00876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HYPERLINK("http://141.218.60.56/~jnz1568/getInfo.php?workbook=16_08.xlsx&amp;sheet=U0&amp;row=2432&amp;col=6&amp;number=3.8&amp;sourceID=14","3.8")</f>
        <v>3.8</v>
      </c>
      <c r="G2432" s="4" t="str">
        <f>HYPERLINK("http://141.218.60.56/~jnz1568/getInfo.php?workbook=16_08.xlsx&amp;sheet=U0&amp;row=2432&amp;col=7&amp;number=0.00875&amp;sourceID=14","0.00875")</f>
        <v>0.00875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HYPERLINK("http://141.218.60.56/~jnz1568/getInfo.php?workbook=16_08.xlsx&amp;sheet=U0&amp;row=2433&amp;col=6&amp;number=3.9&amp;sourceID=14","3.9")</f>
        <v>3.9</v>
      </c>
      <c r="G2433" s="4" t="str">
        <f>HYPERLINK("http://141.218.60.56/~jnz1568/getInfo.php?workbook=16_08.xlsx&amp;sheet=U0&amp;row=2433&amp;col=7&amp;number=0.00875&amp;sourceID=14","0.00875")</f>
        <v>0.00875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HYPERLINK("http://141.218.60.56/~jnz1568/getInfo.php?workbook=16_08.xlsx&amp;sheet=U0&amp;row=2434&amp;col=6&amp;number=4&amp;sourceID=14","4")</f>
        <v>4</v>
      </c>
      <c r="G2434" s="4" t="str">
        <f>HYPERLINK("http://141.218.60.56/~jnz1568/getInfo.php?workbook=16_08.xlsx&amp;sheet=U0&amp;row=2434&amp;col=7&amp;number=0.00875&amp;sourceID=14","0.00875")</f>
        <v>0.00875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HYPERLINK("http://141.218.60.56/~jnz1568/getInfo.php?workbook=16_08.xlsx&amp;sheet=U0&amp;row=2435&amp;col=6&amp;number=4.1&amp;sourceID=14","4.1")</f>
        <v>4.1</v>
      </c>
      <c r="G2435" s="4" t="str">
        <f>HYPERLINK("http://141.218.60.56/~jnz1568/getInfo.php?workbook=16_08.xlsx&amp;sheet=U0&amp;row=2435&amp;col=7&amp;number=0.00874&amp;sourceID=14","0.00874")</f>
        <v>0.00874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HYPERLINK("http://141.218.60.56/~jnz1568/getInfo.php?workbook=16_08.xlsx&amp;sheet=U0&amp;row=2436&amp;col=6&amp;number=4.2&amp;sourceID=14","4.2")</f>
        <v>4.2</v>
      </c>
      <c r="G2436" s="4" t="str">
        <f>HYPERLINK("http://141.218.60.56/~jnz1568/getInfo.php?workbook=16_08.xlsx&amp;sheet=U0&amp;row=2436&amp;col=7&amp;number=0.00873&amp;sourceID=14","0.00873")</f>
        <v>0.00873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HYPERLINK("http://141.218.60.56/~jnz1568/getInfo.php?workbook=16_08.xlsx&amp;sheet=U0&amp;row=2437&amp;col=6&amp;number=4.3&amp;sourceID=14","4.3")</f>
        <v>4.3</v>
      </c>
      <c r="G2437" s="4" t="str">
        <f>HYPERLINK("http://141.218.60.56/~jnz1568/getInfo.php?workbook=16_08.xlsx&amp;sheet=U0&amp;row=2437&amp;col=7&amp;number=0.00872&amp;sourceID=14","0.00872")</f>
        <v>0.00872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HYPERLINK("http://141.218.60.56/~jnz1568/getInfo.php?workbook=16_08.xlsx&amp;sheet=U0&amp;row=2438&amp;col=6&amp;number=4.4&amp;sourceID=14","4.4")</f>
        <v>4.4</v>
      </c>
      <c r="G2438" s="4" t="str">
        <f>HYPERLINK("http://141.218.60.56/~jnz1568/getInfo.php?workbook=16_08.xlsx&amp;sheet=U0&amp;row=2438&amp;col=7&amp;number=0.00871&amp;sourceID=14","0.00871")</f>
        <v>0.00871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HYPERLINK("http://141.218.60.56/~jnz1568/getInfo.php?workbook=16_08.xlsx&amp;sheet=U0&amp;row=2439&amp;col=6&amp;number=4.5&amp;sourceID=14","4.5")</f>
        <v>4.5</v>
      </c>
      <c r="G2439" s="4" t="str">
        <f>HYPERLINK("http://141.218.60.56/~jnz1568/getInfo.php?workbook=16_08.xlsx&amp;sheet=U0&amp;row=2439&amp;col=7&amp;number=0.0087&amp;sourceID=14","0.0087")</f>
        <v>0.0087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HYPERLINK("http://141.218.60.56/~jnz1568/getInfo.php?workbook=16_08.xlsx&amp;sheet=U0&amp;row=2440&amp;col=6&amp;number=4.6&amp;sourceID=14","4.6")</f>
        <v>4.6</v>
      </c>
      <c r="G2440" s="4" t="str">
        <f>HYPERLINK("http://141.218.60.56/~jnz1568/getInfo.php?workbook=16_08.xlsx&amp;sheet=U0&amp;row=2440&amp;col=7&amp;number=0.00868&amp;sourceID=14","0.00868")</f>
        <v>0.00868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HYPERLINK("http://141.218.60.56/~jnz1568/getInfo.php?workbook=16_08.xlsx&amp;sheet=U0&amp;row=2441&amp;col=6&amp;number=4.7&amp;sourceID=14","4.7")</f>
        <v>4.7</v>
      </c>
      <c r="G2441" s="4" t="str">
        <f>HYPERLINK("http://141.218.60.56/~jnz1568/getInfo.php?workbook=16_08.xlsx&amp;sheet=U0&amp;row=2441&amp;col=7&amp;number=0.00866&amp;sourceID=14","0.00866")</f>
        <v>0.00866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HYPERLINK("http://141.218.60.56/~jnz1568/getInfo.php?workbook=16_08.xlsx&amp;sheet=U0&amp;row=2442&amp;col=6&amp;number=4.8&amp;sourceID=14","4.8")</f>
        <v>4.8</v>
      </c>
      <c r="G2442" s="4" t="str">
        <f>HYPERLINK("http://141.218.60.56/~jnz1568/getInfo.php?workbook=16_08.xlsx&amp;sheet=U0&amp;row=2442&amp;col=7&amp;number=0.00863&amp;sourceID=14","0.00863")</f>
        <v>0.00863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HYPERLINK("http://141.218.60.56/~jnz1568/getInfo.php?workbook=16_08.xlsx&amp;sheet=U0&amp;row=2443&amp;col=6&amp;number=4.9&amp;sourceID=14","4.9")</f>
        <v>4.9</v>
      </c>
      <c r="G2443" s="4" t="str">
        <f>HYPERLINK("http://141.218.60.56/~jnz1568/getInfo.php?workbook=16_08.xlsx&amp;sheet=U0&amp;row=2443&amp;col=7&amp;number=0.0086&amp;sourceID=14","0.0086")</f>
        <v>0.0086</v>
      </c>
    </row>
    <row r="2444" spans="1:7">
      <c r="A2444" s="3">
        <v>16</v>
      </c>
      <c r="B2444" s="3">
        <v>8</v>
      </c>
      <c r="C2444" s="3">
        <v>2</v>
      </c>
      <c r="D2444" s="3">
        <v>40</v>
      </c>
      <c r="E2444" s="3">
        <v>1</v>
      </c>
      <c r="F2444" s="4" t="str">
        <f>HYPERLINK("http://141.218.60.56/~jnz1568/getInfo.php?workbook=16_08.xlsx&amp;sheet=U0&amp;row=2444&amp;col=6&amp;number=3&amp;sourceID=14","3")</f>
        <v>3</v>
      </c>
      <c r="G2444" s="4" t="str">
        <f>HYPERLINK("http://141.218.60.56/~jnz1568/getInfo.php?workbook=16_08.xlsx&amp;sheet=U0&amp;row=2444&amp;col=7&amp;number=0.022&amp;sourceID=14","0.022")</f>
        <v>0.022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HYPERLINK("http://141.218.60.56/~jnz1568/getInfo.php?workbook=16_08.xlsx&amp;sheet=U0&amp;row=2445&amp;col=6&amp;number=3.1&amp;sourceID=14","3.1")</f>
        <v>3.1</v>
      </c>
      <c r="G2445" s="4" t="str">
        <f>HYPERLINK("http://141.218.60.56/~jnz1568/getInfo.php?workbook=16_08.xlsx&amp;sheet=U0&amp;row=2445&amp;col=7&amp;number=0.022&amp;sourceID=14","0.022")</f>
        <v>0.022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HYPERLINK("http://141.218.60.56/~jnz1568/getInfo.php?workbook=16_08.xlsx&amp;sheet=U0&amp;row=2446&amp;col=6&amp;number=3.2&amp;sourceID=14","3.2")</f>
        <v>3.2</v>
      </c>
      <c r="G2446" s="4" t="str">
        <f>HYPERLINK("http://141.218.60.56/~jnz1568/getInfo.php?workbook=16_08.xlsx&amp;sheet=U0&amp;row=2446&amp;col=7&amp;number=0.022&amp;sourceID=14","0.022")</f>
        <v>0.022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HYPERLINK("http://141.218.60.56/~jnz1568/getInfo.php?workbook=16_08.xlsx&amp;sheet=U0&amp;row=2447&amp;col=6&amp;number=3.3&amp;sourceID=14","3.3")</f>
        <v>3.3</v>
      </c>
      <c r="G2447" s="4" t="str">
        <f>HYPERLINK("http://141.218.60.56/~jnz1568/getInfo.php?workbook=16_08.xlsx&amp;sheet=U0&amp;row=2447&amp;col=7&amp;number=0.022&amp;sourceID=14","0.022")</f>
        <v>0.022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HYPERLINK("http://141.218.60.56/~jnz1568/getInfo.php?workbook=16_08.xlsx&amp;sheet=U0&amp;row=2448&amp;col=6&amp;number=3.4&amp;sourceID=14","3.4")</f>
        <v>3.4</v>
      </c>
      <c r="G2448" s="4" t="str">
        <f>HYPERLINK("http://141.218.60.56/~jnz1568/getInfo.php?workbook=16_08.xlsx&amp;sheet=U0&amp;row=2448&amp;col=7&amp;number=0.022&amp;sourceID=14","0.022")</f>
        <v>0.022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HYPERLINK("http://141.218.60.56/~jnz1568/getInfo.php?workbook=16_08.xlsx&amp;sheet=U0&amp;row=2449&amp;col=6&amp;number=3.5&amp;sourceID=14","3.5")</f>
        <v>3.5</v>
      </c>
      <c r="G2449" s="4" t="str">
        <f>HYPERLINK("http://141.218.60.56/~jnz1568/getInfo.php?workbook=16_08.xlsx&amp;sheet=U0&amp;row=2449&amp;col=7&amp;number=0.0219&amp;sourceID=14","0.0219")</f>
        <v>0.0219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HYPERLINK("http://141.218.60.56/~jnz1568/getInfo.php?workbook=16_08.xlsx&amp;sheet=U0&amp;row=2450&amp;col=6&amp;number=3.6&amp;sourceID=14","3.6")</f>
        <v>3.6</v>
      </c>
      <c r="G2450" s="4" t="str">
        <f>HYPERLINK("http://141.218.60.56/~jnz1568/getInfo.php?workbook=16_08.xlsx&amp;sheet=U0&amp;row=2450&amp;col=7&amp;number=0.0219&amp;sourceID=14","0.0219")</f>
        <v>0.0219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HYPERLINK("http://141.218.60.56/~jnz1568/getInfo.php?workbook=16_08.xlsx&amp;sheet=U0&amp;row=2451&amp;col=6&amp;number=3.7&amp;sourceID=14","3.7")</f>
        <v>3.7</v>
      </c>
      <c r="G2451" s="4" t="str">
        <f>HYPERLINK("http://141.218.60.56/~jnz1568/getInfo.php?workbook=16_08.xlsx&amp;sheet=U0&amp;row=2451&amp;col=7&amp;number=0.0219&amp;sourceID=14","0.0219")</f>
        <v>0.0219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HYPERLINK("http://141.218.60.56/~jnz1568/getInfo.php?workbook=16_08.xlsx&amp;sheet=U0&amp;row=2452&amp;col=6&amp;number=3.8&amp;sourceID=14","3.8")</f>
        <v>3.8</v>
      </c>
      <c r="G2452" s="4" t="str">
        <f>HYPERLINK("http://141.218.60.56/~jnz1568/getInfo.php?workbook=16_08.xlsx&amp;sheet=U0&amp;row=2452&amp;col=7&amp;number=0.0219&amp;sourceID=14","0.0219")</f>
        <v>0.0219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HYPERLINK("http://141.218.60.56/~jnz1568/getInfo.php?workbook=16_08.xlsx&amp;sheet=U0&amp;row=2453&amp;col=6&amp;number=3.9&amp;sourceID=14","3.9")</f>
        <v>3.9</v>
      </c>
      <c r="G2453" s="4" t="str">
        <f>HYPERLINK("http://141.218.60.56/~jnz1568/getInfo.php?workbook=16_08.xlsx&amp;sheet=U0&amp;row=2453&amp;col=7&amp;number=0.0219&amp;sourceID=14","0.0219")</f>
        <v>0.0219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HYPERLINK("http://141.218.60.56/~jnz1568/getInfo.php?workbook=16_08.xlsx&amp;sheet=U0&amp;row=2454&amp;col=6&amp;number=4&amp;sourceID=14","4")</f>
        <v>4</v>
      </c>
      <c r="G2454" s="4" t="str">
        <f>HYPERLINK("http://141.218.60.56/~jnz1568/getInfo.php?workbook=16_08.xlsx&amp;sheet=U0&amp;row=2454&amp;col=7&amp;number=0.0219&amp;sourceID=14","0.0219")</f>
        <v>0.0219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HYPERLINK("http://141.218.60.56/~jnz1568/getInfo.php?workbook=16_08.xlsx&amp;sheet=U0&amp;row=2455&amp;col=6&amp;number=4.1&amp;sourceID=14","4.1")</f>
        <v>4.1</v>
      </c>
      <c r="G2455" s="4" t="str">
        <f>HYPERLINK("http://141.218.60.56/~jnz1568/getInfo.php?workbook=16_08.xlsx&amp;sheet=U0&amp;row=2455&amp;col=7&amp;number=0.0218&amp;sourceID=14","0.0218")</f>
        <v>0.0218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HYPERLINK("http://141.218.60.56/~jnz1568/getInfo.php?workbook=16_08.xlsx&amp;sheet=U0&amp;row=2456&amp;col=6&amp;number=4.2&amp;sourceID=14","4.2")</f>
        <v>4.2</v>
      </c>
      <c r="G2456" s="4" t="str">
        <f>HYPERLINK("http://141.218.60.56/~jnz1568/getInfo.php?workbook=16_08.xlsx&amp;sheet=U0&amp;row=2456&amp;col=7&amp;number=0.0218&amp;sourceID=14","0.0218")</f>
        <v>0.0218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HYPERLINK("http://141.218.60.56/~jnz1568/getInfo.php?workbook=16_08.xlsx&amp;sheet=U0&amp;row=2457&amp;col=6&amp;number=4.3&amp;sourceID=14","4.3")</f>
        <v>4.3</v>
      </c>
      <c r="G2457" s="4" t="str">
        <f>HYPERLINK("http://141.218.60.56/~jnz1568/getInfo.php?workbook=16_08.xlsx&amp;sheet=U0&amp;row=2457&amp;col=7&amp;number=0.0217&amp;sourceID=14","0.0217")</f>
        <v>0.0217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HYPERLINK("http://141.218.60.56/~jnz1568/getInfo.php?workbook=16_08.xlsx&amp;sheet=U0&amp;row=2458&amp;col=6&amp;number=4.4&amp;sourceID=14","4.4")</f>
        <v>4.4</v>
      </c>
      <c r="G2458" s="4" t="str">
        <f>HYPERLINK("http://141.218.60.56/~jnz1568/getInfo.php?workbook=16_08.xlsx&amp;sheet=U0&amp;row=2458&amp;col=7&amp;number=0.0217&amp;sourceID=14","0.0217")</f>
        <v>0.0217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HYPERLINK("http://141.218.60.56/~jnz1568/getInfo.php?workbook=16_08.xlsx&amp;sheet=U0&amp;row=2459&amp;col=6&amp;number=4.5&amp;sourceID=14","4.5")</f>
        <v>4.5</v>
      </c>
      <c r="G2459" s="4" t="str">
        <f>HYPERLINK("http://141.218.60.56/~jnz1568/getInfo.php?workbook=16_08.xlsx&amp;sheet=U0&amp;row=2459&amp;col=7&amp;number=0.0216&amp;sourceID=14","0.0216")</f>
        <v>0.0216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HYPERLINK("http://141.218.60.56/~jnz1568/getInfo.php?workbook=16_08.xlsx&amp;sheet=U0&amp;row=2460&amp;col=6&amp;number=4.6&amp;sourceID=14","4.6")</f>
        <v>4.6</v>
      </c>
      <c r="G2460" s="4" t="str">
        <f>HYPERLINK("http://141.218.60.56/~jnz1568/getInfo.php?workbook=16_08.xlsx&amp;sheet=U0&amp;row=2460&amp;col=7&amp;number=0.0215&amp;sourceID=14","0.0215")</f>
        <v>0.0215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HYPERLINK("http://141.218.60.56/~jnz1568/getInfo.php?workbook=16_08.xlsx&amp;sheet=U0&amp;row=2461&amp;col=6&amp;number=4.7&amp;sourceID=14","4.7")</f>
        <v>4.7</v>
      </c>
      <c r="G2461" s="4" t="str">
        <f>HYPERLINK("http://141.218.60.56/~jnz1568/getInfo.php?workbook=16_08.xlsx&amp;sheet=U0&amp;row=2461&amp;col=7&amp;number=0.0214&amp;sourceID=14","0.0214")</f>
        <v>0.0214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HYPERLINK("http://141.218.60.56/~jnz1568/getInfo.php?workbook=16_08.xlsx&amp;sheet=U0&amp;row=2462&amp;col=6&amp;number=4.8&amp;sourceID=14","4.8")</f>
        <v>4.8</v>
      </c>
      <c r="G2462" s="4" t="str">
        <f>HYPERLINK("http://141.218.60.56/~jnz1568/getInfo.php?workbook=16_08.xlsx&amp;sheet=U0&amp;row=2462&amp;col=7&amp;number=0.0213&amp;sourceID=14","0.0213")</f>
        <v>0.0213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HYPERLINK("http://141.218.60.56/~jnz1568/getInfo.php?workbook=16_08.xlsx&amp;sheet=U0&amp;row=2463&amp;col=6&amp;number=4.9&amp;sourceID=14","4.9")</f>
        <v>4.9</v>
      </c>
      <c r="G2463" s="4" t="str">
        <f>HYPERLINK("http://141.218.60.56/~jnz1568/getInfo.php?workbook=16_08.xlsx&amp;sheet=U0&amp;row=2463&amp;col=7&amp;number=0.0211&amp;sourceID=14","0.0211")</f>
        <v>0.0211</v>
      </c>
    </row>
    <row r="2464" spans="1:7">
      <c r="A2464" s="3">
        <v>16</v>
      </c>
      <c r="B2464" s="3">
        <v>8</v>
      </c>
      <c r="C2464" s="3">
        <v>2</v>
      </c>
      <c r="D2464" s="3">
        <v>41</v>
      </c>
      <c r="E2464" s="3">
        <v>1</v>
      </c>
      <c r="F2464" s="4" t="str">
        <f>HYPERLINK("http://141.218.60.56/~jnz1568/getInfo.php?workbook=16_08.xlsx&amp;sheet=U0&amp;row=2464&amp;col=6&amp;number=3&amp;sourceID=14","3")</f>
        <v>3</v>
      </c>
      <c r="G2464" s="4" t="str">
        <f>HYPERLINK("http://141.218.60.56/~jnz1568/getInfo.php?workbook=16_08.xlsx&amp;sheet=U0&amp;row=2464&amp;col=7&amp;number=0.0298&amp;sourceID=14","0.0298")</f>
        <v>0.0298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HYPERLINK("http://141.218.60.56/~jnz1568/getInfo.php?workbook=16_08.xlsx&amp;sheet=U0&amp;row=2465&amp;col=6&amp;number=3.1&amp;sourceID=14","3.1")</f>
        <v>3.1</v>
      </c>
      <c r="G2465" s="4" t="str">
        <f>HYPERLINK("http://141.218.60.56/~jnz1568/getInfo.php?workbook=16_08.xlsx&amp;sheet=U0&amp;row=2465&amp;col=7&amp;number=0.0298&amp;sourceID=14","0.0298")</f>
        <v>0.0298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HYPERLINK("http://141.218.60.56/~jnz1568/getInfo.php?workbook=16_08.xlsx&amp;sheet=U0&amp;row=2466&amp;col=6&amp;number=3.2&amp;sourceID=14","3.2")</f>
        <v>3.2</v>
      </c>
      <c r="G2466" s="4" t="str">
        <f>HYPERLINK("http://141.218.60.56/~jnz1568/getInfo.php?workbook=16_08.xlsx&amp;sheet=U0&amp;row=2466&amp;col=7&amp;number=0.0298&amp;sourceID=14","0.0298")</f>
        <v>0.0298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HYPERLINK("http://141.218.60.56/~jnz1568/getInfo.php?workbook=16_08.xlsx&amp;sheet=U0&amp;row=2467&amp;col=6&amp;number=3.3&amp;sourceID=14","3.3")</f>
        <v>3.3</v>
      </c>
      <c r="G2467" s="4" t="str">
        <f>HYPERLINK("http://141.218.60.56/~jnz1568/getInfo.php?workbook=16_08.xlsx&amp;sheet=U0&amp;row=2467&amp;col=7&amp;number=0.0298&amp;sourceID=14","0.0298")</f>
        <v>0.0298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HYPERLINK("http://141.218.60.56/~jnz1568/getInfo.php?workbook=16_08.xlsx&amp;sheet=U0&amp;row=2468&amp;col=6&amp;number=3.4&amp;sourceID=14","3.4")</f>
        <v>3.4</v>
      </c>
      <c r="G2468" s="4" t="str">
        <f>HYPERLINK("http://141.218.60.56/~jnz1568/getInfo.php?workbook=16_08.xlsx&amp;sheet=U0&amp;row=2468&amp;col=7&amp;number=0.0298&amp;sourceID=14","0.0298")</f>
        <v>0.0298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HYPERLINK("http://141.218.60.56/~jnz1568/getInfo.php?workbook=16_08.xlsx&amp;sheet=U0&amp;row=2469&amp;col=6&amp;number=3.5&amp;sourceID=14","3.5")</f>
        <v>3.5</v>
      </c>
      <c r="G2469" s="4" t="str">
        <f>HYPERLINK("http://141.218.60.56/~jnz1568/getInfo.php?workbook=16_08.xlsx&amp;sheet=U0&amp;row=2469&amp;col=7&amp;number=0.0298&amp;sourceID=14","0.0298")</f>
        <v>0.0298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HYPERLINK("http://141.218.60.56/~jnz1568/getInfo.php?workbook=16_08.xlsx&amp;sheet=U0&amp;row=2470&amp;col=6&amp;number=3.6&amp;sourceID=14","3.6")</f>
        <v>3.6</v>
      </c>
      <c r="G2470" s="4" t="str">
        <f>HYPERLINK("http://141.218.60.56/~jnz1568/getInfo.php?workbook=16_08.xlsx&amp;sheet=U0&amp;row=2470&amp;col=7&amp;number=0.0298&amp;sourceID=14","0.0298")</f>
        <v>0.0298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HYPERLINK("http://141.218.60.56/~jnz1568/getInfo.php?workbook=16_08.xlsx&amp;sheet=U0&amp;row=2471&amp;col=6&amp;number=3.7&amp;sourceID=14","3.7")</f>
        <v>3.7</v>
      </c>
      <c r="G2471" s="4" t="str">
        <f>HYPERLINK("http://141.218.60.56/~jnz1568/getInfo.php?workbook=16_08.xlsx&amp;sheet=U0&amp;row=2471&amp;col=7&amp;number=0.0297&amp;sourceID=14","0.0297")</f>
        <v>0.0297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HYPERLINK("http://141.218.60.56/~jnz1568/getInfo.php?workbook=16_08.xlsx&amp;sheet=U0&amp;row=2472&amp;col=6&amp;number=3.8&amp;sourceID=14","3.8")</f>
        <v>3.8</v>
      </c>
      <c r="G2472" s="4" t="str">
        <f>HYPERLINK("http://141.218.60.56/~jnz1568/getInfo.php?workbook=16_08.xlsx&amp;sheet=U0&amp;row=2472&amp;col=7&amp;number=0.0297&amp;sourceID=14","0.0297")</f>
        <v>0.0297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HYPERLINK("http://141.218.60.56/~jnz1568/getInfo.php?workbook=16_08.xlsx&amp;sheet=U0&amp;row=2473&amp;col=6&amp;number=3.9&amp;sourceID=14","3.9")</f>
        <v>3.9</v>
      </c>
      <c r="G2473" s="4" t="str">
        <f>HYPERLINK("http://141.218.60.56/~jnz1568/getInfo.php?workbook=16_08.xlsx&amp;sheet=U0&amp;row=2473&amp;col=7&amp;number=0.0297&amp;sourceID=14","0.0297")</f>
        <v>0.0297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HYPERLINK("http://141.218.60.56/~jnz1568/getInfo.php?workbook=16_08.xlsx&amp;sheet=U0&amp;row=2474&amp;col=6&amp;number=4&amp;sourceID=14","4")</f>
        <v>4</v>
      </c>
      <c r="G2474" s="4" t="str">
        <f>HYPERLINK("http://141.218.60.56/~jnz1568/getInfo.php?workbook=16_08.xlsx&amp;sheet=U0&amp;row=2474&amp;col=7&amp;number=0.0297&amp;sourceID=14","0.0297")</f>
        <v>0.0297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HYPERLINK("http://141.218.60.56/~jnz1568/getInfo.php?workbook=16_08.xlsx&amp;sheet=U0&amp;row=2475&amp;col=6&amp;number=4.1&amp;sourceID=14","4.1")</f>
        <v>4.1</v>
      </c>
      <c r="G2475" s="4" t="str">
        <f>HYPERLINK("http://141.218.60.56/~jnz1568/getInfo.php?workbook=16_08.xlsx&amp;sheet=U0&amp;row=2475&amp;col=7&amp;number=0.0296&amp;sourceID=14","0.0296")</f>
        <v>0.0296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HYPERLINK("http://141.218.60.56/~jnz1568/getInfo.php?workbook=16_08.xlsx&amp;sheet=U0&amp;row=2476&amp;col=6&amp;number=4.2&amp;sourceID=14","4.2")</f>
        <v>4.2</v>
      </c>
      <c r="G2476" s="4" t="str">
        <f>HYPERLINK("http://141.218.60.56/~jnz1568/getInfo.php?workbook=16_08.xlsx&amp;sheet=U0&amp;row=2476&amp;col=7&amp;number=0.0296&amp;sourceID=14","0.0296")</f>
        <v>0.0296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HYPERLINK("http://141.218.60.56/~jnz1568/getInfo.php?workbook=16_08.xlsx&amp;sheet=U0&amp;row=2477&amp;col=6&amp;number=4.3&amp;sourceID=14","4.3")</f>
        <v>4.3</v>
      </c>
      <c r="G2477" s="4" t="str">
        <f>HYPERLINK("http://141.218.60.56/~jnz1568/getInfo.php?workbook=16_08.xlsx&amp;sheet=U0&amp;row=2477&amp;col=7&amp;number=0.0295&amp;sourceID=14","0.0295")</f>
        <v>0.0295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HYPERLINK("http://141.218.60.56/~jnz1568/getInfo.php?workbook=16_08.xlsx&amp;sheet=U0&amp;row=2478&amp;col=6&amp;number=4.4&amp;sourceID=14","4.4")</f>
        <v>4.4</v>
      </c>
      <c r="G2478" s="4" t="str">
        <f>HYPERLINK("http://141.218.60.56/~jnz1568/getInfo.php?workbook=16_08.xlsx&amp;sheet=U0&amp;row=2478&amp;col=7&amp;number=0.0294&amp;sourceID=14","0.0294")</f>
        <v>0.0294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HYPERLINK("http://141.218.60.56/~jnz1568/getInfo.php?workbook=16_08.xlsx&amp;sheet=U0&amp;row=2479&amp;col=6&amp;number=4.5&amp;sourceID=14","4.5")</f>
        <v>4.5</v>
      </c>
      <c r="G2479" s="4" t="str">
        <f>HYPERLINK("http://141.218.60.56/~jnz1568/getInfo.php?workbook=16_08.xlsx&amp;sheet=U0&amp;row=2479&amp;col=7&amp;number=0.0293&amp;sourceID=14","0.0293")</f>
        <v>0.0293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HYPERLINK("http://141.218.60.56/~jnz1568/getInfo.php?workbook=16_08.xlsx&amp;sheet=U0&amp;row=2480&amp;col=6&amp;number=4.6&amp;sourceID=14","4.6")</f>
        <v>4.6</v>
      </c>
      <c r="G2480" s="4" t="str">
        <f>HYPERLINK("http://141.218.60.56/~jnz1568/getInfo.php?workbook=16_08.xlsx&amp;sheet=U0&amp;row=2480&amp;col=7&amp;number=0.0292&amp;sourceID=14","0.0292")</f>
        <v>0.0292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HYPERLINK("http://141.218.60.56/~jnz1568/getInfo.php?workbook=16_08.xlsx&amp;sheet=U0&amp;row=2481&amp;col=6&amp;number=4.7&amp;sourceID=14","4.7")</f>
        <v>4.7</v>
      </c>
      <c r="G2481" s="4" t="str">
        <f>HYPERLINK("http://141.218.60.56/~jnz1568/getInfo.php?workbook=16_08.xlsx&amp;sheet=U0&amp;row=2481&amp;col=7&amp;number=0.029&amp;sourceID=14","0.029")</f>
        <v>0.029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HYPERLINK("http://141.218.60.56/~jnz1568/getInfo.php?workbook=16_08.xlsx&amp;sheet=U0&amp;row=2482&amp;col=6&amp;number=4.8&amp;sourceID=14","4.8")</f>
        <v>4.8</v>
      </c>
      <c r="G2482" s="4" t="str">
        <f>HYPERLINK("http://141.218.60.56/~jnz1568/getInfo.php?workbook=16_08.xlsx&amp;sheet=U0&amp;row=2482&amp;col=7&amp;number=0.0288&amp;sourceID=14","0.0288")</f>
        <v>0.0288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HYPERLINK("http://141.218.60.56/~jnz1568/getInfo.php?workbook=16_08.xlsx&amp;sheet=U0&amp;row=2483&amp;col=6&amp;number=4.9&amp;sourceID=14","4.9")</f>
        <v>4.9</v>
      </c>
      <c r="G2483" s="4" t="str">
        <f>HYPERLINK("http://141.218.60.56/~jnz1568/getInfo.php?workbook=16_08.xlsx&amp;sheet=U0&amp;row=2483&amp;col=7&amp;number=0.0286&amp;sourceID=14","0.0286")</f>
        <v>0.0286</v>
      </c>
    </row>
    <row r="2484" spans="1:7">
      <c r="A2484" s="3">
        <v>16</v>
      </c>
      <c r="B2484" s="3">
        <v>8</v>
      </c>
      <c r="C2484" s="3">
        <v>2</v>
      </c>
      <c r="D2484" s="3">
        <v>42</v>
      </c>
      <c r="E2484" s="3">
        <v>1</v>
      </c>
      <c r="F2484" s="4" t="str">
        <f>HYPERLINK("http://141.218.60.56/~jnz1568/getInfo.php?workbook=16_08.xlsx&amp;sheet=U0&amp;row=2484&amp;col=6&amp;number=3&amp;sourceID=14","3")</f>
        <v>3</v>
      </c>
      <c r="G2484" s="4" t="str">
        <f>HYPERLINK("http://141.218.60.56/~jnz1568/getInfo.php?workbook=16_08.xlsx&amp;sheet=U0&amp;row=2484&amp;col=7&amp;number=0.0254&amp;sourceID=14","0.0254")</f>
        <v>0.0254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HYPERLINK("http://141.218.60.56/~jnz1568/getInfo.php?workbook=16_08.xlsx&amp;sheet=U0&amp;row=2485&amp;col=6&amp;number=3.1&amp;sourceID=14","3.1")</f>
        <v>3.1</v>
      </c>
      <c r="G2485" s="4" t="str">
        <f>HYPERLINK("http://141.218.60.56/~jnz1568/getInfo.php?workbook=16_08.xlsx&amp;sheet=U0&amp;row=2485&amp;col=7&amp;number=0.0254&amp;sourceID=14","0.0254")</f>
        <v>0.0254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HYPERLINK("http://141.218.60.56/~jnz1568/getInfo.php?workbook=16_08.xlsx&amp;sheet=U0&amp;row=2486&amp;col=6&amp;number=3.2&amp;sourceID=14","3.2")</f>
        <v>3.2</v>
      </c>
      <c r="G2486" s="4" t="str">
        <f>HYPERLINK("http://141.218.60.56/~jnz1568/getInfo.php?workbook=16_08.xlsx&amp;sheet=U0&amp;row=2486&amp;col=7&amp;number=0.0254&amp;sourceID=14","0.0254")</f>
        <v>0.0254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HYPERLINK("http://141.218.60.56/~jnz1568/getInfo.php?workbook=16_08.xlsx&amp;sheet=U0&amp;row=2487&amp;col=6&amp;number=3.3&amp;sourceID=14","3.3")</f>
        <v>3.3</v>
      </c>
      <c r="G2487" s="4" t="str">
        <f>HYPERLINK("http://141.218.60.56/~jnz1568/getInfo.php?workbook=16_08.xlsx&amp;sheet=U0&amp;row=2487&amp;col=7&amp;number=0.0254&amp;sourceID=14","0.0254")</f>
        <v>0.0254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HYPERLINK("http://141.218.60.56/~jnz1568/getInfo.php?workbook=16_08.xlsx&amp;sheet=U0&amp;row=2488&amp;col=6&amp;number=3.4&amp;sourceID=14","3.4")</f>
        <v>3.4</v>
      </c>
      <c r="G2488" s="4" t="str">
        <f>HYPERLINK("http://141.218.60.56/~jnz1568/getInfo.php?workbook=16_08.xlsx&amp;sheet=U0&amp;row=2488&amp;col=7&amp;number=0.0254&amp;sourceID=14","0.0254")</f>
        <v>0.0254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HYPERLINK("http://141.218.60.56/~jnz1568/getInfo.php?workbook=16_08.xlsx&amp;sheet=U0&amp;row=2489&amp;col=6&amp;number=3.5&amp;sourceID=14","3.5")</f>
        <v>3.5</v>
      </c>
      <c r="G2489" s="4" t="str">
        <f>HYPERLINK("http://141.218.60.56/~jnz1568/getInfo.php?workbook=16_08.xlsx&amp;sheet=U0&amp;row=2489&amp;col=7&amp;number=0.0254&amp;sourceID=14","0.0254")</f>
        <v>0.0254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HYPERLINK("http://141.218.60.56/~jnz1568/getInfo.php?workbook=16_08.xlsx&amp;sheet=U0&amp;row=2490&amp;col=6&amp;number=3.6&amp;sourceID=14","3.6")</f>
        <v>3.6</v>
      </c>
      <c r="G2490" s="4" t="str">
        <f>HYPERLINK("http://141.218.60.56/~jnz1568/getInfo.php?workbook=16_08.xlsx&amp;sheet=U0&amp;row=2490&amp;col=7&amp;number=0.0254&amp;sourceID=14","0.0254")</f>
        <v>0.0254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HYPERLINK("http://141.218.60.56/~jnz1568/getInfo.php?workbook=16_08.xlsx&amp;sheet=U0&amp;row=2491&amp;col=6&amp;number=3.7&amp;sourceID=14","3.7")</f>
        <v>3.7</v>
      </c>
      <c r="G2491" s="4" t="str">
        <f>HYPERLINK("http://141.218.60.56/~jnz1568/getInfo.php?workbook=16_08.xlsx&amp;sheet=U0&amp;row=2491&amp;col=7&amp;number=0.0254&amp;sourceID=14","0.0254")</f>
        <v>0.0254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HYPERLINK("http://141.218.60.56/~jnz1568/getInfo.php?workbook=16_08.xlsx&amp;sheet=U0&amp;row=2492&amp;col=6&amp;number=3.8&amp;sourceID=14","3.8")</f>
        <v>3.8</v>
      </c>
      <c r="G2492" s="4" t="str">
        <f>HYPERLINK("http://141.218.60.56/~jnz1568/getInfo.php?workbook=16_08.xlsx&amp;sheet=U0&amp;row=2492&amp;col=7&amp;number=0.0253&amp;sourceID=14","0.0253")</f>
        <v>0.0253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HYPERLINK("http://141.218.60.56/~jnz1568/getInfo.php?workbook=16_08.xlsx&amp;sheet=U0&amp;row=2493&amp;col=6&amp;number=3.9&amp;sourceID=14","3.9")</f>
        <v>3.9</v>
      </c>
      <c r="G2493" s="4" t="str">
        <f>HYPERLINK("http://141.218.60.56/~jnz1568/getInfo.php?workbook=16_08.xlsx&amp;sheet=U0&amp;row=2493&amp;col=7&amp;number=0.0253&amp;sourceID=14","0.0253")</f>
        <v>0.0253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HYPERLINK("http://141.218.60.56/~jnz1568/getInfo.php?workbook=16_08.xlsx&amp;sheet=U0&amp;row=2494&amp;col=6&amp;number=4&amp;sourceID=14","4")</f>
        <v>4</v>
      </c>
      <c r="G2494" s="4" t="str">
        <f>HYPERLINK("http://141.218.60.56/~jnz1568/getInfo.php?workbook=16_08.xlsx&amp;sheet=U0&amp;row=2494&amp;col=7&amp;number=0.0253&amp;sourceID=14","0.0253")</f>
        <v>0.0253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HYPERLINK("http://141.218.60.56/~jnz1568/getInfo.php?workbook=16_08.xlsx&amp;sheet=U0&amp;row=2495&amp;col=6&amp;number=4.1&amp;sourceID=14","4.1")</f>
        <v>4.1</v>
      </c>
      <c r="G2495" s="4" t="str">
        <f>HYPERLINK("http://141.218.60.56/~jnz1568/getInfo.php?workbook=16_08.xlsx&amp;sheet=U0&amp;row=2495&amp;col=7&amp;number=0.0253&amp;sourceID=14","0.0253")</f>
        <v>0.0253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HYPERLINK("http://141.218.60.56/~jnz1568/getInfo.php?workbook=16_08.xlsx&amp;sheet=U0&amp;row=2496&amp;col=6&amp;number=4.2&amp;sourceID=14","4.2")</f>
        <v>4.2</v>
      </c>
      <c r="G2496" s="4" t="str">
        <f>HYPERLINK("http://141.218.60.56/~jnz1568/getInfo.php?workbook=16_08.xlsx&amp;sheet=U0&amp;row=2496&amp;col=7&amp;number=0.0252&amp;sourceID=14","0.0252")</f>
        <v>0.0252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HYPERLINK("http://141.218.60.56/~jnz1568/getInfo.php?workbook=16_08.xlsx&amp;sheet=U0&amp;row=2497&amp;col=6&amp;number=4.3&amp;sourceID=14","4.3")</f>
        <v>4.3</v>
      </c>
      <c r="G2497" s="4" t="str">
        <f>HYPERLINK("http://141.218.60.56/~jnz1568/getInfo.php?workbook=16_08.xlsx&amp;sheet=U0&amp;row=2497&amp;col=7&amp;number=0.0252&amp;sourceID=14","0.0252")</f>
        <v>0.0252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HYPERLINK("http://141.218.60.56/~jnz1568/getInfo.php?workbook=16_08.xlsx&amp;sheet=U0&amp;row=2498&amp;col=6&amp;number=4.4&amp;sourceID=14","4.4")</f>
        <v>4.4</v>
      </c>
      <c r="G2498" s="4" t="str">
        <f>HYPERLINK("http://141.218.60.56/~jnz1568/getInfo.php?workbook=16_08.xlsx&amp;sheet=U0&amp;row=2498&amp;col=7&amp;number=0.0251&amp;sourceID=14","0.0251")</f>
        <v>0.0251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HYPERLINK("http://141.218.60.56/~jnz1568/getInfo.php?workbook=16_08.xlsx&amp;sheet=U0&amp;row=2499&amp;col=6&amp;number=4.5&amp;sourceID=14","4.5")</f>
        <v>4.5</v>
      </c>
      <c r="G2499" s="4" t="str">
        <f>HYPERLINK("http://141.218.60.56/~jnz1568/getInfo.php?workbook=16_08.xlsx&amp;sheet=U0&amp;row=2499&amp;col=7&amp;number=0.025&amp;sourceID=14","0.025")</f>
        <v>0.025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HYPERLINK("http://141.218.60.56/~jnz1568/getInfo.php?workbook=16_08.xlsx&amp;sheet=U0&amp;row=2500&amp;col=6&amp;number=4.6&amp;sourceID=14","4.6")</f>
        <v>4.6</v>
      </c>
      <c r="G2500" s="4" t="str">
        <f>HYPERLINK("http://141.218.60.56/~jnz1568/getInfo.php?workbook=16_08.xlsx&amp;sheet=U0&amp;row=2500&amp;col=7&amp;number=0.0249&amp;sourceID=14","0.0249")</f>
        <v>0.0249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HYPERLINK("http://141.218.60.56/~jnz1568/getInfo.php?workbook=16_08.xlsx&amp;sheet=U0&amp;row=2501&amp;col=6&amp;number=4.7&amp;sourceID=14","4.7")</f>
        <v>4.7</v>
      </c>
      <c r="G2501" s="4" t="str">
        <f>HYPERLINK("http://141.218.60.56/~jnz1568/getInfo.php?workbook=16_08.xlsx&amp;sheet=U0&amp;row=2501&amp;col=7&amp;number=0.0247&amp;sourceID=14","0.0247")</f>
        <v>0.0247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HYPERLINK("http://141.218.60.56/~jnz1568/getInfo.php?workbook=16_08.xlsx&amp;sheet=U0&amp;row=2502&amp;col=6&amp;number=4.8&amp;sourceID=14","4.8")</f>
        <v>4.8</v>
      </c>
      <c r="G2502" s="4" t="str">
        <f>HYPERLINK("http://141.218.60.56/~jnz1568/getInfo.php?workbook=16_08.xlsx&amp;sheet=U0&amp;row=2502&amp;col=7&amp;number=0.0246&amp;sourceID=14","0.0246")</f>
        <v>0.0246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HYPERLINK("http://141.218.60.56/~jnz1568/getInfo.php?workbook=16_08.xlsx&amp;sheet=U0&amp;row=2503&amp;col=6&amp;number=4.9&amp;sourceID=14","4.9")</f>
        <v>4.9</v>
      </c>
      <c r="G2503" s="4" t="str">
        <f>HYPERLINK("http://141.218.60.56/~jnz1568/getInfo.php?workbook=16_08.xlsx&amp;sheet=U0&amp;row=2503&amp;col=7&amp;number=0.0243&amp;sourceID=14","0.0243")</f>
        <v>0.0243</v>
      </c>
    </row>
    <row r="2504" spans="1:7">
      <c r="A2504" s="3">
        <v>16</v>
      </c>
      <c r="B2504" s="3">
        <v>8</v>
      </c>
      <c r="C2504" s="3">
        <v>2</v>
      </c>
      <c r="D2504" s="3">
        <v>43</v>
      </c>
      <c r="E2504" s="3">
        <v>1</v>
      </c>
      <c r="F2504" s="4" t="str">
        <f>HYPERLINK("http://141.218.60.56/~jnz1568/getInfo.php?workbook=16_08.xlsx&amp;sheet=U0&amp;row=2504&amp;col=6&amp;number=3&amp;sourceID=14","3")</f>
        <v>3</v>
      </c>
      <c r="G2504" s="4" t="str">
        <f>HYPERLINK("http://141.218.60.56/~jnz1568/getInfo.php?workbook=16_08.xlsx&amp;sheet=U0&amp;row=2504&amp;col=7&amp;number=0.0127&amp;sourceID=14","0.0127")</f>
        <v>0.0127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HYPERLINK("http://141.218.60.56/~jnz1568/getInfo.php?workbook=16_08.xlsx&amp;sheet=U0&amp;row=2505&amp;col=6&amp;number=3.1&amp;sourceID=14","3.1")</f>
        <v>3.1</v>
      </c>
      <c r="G2505" s="4" t="str">
        <f>HYPERLINK("http://141.218.60.56/~jnz1568/getInfo.php?workbook=16_08.xlsx&amp;sheet=U0&amp;row=2505&amp;col=7&amp;number=0.0127&amp;sourceID=14","0.0127")</f>
        <v>0.0127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HYPERLINK("http://141.218.60.56/~jnz1568/getInfo.php?workbook=16_08.xlsx&amp;sheet=U0&amp;row=2506&amp;col=6&amp;number=3.2&amp;sourceID=14","3.2")</f>
        <v>3.2</v>
      </c>
      <c r="G2506" s="4" t="str">
        <f>HYPERLINK("http://141.218.60.56/~jnz1568/getInfo.php?workbook=16_08.xlsx&amp;sheet=U0&amp;row=2506&amp;col=7&amp;number=0.0127&amp;sourceID=14","0.0127")</f>
        <v>0.0127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HYPERLINK("http://141.218.60.56/~jnz1568/getInfo.php?workbook=16_08.xlsx&amp;sheet=U0&amp;row=2507&amp;col=6&amp;number=3.3&amp;sourceID=14","3.3")</f>
        <v>3.3</v>
      </c>
      <c r="G2507" s="4" t="str">
        <f>HYPERLINK("http://141.218.60.56/~jnz1568/getInfo.php?workbook=16_08.xlsx&amp;sheet=U0&amp;row=2507&amp;col=7&amp;number=0.0127&amp;sourceID=14","0.0127")</f>
        <v>0.0127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HYPERLINK("http://141.218.60.56/~jnz1568/getInfo.php?workbook=16_08.xlsx&amp;sheet=U0&amp;row=2508&amp;col=6&amp;number=3.4&amp;sourceID=14","3.4")</f>
        <v>3.4</v>
      </c>
      <c r="G2508" s="4" t="str">
        <f>HYPERLINK("http://141.218.60.56/~jnz1568/getInfo.php?workbook=16_08.xlsx&amp;sheet=U0&amp;row=2508&amp;col=7&amp;number=0.0127&amp;sourceID=14","0.0127")</f>
        <v>0.0127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HYPERLINK("http://141.218.60.56/~jnz1568/getInfo.php?workbook=16_08.xlsx&amp;sheet=U0&amp;row=2509&amp;col=6&amp;number=3.5&amp;sourceID=14","3.5")</f>
        <v>3.5</v>
      </c>
      <c r="G2509" s="4" t="str">
        <f>HYPERLINK("http://141.218.60.56/~jnz1568/getInfo.php?workbook=16_08.xlsx&amp;sheet=U0&amp;row=2509&amp;col=7&amp;number=0.0127&amp;sourceID=14","0.0127")</f>
        <v>0.0127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HYPERLINK("http://141.218.60.56/~jnz1568/getInfo.php?workbook=16_08.xlsx&amp;sheet=U0&amp;row=2510&amp;col=6&amp;number=3.6&amp;sourceID=14","3.6")</f>
        <v>3.6</v>
      </c>
      <c r="G2510" s="4" t="str">
        <f>HYPERLINK("http://141.218.60.56/~jnz1568/getInfo.php?workbook=16_08.xlsx&amp;sheet=U0&amp;row=2510&amp;col=7&amp;number=0.0127&amp;sourceID=14","0.0127")</f>
        <v>0.0127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HYPERLINK("http://141.218.60.56/~jnz1568/getInfo.php?workbook=16_08.xlsx&amp;sheet=U0&amp;row=2511&amp;col=6&amp;number=3.7&amp;sourceID=14","3.7")</f>
        <v>3.7</v>
      </c>
      <c r="G2511" s="4" t="str">
        <f>HYPERLINK("http://141.218.60.56/~jnz1568/getInfo.php?workbook=16_08.xlsx&amp;sheet=U0&amp;row=2511&amp;col=7&amp;number=0.0127&amp;sourceID=14","0.0127")</f>
        <v>0.0127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HYPERLINK("http://141.218.60.56/~jnz1568/getInfo.php?workbook=16_08.xlsx&amp;sheet=U0&amp;row=2512&amp;col=6&amp;number=3.8&amp;sourceID=14","3.8")</f>
        <v>3.8</v>
      </c>
      <c r="G2512" s="4" t="str">
        <f>HYPERLINK("http://141.218.60.56/~jnz1568/getInfo.php?workbook=16_08.xlsx&amp;sheet=U0&amp;row=2512&amp;col=7&amp;number=0.0127&amp;sourceID=14","0.0127")</f>
        <v>0.0127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HYPERLINK("http://141.218.60.56/~jnz1568/getInfo.php?workbook=16_08.xlsx&amp;sheet=U0&amp;row=2513&amp;col=6&amp;number=3.9&amp;sourceID=14","3.9")</f>
        <v>3.9</v>
      </c>
      <c r="G2513" s="4" t="str">
        <f>HYPERLINK("http://141.218.60.56/~jnz1568/getInfo.php?workbook=16_08.xlsx&amp;sheet=U0&amp;row=2513&amp;col=7&amp;number=0.0127&amp;sourceID=14","0.0127")</f>
        <v>0.0127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HYPERLINK("http://141.218.60.56/~jnz1568/getInfo.php?workbook=16_08.xlsx&amp;sheet=U0&amp;row=2514&amp;col=6&amp;number=4&amp;sourceID=14","4")</f>
        <v>4</v>
      </c>
      <c r="G2514" s="4" t="str">
        <f>HYPERLINK("http://141.218.60.56/~jnz1568/getInfo.php?workbook=16_08.xlsx&amp;sheet=U0&amp;row=2514&amp;col=7&amp;number=0.0127&amp;sourceID=14","0.0127")</f>
        <v>0.0127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HYPERLINK("http://141.218.60.56/~jnz1568/getInfo.php?workbook=16_08.xlsx&amp;sheet=U0&amp;row=2515&amp;col=6&amp;number=4.1&amp;sourceID=14","4.1")</f>
        <v>4.1</v>
      </c>
      <c r="G2515" s="4" t="str">
        <f>HYPERLINK("http://141.218.60.56/~jnz1568/getInfo.php?workbook=16_08.xlsx&amp;sheet=U0&amp;row=2515&amp;col=7&amp;number=0.0127&amp;sourceID=14","0.0127")</f>
        <v>0.0127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HYPERLINK("http://141.218.60.56/~jnz1568/getInfo.php?workbook=16_08.xlsx&amp;sheet=U0&amp;row=2516&amp;col=6&amp;number=4.2&amp;sourceID=14","4.2")</f>
        <v>4.2</v>
      </c>
      <c r="G2516" s="4" t="str">
        <f>HYPERLINK("http://141.218.60.56/~jnz1568/getInfo.php?workbook=16_08.xlsx&amp;sheet=U0&amp;row=2516&amp;col=7&amp;number=0.0127&amp;sourceID=14","0.0127")</f>
        <v>0.0127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HYPERLINK("http://141.218.60.56/~jnz1568/getInfo.php?workbook=16_08.xlsx&amp;sheet=U0&amp;row=2517&amp;col=6&amp;number=4.3&amp;sourceID=14","4.3")</f>
        <v>4.3</v>
      </c>
      <c r="G2517" s="4" t="str">
        <f>HYPERLINK("http://141.218.60.56/~jnz1568/getInfo.php?workbook=16_08.xlsx&amp;sheet=U0&amp;row=2517&amp;col=7&amp;number=0.0127&amp;sourceID=14","0.0127")</f>
        <v>0.0127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HYPERLINK("http://141.218.60.56/~jnz1568/getInfo.php?workbook=16_08.xlsx&amp;sheet=U0&amp;row=2518&amp;col=6&amp;number=4.4&amp;sourceID=14","4.4")</f>
        <v>4.4</v>
      </c>
      <c r="G2518" s="4" t="str">
        <f>HYPERLINK("http://141.218.60.56/~jnz1568/getInfo.php?workbook=16_08.xlsx&amp;sheet=U0&amp;row=2518&amp;col=7&amp;number=0.0127&amp;sourceID=14","0.0127")</f>
        <v>0.0127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HYPERLINK("http://141.218.60.56/~jnz1568/getInfo.php?workbook=16_08.xlsx&amp;sheet=U0&amp;row=2519&amp;col=6&amp;number=4.5&amp;sourceID=14","4.5")</f>
        <v>4.5</v>
      </c>
      <c r="G2519" s="4" t="str">
        <f>HYPERLINK("http://141.218.60.56/~jnz1568/getInfo.php?workbook=16_08.xlsx&amp;sheet=U0&amp;row=2519&amp;col=7&amp;number=0.0127&amp;sourceID=14","0.0127")</f>
        <v>0.0127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HYPERLINK("http://141.218.60.56/~jnz1568/getInfo.php?workbook=16_08.xlsx&amp;sheet=U0&amp;row=2520&amp;col=6&amp;number=4.6&amp;sourceID=14","4.6")</f>
        <v>4.6</v>
      </c>
      <c r="G2520" s="4" t="str">
        <f>HYPERLINK("http://141.218.60.56/~jnz1568/getInfo.php?workbook=16_08.xlsx&amp;sheet=U0&amp;row=2520&amp;col=7&amp;number=0.0127&amp;sourceID=14","0.0127")</f>
        <v>0.0127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HYPERLINK("http://141.218.60.56/~jnz1568/getInfo.php?workbook=16_08.xlsx&amp;sheet=U0&amp;row=2521&amp;col=6&amp;number=4.7&amp;sourceID=14","4.7")</f>
        <v>4.7</v>
      </c>
      <c r="G2521" s="4" t="str">
        <f>HYPERLINK("http://141.218.60.56/~jnz1568/getInfo.php?workbook=16_08.xlsx&amp;sheet=U0&amp;row=2521&amp;col=7&amp;number=0.0127&amp;sourceID=14","0.0127")</f>
        <v>0.0127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HYPERLINK("http://141.218.60.56/~jnz1568/getInfo.php?workbook=16_08.xlsx&amp;sheet=U0&amp;row=2522&amp;col=6&amp;number=4.8&amp;sourceID=14","4.8")</f>
        <v>4.8</v>
      </c>
      <c r="G2522" s="4" t="str">
        <f>HYPERLINK("http://141.218.60.56/~jnz1568/getInfo.php?workbook=16_08.xlsx&amp;sheet=U0&amp;row=2522&amp;col=7&amp;number=0.0127&amp;sourceID=14","0.0127")</f>
        <v>0.0127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HYPERLINK("http://141.218.60.56/~jnz1568/getInfo.php?workbook=16_08.xlsx&amp;sheet=U0&amp;row=2523&amp;col=6&amp;number=4.9&amp;sourceID=14","4.9")</f>
        <v>4.9</v>
      </c>
      <c r="G2523" s="4" t="str">
        <f>HYPERLINK("http://141.218.60.56/~jnz1568/getInfo.php?workbook=16_08.xlsx&amp;sheet=U0&amp;row=2523&amp;col=7&amp;number=0.0127&amp;sourceID=14","0.0127")</f>
        <v>0.0127</v>
      </c>
    </row>
    <row r="2524" spans="1:7">
      <c r="A2524" s="3">
        <v>16</v>
      </c>
      <c r="B2524" s="3">
        <v>8</v>
      </c>
      <c r="C2524" s="3">
        <v>2</v>
      </c>
      <c r="D2524" s="3">
        <v>44</v>
      </c>
      <c r="E2524" s="3">
        <v>1</v>
      </c>
      <c r="F2524" s="4" t="str">
        <f>HYPERLINK("http://141.218.60.56/~jnz1568/getInfo.php?workbook=16_08.xlsx&amp;sheet=U0&amp;row=2524&amp;col=6&amp;number=3&amp;sourceID=14","3")</f>
        <v>3</v>
      </c>
      <c r="G2524" s="4" t="str">
        <f>HYPERLINK("http://141.218.60.56/~jnz1568/getInfo.php?workbook=16_08.xlsx&amp;sheet=U0&amp;row=2524&amp;col=7&amp;number=0.00365&amp;sourceID=14","0.00365")</f>
        <v>0.00365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HYPERLINK("http://141.218.60.56/~jnz1568/getInfo.php?workbook=16_08.xlsx&amp;sheet=U0&amp;row=2525&amp;col=6&amp;number=3.1&amp;sourceID=14","3.1")</f>
        <v>3.1</v>
      </c>
      <c r="G2525" s="4" t="str">
        <f>HYPERLINK("http://141.218.60.56/~jnz1568/getInfo.php?workbook=16_08.xlsx&amp;sheet=U0&amp;row=2525&amp;col=7&amp;number=0.00365&amp;sourceID=14","0.00365")</f>
        <v>0.00365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HYPERLINK("http://141.218.60.56/~jnz1568/getInfo.php?workbook=16_08.xlsx&amp;sheet=U0&amp;row=2526&amp;col=6&amp;number=3.2&amp;sourceID=14","3.2")</f>
        <v>3.2</v>
      </c>
      <c r="G2526" s="4" t="str">
        <f>HYPERLINK("http://141.218.60.56/~jnz1568/getInfo.php?workbook=16_08.xlsx&amp;sheet=U0&amp;row=2526&amp;col=7&amp;number=0.00365&amp;sourceID=14","0.00365")</f>
        <v>0.00365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HYPERLINK("http://141.218.60.56/~jnz1568/getInfo.php?workbook=16_08.xlsx&amp;sheet=U0&amp;row=2527&amp;col=6&amp;number=3.3&amp;sourceID=14","3.3")</f>
        <v>3.3</v>
      </c>
      <c r="G2527" s="4" t="str">
        <f>HYPERLINK("http://141.218.60.56/~jnz1568/getInfo.php?workbook=16_08.xlsx&amp;sheet=U0&amp;row=2527&amp;col=7&amp;number=0.00365&amp;sourceID=14","0.00365")</f>
        <v>0.00365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HYPERLINK("http://141.218.60.56/~jnz1568/getInfo.php?workbook=16_08.xlsx&amp;sheet=U0&amp;row=2528&amp;col=6&amp;number=3.4&amp;sourceID=14","3.4")</f>
        <v>3.4</v>
      </c>
      <c r="G2528" s="4" t="str">
        <f>HYPERLINK("http://141.218.60.56/~jnz1568/getInfo.php?workbook=16_08.xlsx&amp;sheet=U0&amp;row=2528&amp;col=7&amp;number=0.00365&amp;sourceID=14","0.00365")</f>
        <v>0.00365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HYPERLINK("http://141.218.60.56/~jnz1568/getInfo.php?workbook=16_08.xlsx&amp;sheet=U0&amp;row=2529&amp;col=6&amp;number=3.5&amp;sourceID=14","3.5")</f>
        <v>3.5</v>
      </c>
      <c r="G2529" s="4" t="str">
        <f>HYPERLINK("http://141.218.60.56/~jnz1568/getInfo.php?workbook=16_08.xlsx&amp;sheet=U0&amp;row=2529&amp;col=7&amp;number=0.00365&amp;sourceID=14","0.00365")</f>
        <v>0.00365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HYPERLINK("http://141.218.60.56/~jnz1568/getInfo.php?workbook=16_08.xlsx&amp;sheet=U0&amp;row=2530&amp;col=6&amp;number=3.6&amp;sourceID=14","3.6")</f>
        <v>3.6</v>
      </c>
      <c r="G2530" s="4" t="str">
        <f>HYPERLINK("http://141.218.60.56/~jnz1568/getInfo.php?workbook=16_08.xlsx&amp;sheet=U0&amp;row=2530&amp;col=7&amp;number=0.00365&amp;sourceID=14","0.00365")</f>
        <v>0.00365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HYPERLINK("http://141.218.60.56/~jnz1568/getInfo.php?workbook=16_08.xlsx&amp;sheet=U0&amp;row=2531&amp;col=6&amp;number=3.7&amp;sourceID=14","3.7")</f>
        <v>3.7</v>
      </c>
      <c r="G2531" s="4" t="str">
        <f>HYPERLINK("http://141.218.60.56/~jnz1568/getInfo.php?workbook=16_08.xlsx&amp;sheet=U0&amp;row=2531&amp;col=7&amp;number=0.00365&amp;sourceID=14","0.00365")</f>
        <v>0.00365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HYPERLINK("http://141.218.60.56/~jnz1568/getInfo.php?workbook=16_08.xlsx&amp;sheet=U0&amp;row=2532&amp;col=6&amp;number=3.8&amp;sourceID=14","3.8")</f>
        <v>3.8</v>
      </c>
      <c r="G2532" s="4" t="str">
        <f>HYPERLINK("http://141.218.60.56/~jnz1568/getInfo.php?workbook=16_08.xlsx&amp;sheet=U0&amp;row=2532&amp;col=7&amp;number=0.00365&amp;sourceID=14","0.00365")</f>
        <v>0.00365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HYPERLINK("http://141.218.60.56/~jnz1568/getInfo.php?workbook=16_08.xlsx&amp;sheet=U0&amp;row=2533&amp;col=6&amp;number=3.9&amp;sourceID=14","3.9")</f>
        <v>3.9</v>
      </c>
      <c r="G2533" s="4" t="str">
        <f>HYPERLINK("http://141.218.60.56/~jnz1568/getInfo.php?workbook=16_08.xlsx&amp;sheet=U0&amp;row=2533&amp;col=7&amp;number=0.00364&amp;sourceID=14","0.00364")</f>
        <v>0.00364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HYPERLINK("http://141.218.60.56/~jnz1568/getInfo.php?workbook=16_08.xlsx&amp;sheet=U0&amp;row=2534&amp;col=6&amp;number=4&amp;sourceID=14","4")</f>
        <v>4</v>
      </c>
      <c r="G2534" s="4" t="str">
        <f>HYPERLINK("http://141.218.60.56/~jnz1568/getInfo.php?workbook=16_08.xlsx&amp;sheet=U0&amp;row=2534&amp;col=7&amp;number=0.00364&amp;sourceID=14","0.00364")</f>
        <v>0.00364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HYPERLINK("http://141.218.60.56/~jnz1568/getInfo.php?workbook=16_08.xlsx&amp;sheet=U0&amp;row=2535&amp;col=6&amp;number=4.1&amp;sourceID=14","4.1")</f>
        <v>4.1</v>
      </c>
      <c r="G2535" s="4" t="str">
        <f>HYPERLINK("http://141.218.60.56/~jnz1568/getInfo.php?workbook=16_08.xlsx&amp;sheet=U0&amp;row=2535&amp;col=7&amp;number=0.00364&amp;sourceID=14","0.00364")</f>
        <v>0.00364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HYPERLINK("http://141.218.60.56/~jnz1568/getInfo.php?workbook=16_08.xlsx&amp;sheet=U0&amp;row=2536&amp;col=6&amp;number=4.2&amp;sourceID=14","4.2")</f>
        <v>4.2</v>
      </c>
      <c r="G2536" s="4" t="str">
        <f>HYPERLINK("http://141.218.60.56/~jnz1568/getInfo.php?workbook=16_08.xlsx&amp;sheet=U0&amp;row=2536&amp;col=7&amp;number=0.00364&amp;sourceID=14","0.00364")</f>
        <v>0.00364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HYPERLINK("http://141.218.60.56/~jnz1568/getInfo.php?workbook=16_08.xlsx&amp;sheet=U0&amp;row=2537&amp;col=6&amp;number=4.3&amp;sourceID=14","4.3")</f>
        <v>4.3</v>
      </c>
      <c r="G2537" s="4" t="str">
        <f>HYPERLINK("http://141.218.60.56/~jnz1568/getInfo.php?workbook=16_08.xlsx&amp;sheet=U0&amp;row=2537&amp;col=7&amp;number=0.00364&amp;sourceID=14","0.00364")</f>
        <v>0.00364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HYPERLINK("http://141.218.60.56/~jnz1568/getInfo.php?workbook=16_08.xlsx&amp;sheet=U0&amp;row=2538&amp;col=6&amp;number=4.4&amp;sourceID=14","4.4")</f>
        <v>4.4</v>
      </c>
      <c r="G2538" s="4" t="str">
        <f>HYPERLINK("http://141.218.60.56/~jnz1568/getInfo.php?workbook=16_08.xlsx&amp;sheet=U0&amp;row=2538&amp;col=7&amp;number=0.00363&amp;sourceID=14","0.00363")</f>
        <v>0.00363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HYPERLINK("http://141.218.60.56/~jnz1568/getInfo.php?workbook=16_08.xlsx&amp;sheet=U0&amp;row=2539&amp;col=6&amp;number=4.5&amp;sourceID=14","4.5")</f>
        <v>4.5</v>
      </c>
      <c r="G2539" s="4" t="str">
        <f>HYPERLINK("http://141.218.60.56/~jnz1568/getInfo.php?workbook=16_08.xlsx&amp;sheet=U0&amp;row=2539&amp;col=7&amp;number=0.00363&amp;sourceID=14","0.00363")</f>
        <v>0.00363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HYPERLINK("http://141.218.60.56/~jnz1568/getInfo.php?workbook=16_08.xlsx&amp;sheet=U0&amp;row=2540&amp;col=6&amp;number=4.6&amp;sourceID=14","4.6")</f>
        <v>4.6</v>
      </c>
      <c r="G2540" s="4" t="str">
        <f>HYPERLINK("http://141.218.60.56/~jnz1568/getInfo.php?workbook=16_08.xlsx&amp;sheet=U0&amp;row=2540&amp;col=7&amp;number=0.00362&amp;sourceID=14","0.00362")</f>
        <v>0.00362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HYPERLINK("http://141.218.60.56/~jnz1568/getInfo.php?workbook=16_08.xlsx&amp;sheet=U0&amp;row=2541&amp;col=6&amp;number=4.7&amp;sourceID=14","4.7")</f>
        <v>4.7</v>
      </c>
      <c r="G2541" s="4" t="str">
        <f>HYPERLINK("http://141.218.60.56/~jnz1568/getInfo.php?workbook=16_08.xlsx&amp;sheet=U0&amp;row=2541&amp;col=7&amp;number=0.00361&amp;sourceID=14","0.00361")</f>
        <v>0.00361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HYPERLINK("http://141.218.60.56/~jnz1568/getInfo.php?workbook=16_08.xlsx&amp;sheet=U0&amp;row=2542&amp;col=6&amp;number=4.8&amp;sourceID=14","4.8")</f>
        <v>4.8</v>
      </c>
      <c r="G2542" s="4" t="str">
        <f>HYPERLINK("http://141.218.60.56/~jnz1568/getInfo.php?workbook=16_08.xlsx&amp;sheet=U0&amp;row=2542&amp;col=7&amp;number=0.0036&amp;sourceID=14","0.0036")</f>
        <v>0.0036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HYPERLINK("http://141.218.60.56/~jnz1568/getInfo.php?workbook=16_08.xlsx&amp;sheet=U0&amp;row=2543&amp;col=6&amp;number=4.9&amp;sourceID=14","4.9")</f>
        <v>4.9</v>
      </c>
      <c r="G2543" s="4" t="str">
        <f>HYPERLINK("http://141.218.60.56/~jnz1568/getInfo.php?workbook=16_08.xlsx&amp;sheet=U0&amp;row=2543&amp;col=7&amp;number=0.00359&amp;sourceID=14","0.00359")</f>
        <v>0.00359</v>
      </c>
    </row>
    <row r="2544" spans="1:7">
      <c r="A2544" s="3">
        <v>16</v>
      </c>
      <c r="B2544" s="3">
        <v>8</v>
      </c>
      <c r="C2544" s="3">
        <v>2</v>
      </c>
      <c r="D2544" s="3">
        <v>45</v>
      </c>
      <c r="E2544" s="3">
        <v>1</v>
      </c>
      <c r="F2544" s="4" t="str">
        <f>HYPERLINK("http://141.218.60.56/~jnz1568/getInfo.php?workbook=16_08.xlsx&amp;sheet=U0&amp;row=2544&amp;col=6&amp;number=3&amp;sourceID=14","3")</f>
        <v>3</v>
      </c>
      <c r="G2544" s="4" t="str">
        <f>HYPERLINK("http://141.218.60.56/~jnz1568/getInfo.php?workbook=16_08.xlsx&amp;sheet=U0&amp;row=2544&amp;col=7&amp;number=0.00442&amp;sourceID=14","0.00442")</f>
        <v>0.00442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HYPERLINK("http://141.218.60.56/~jnz1568/getInfo.php?workbook=16_08.xlsx&amp;sheet=U0&amp;row=2545&amp;col=6&amp;number=3.1&amp;sourceID=14","3.1")</f>
        <v>3.1</v>
      </c>
      <c r="G2545" s="4" t="str">
        <f>HYPERLINK("http://141.218.60.56/~jnz1568/getInfo.php?workbook=16_08.xlsx&amp;sheet=U0&amp;row=2545&amp;col=7&amp;number=0.00442&amp;sourceID=14","0.00442")</f>
        <v>0.00442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HYPERLINK("http://141.218.60.56/~jnz1568/getInfo.php?workbook=16_08.xlsx&amp;sheet=U0&amp;row=2546&amp;col=6&amp;number=3.2&amp;sourceID=14","3.2")</f>
        <v>3.2</v>
      </c>
      <c r="G2546" s="4" t="str">
        <f>HYPERLINK("http://141.218.60.56/~jnz1568/getInfo.php?workbook=16_08.xlsx&amp;sheet=U0&amp;row=2546&amp;col=7&amp;number=0.00442&amp;sourceID=14","0.00442")</f>
        <v>0.00442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HYPERLINK("http://141.218.60.56/~jnz1568/getInfo.php?workbook=16_08.xlsx&amp;sheet=U0&amp;row=2547&amp;col=6&amp;number=3.3&amp;sourceID=14","3.3")</f>
        <v>3.3</v>
      </c>
      <c r="G2547" s="4" t="str">
        <f>HYPERLINK("http://141.218.60.56/~jnz1568/getInfo.php?workbook=16_08.xlsx&amp;sheet=U0&amp;row=2547&amp;col=7&amp;number=0.00442&amp;sourceID=14","0.00442")</f>
        <v>0.00442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HYPERLINK("http://141.218.60.56/~jnz1568/getInfo.php?workbook=16_08.xlsx&amp;sheet=U0&amp;row=2548&amp;col=6&amp;number=3.4&amp;sourceID=14","3.4")</f>
        <v>3.4</v>
      </c>
      <c r="G2548" s="4" t="str">
        <f>HYPERLINK("http://141.218.60.56/~jnz1568/getInfo.php?workbook=16_08.xlsx&amp;sheet=U0&amp;row=2548&amp;col=7&amp;number=0.00442&amp;sourceID=14","0.00442")</f>
        <v>0.00442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HYPERLINK("http://141.218.60.56/~jnz1568/getInfo.php?workbook=16_08.xlsx&amp;sheet=U0&amp;row=2549&amp;col=6&amp;number=3.5&amp;sourceID=14","3.5")</f>
        <v>3.5</v>
      </c>
      <c r="G2549" s="4" t="str">
        <f>HYPERLINK("http://141.218.60.56/~jnz1568/getInfo.php?workbook=16_08.xlsx&amp;sheet=U0&amp;row=2549&amp;col=7&amp;number=0.00442&amp;sourceID=14","0.00442")</f>
        <v>0.00442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HYPERLINK("http://141.218.60.56/~jnz1568/getInfo.php?workbook=16_08.xlsx&amp;sheet=U0&amp;row=2550&amp;col=6&amp;number=3.6&amp;sourceID=14","3.6")</f>
        <v>3.6</v>
      </c>
      <c r="G2550" s="4" t="str">
        <f>HYPERLINK("http://141.218.60.56/~jnz1568/getInfo.php?workbook=16_08.xlsx&amp;sheet=U0&amp;row=2550&amp;col=7&amp;number=0.00442&amp;sourceID=14","0.00442")</f>
        <v>0.00442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HYPERLINK("http://141.218.60.56/~jnz1568/getInfo.php?workbook=16_08.xlsx&amp;sheet=U0&amp;row=2551&amp;col=6&amp;number=3.7&amp;sourceID=14","3.7")</f>
        <v>3.7</v>
      </c>
      <c r="G2551" s="4" t="str">
        <f>HYPERLINK("http://141.218.60.56/~jnz1568/getInfo.php?workbook=16_08.xlsx&amp;sheet=U0&amp;row=2551&amp;col=7&amp;number=0.00442&amp;sourceID=14","0.00442")</f>
        <v>0.00442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HYPERLINK("http://141.218.60.56/~jnz1568/getInfo.php?workbook=16_08.xlsx&amp;sheet=U0&amp;row=2552&amp;col=6&amp;number=3.8&amp;sourceID=14","3.8")</f>
        <v>3.8</v>
      </c>
      <c r="G2552" s="4" t="str">
        <f>HYPERLINK("http://141.218.60.56/~jnz1568/getInfo.php?workbook=16_08.xlsx&amp;sheet=U0&amp;row=2552&amp;col=7&amp;number=0.00442&amp;sourceID=14","0.00442")</f>
        <v>0.00442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HYPERLINK("http://141.218.60.56/~jnz1568/getInfo.php?workbook=16_08.xlsx&amp;sheet=U0&amp;row=2553&amp;col=6&amp;number=3.9&amp;sourceID=14","3.9")</f>
        <v>3.9</v>
      </c>
      <c r="G2553" s="4" t="str">
        <f>HYPERLINK("http://141.218.60.56/~jnz1568/getInfo.php?workbook=16_08.xlsx&amp;sheet=U0&amp;row=2553&amp;col=7&amp;number=0.00442&amp;sourceID=14","0.00442")</f>
        <v>0.00442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HYPERLINK("http://141.218.60.56/~jnz1568/getInfo.php?workbook=16_08.xlsx&amp;sheet=U0&amp;row=2554&amp;col=6&amp;number=4&amp;sourceID=14","4")</f>
        <v>4</v>
      </c>
      <c r="G2554" s="4" t="str">
        <f>HYPERLINK("http://141.218.60.56/~jnz1568/getInfo.php?workbook=16_08.xlsx&amp;sheet=U0&amp;row=2554&amp;col=7&amp;number=0.00442&amp;sourceID=14","0.00442")</f>
        <v>0.00442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HYPERLINK("http://141.218.60.56/~jnz1568/getInfo.php?workbook=16_08.xlsx&amp;sheet=U0&amp;row=2555&amp;col=6&amp;number=4.1&amp;sourceID=14","4.1")</f>
        <v>4.1</v>
      </c>
      <c r="G2555" s="4" t="str">
        <f>HYPERLINK("http://141.218.60.56/~jnz1568/getInfo.php?workbook=16_08.xlsx&amp;sheet=U0&amp;row=2555&amp;col=7&amp;number=0.00442&amp;sourceID=14","0.00442")</f>
        <v>0.00442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HYPERLINK("http://141.218.60.56/~jnz1568/getInfo.php?workbook=16_08.xlsx&amp;sheet=U0&amp;row=2556&amp;col=6&amp;number=4.2&amp;sourceID=14","4.2")</f>
        <v>4.2</v>
      </c>
      <c r="G2556" s="4" t="str">
        <f>HYPERLINK("http://141.218.60.56/~jnz1568/getInfo.php?workbook=16_08.xlsx&amp;sheet=U0&amp;row=2556&amp;col=7&amp;number=0.00442&amp;sourceID=14","0.00442")</f>
        <v>0.00442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HYPERLINK("http://141.218.60.56/~jnz1568/getInfo.php?workbook=16_08.xlsx&amp;sheet=U0&amp;row=2557&amp;col=6&amp;number=4.3&amp;sourceID=14","4.3")</f>
        <v>4.3</v>
      </c>
      <c r="G2557" s="4" t="str">
        <f>HYPERLINK("http://141.218.60.56/~jnz1568/getInfo.php?workbook=16_08.xlsx&amp;sheet=U0&amp;row=2557&amp;col=7&amp;number=0.00442&amp;sourceID=14","0.00442")</f>
        <v>0.00442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HYPERLINK("http://141.218.60.56/~jnz1568/getInfo.php?workbook=16_08.xlsx&amp;sheet=U0&amp;row=2558&amp;col=6&amp;number=4.4&amp;sourceID=14","4.4")</f>
        <v>4.4</v>
      </c>
      <c r="G2558" s="4" t="str">
        <f>HYPERLINK("http://141.218.60.56/~jnz1568/getInfo.php?workbook=16_08.xlsx&amp;sheet=U0&amp;row=2558&amp;col=7&amp;number=0.00442&amp;sourceID=14","0.00442")</f>
        <v>0.00442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HYPERLINK("http://141.218.60.56/~jnz1568/getInfo.php?workbook=16_08.xlsx&amp;sheet=U0&amp;row=2559&amp;col=6&amp;number=4.5&amp;sourceID=14","4.5")</f>
        <v>4.5</v>
      </c>
      <c r="G2559" s="4" t="str">
        <f>HYPERLINK("http://141.218.60.56/~jnz1568/getInfo.php?workbook=16_08.xlsx&amp;sheet=U0&amp;row=2559&amp;col=7&amp;number=0.00442&amp;sourceID=14","0.00442")</f>
        <v>0.00442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HYPERLINK("http://141.218.60.56/~jnz1568/getInfo.php?workbook=16_08.xlsx&amp;sheet=U0&amp;row=2560&amp;col=6&amp;number=4.6&amp;sourceID=14","4.6")</f>
        <v>4.6</v>
      </c>
      <c r="G2560" s="4" t="str">
        <f>HYPERLINK("http://141.218.60.56/~jnz1568/getInfo.php?workbook=16_08.xlsx&amp;sheet=U0&amp;row=2560&amp;col=7&amp;number=0.00441&amp;sourceID=14","0.00441")</f>
        <v>0.00441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HYPERLINK("http://141.218.60.56/~jnz1568/getInfo.php?workbook=16_08.xlsx&amp;sheet=U0&amp;row=2561&amp;col=6&amp;number=4.7&amp;sourceID=14","4.7")</f>
        <v>4.7</v>
      </c>
      <c r="G2561" s="4" t="str">
        <f>HYPERLINK("http://141.218.60.56/~jnz1568/getInfo.php?workbook=16_08.xlsx&amp;sheet=U0&amp;row=2561&amp;col=7&amp;number=0.00441&amp;sourceID=14","0.00441")</f>
        <v>0.00441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HYPERLINK("http://141.218.60.56/~jnz1568/getInfo.php?workbook=16_08.xlsx&amp;sheet=U0&amp;row=2562&amp;col=6&amp;number=4.8&amp;sourceID=14","4.8")</f>
        <v>4.8</v>
      </c>
      <c r="G2562" s="4" t="str">
        <f>HYPERLINK("http://141.218.60.56/~jnz1568/getInfo.php?workbook=16_08.xlsx&amp;sheet=U0&amp;row=2562&amp;col=7&amp;number=0.00441&amp;sourceID=14","0.00441")</f>
        <v>0.00441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HYPERLINK("http://141.218.60.56/~jnz1568/getInfo.php?workbook=16_08.xlsx&amp;sheet=U0&amp;row=2563&amp;col=6&amp;number=4.9&amp;sourceID=14","4.9")</f>
        <v>4.9</v>
      </c>
      <c r="G2563" s="4" t="str">
        <f>HYPERLINK("http://141.218.60.56/~jnz1568/getInfo.php?workbook=16_08.xlsx&amp;sheet=U0&amp;row=2563&amp;col=7&amp;number=0.0044&amp;sourceID=14","0.0044")</f>
        <v>0.0044</v>
      </c>
    </row>
    <row r="2564" spans="1:7">
      <c r="A2564" s="3">
        <v>16</v>
      </c>
      <c r="B2564" s="3">
        <v>8</v>
      </c>
      <c r="C2564" s="3">
        <v>2</v>
      </c>
      <c r="D2564" s="3">
        <v>46</v>
      </c>
      <c r="E2564" s="3">
        <v>1</v>
      </c>
      <c r="F2564" s="4" t="str">
        <f>HYPERLINK("http://141.218.60.56/~jnz1568/getInfo.php?workbook=16_08.xlsx&amp;sheet=U0&amp;row=2564&amp;col=6&amp;number=3&amp;sourceID=14","3")</f>
        <v>3</v>
      </c>
      <c r="G2564" s="4" t="str">
        <f>HYPERLINK("http://141.218.60.56/~jnz1568/getInfo.php?workbook=16_08.xlsx&amp;sheet=U0&amp;row=2564&amp;col=7&amp;number=0.00694&amp;sourceID=14","0.00694")</f>
        <v>0.00694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HYPERLINK("http://141.218.60.56/~jnz1568/getInfo.php?workbook=16_08.xlsx&amp;sheet=U0&amp;row=2565&amp;col=6&amp;number=3.1&amp;sourceID=14","3.1")</f>
        <v>3.1</v>
      </c>
      <c r="G2565" s="4" t="str">
        <f>HYPERLINK("http://141.218.60.56/~jnz1568/getInfo.php?workbook=16_08.xlsx&amp;sheet=U0&amp;row=2565&amp;col=7&amp;number=0.00694&amp;sourceID=14","0.00694")</f>
        <v>0.00694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HYPERLINK("http://141.218.60.56/~jnz1568/getInfo.php?workbook=16_08.xlsx&amp;sheet=U0&amp;row=2566&amp;col=6&amp;number=3.2&amp;sourceID=14","3.2")</f>
        <v>3.2</v>
      </c>
      <c r="G2566" s="4" t="str">
        <f>HYPERLINK("http://141.218.60.56/~jnz1568/getInfo.php?workbook=16_08.xlsx&amp;sheet=U0&amp;row=2566&amp;col=7&amp;number=0.00694&amp;sourceID=14","0.00694")</f>
        <v>0.00694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HYPERLINK("http://141.218.60.56/~jnz1568/getInfo.php?workbook=16_08.xlsx&amp;sheet=U0&amp;row=2567&amp;col=6&amp;number=3.3&amp;sourceID=14","3.3")</f>
        <v>3.3</v>
      </c>
      <c r="G2567" s="4" t="str">
        <f>HYPERLINK("http://141.218.60.56/~jnz1568/getInfo.php?workbook=16_08.xlsx&amp;sheet=U0&amp;row=2567&amp;col=7&amp;number=0.00694&amp;sourceID=14","0.00694")</f>
        <v>0.00694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HYPERLINK("http://141.218.60.56/~jnz1568/getInfo.php?workbook=16_08.xlsx&amp;sheet=U0&amp;row=2568&amp;col=6&amp;number=3.4&amp;sourceID=14","3.4")</f>
        <v>3.4</v>
      </c>
      <c r="G2568" s="4" t="str">
        <f>HYPERLINK("http://141.218.60.56/~jnz1568/getInfo.php?workbook=16_08.xlsx&amp;sheet=U0&amp;row=2568&amp;col=7&amp;number=0.00694&amp;sourceID=14","0.00694")</f>
        <v>0.00694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HYPERLINK("http://141.218.60.56/~jnz1568/getInfo.php?workbook=16_08.xlsx&amp;sheet=U0&amp;row=2569&amp;col=6&amp;number=3.5&amp;sourceID=14","3.5")</f>
        <v>3.5</v>
      </c>
      <c r="G2569" s="4" t="str">
        <f>HYPERLINK("http://141.218.60.56/~jnz1568/getInfo.php?workbook=16_08.xlsx&amp;sheet=U0&amp;row=2569&amp;col=7&amp;number=0.00694&amp;sourceID=14","0.00694")</f>
        <v>0.00694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HYPERLINK("http://141.218.60.56/~jnz1568/getInfo.php?workbook=16_08.xlsx&amp;sheet=U0&amp;row=2570&amp;col=6&amp;number=3.6&amp;sourceID=14","3.6")</f>
        <v>3.6</v>
      </c>
      <c r="G2570" s="4" t="str">
        <f>HYPERLINK("http://141.218.60.56/~jnz1568/getInfo.php?workbook=16_08.xlsx&amp;sheet=U0&amp;row=2570&amp;col=7&amp;number=0.00694&amp;sourceID=14","0.00694")</f>
        <v>0.00694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HYPERLINK("http://141.218.60.56/~jnz1568/getInfo.php?workbook=16_08.xlsx&amp;sheet=U0&amp;row=2571&amp;col=6&amp;number=3.7&amp;sourceID=14","3.7")</f>
        <v>3.7</v>
      </c>
      <c r="G2571" s="4" t="str">
        <f>HYPERLINK("http://141.218.60.56/~jnz1568/getInfo.php?workbook=16_08.xlsx&amp;sheet=U0&amp;row=2571&amp;col=7&amp;number=0.00694&amp;sourceID=14","0.00694")</f>
        <v>0.00694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HYPERLINK("http://141.218.60.56/~jnz1568/getInfo.php?workbook=16_08.xlsx&amp;sheet=U0&amp;row=2572&amp;col=6&amp;number=3.8&amp;sourceID=14","3.8")</f>
        <v>3.8</v>
      </c>
      <c r="G2572" s="4" t="str">
        <f>HYPERLINK("http://141.218.60.56/~jnz1568/getInfo.php?workbook=16_08.xlsx&amp;sheet=U0&amp;row=2572&amp;col=7&amp;number=0.00694&amp;sourceID=14","0.00694")</f>
        <v>0.00694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HYPERLINK("http://141.218.60.56/~jnz1568/getInfo.php?workbook=16_08.xlsx&amp;sheet=U0&amp;row=2573&amp;col=6&amp;number=3.9&amp;sourceID=14","3.9")</f>
        <v>3.9</v>
      </c>
      <c r="G2573" s="4" t="str">
        <f>HYPERLINK("http://141.218.60.56/~jnz1568/getInfo.php?workbook=16_08.xlsx&amp;sheet=U0&amp;row=2573&amp;col=7&amp;number=0.00694&amp;sourceID=14","0.00694")</f>
        <v>0.00694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HYPERLINK("http://141.218.60.56/~jnz1568/getInfo.php?workbook=16_08.xlsx&amp;sheet=U0&amp;row=2574&amp;col=6&amp;number=4&amp;sourceID=14","4")</f>
        <v>4</v>
      </c>
      <c r="G2574" s="4" t="str">
        <f>HYPERLINK("http://141.218.60.56/~jnz1568/getInfo.php?workbook=16_08.xlsx&amp;sheet=U0&amp;row=2574&amp;col=7&amp;number=0.00694&amp;sourceID=14","0.00694")</f>
        <v>0.00694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HYPERLINK("http://141.218.60.56/~jnz1568/getInfo.php?workbook=16_08.xlsx&amp;sheet=U0&amp;row=2575&amp;col=6&amp;number=4.1&amp;sourceID=14","4.1")</f>
        <v>4.1</v>
      </c>
      <c r="G2575" s="4" t="str">
        <f>HYPERLINK("http://141.218.60.56/~jnz1568/getInfo.php?workbook=16_08.xlsx&amp;sheet=U0&amp;row=2575&amp;col=7&amp;number=0.00693&amp;sourceID=14","0.00693")</f>
        <v>0.00693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HYPERLINK("http://141.218.60.56/~jnz1568/getInfo.php?workbook=16_08.xlsx&amp;sheet=U0&amp;row=2576&amp;col=6&amp;number=4.2&amp;sourceID=14","4.2")</f>
        <v>4.2</v>
      </c>
      <c r="G2576" s="4" t="str">
        <f>HYPERLINK("http://141.218.60.56/~jnz1568/getInfo.php?workbook=16_08.xlsx&amp;sheet=U0&amp;row=2576&amp;col=7&amp;number=0.00693&amp;sourceID=14","0.00693")</f>
        <v>0.00693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HYPERLINK("http://141.218.60.56/~jnz1568/getInfo.php?workbook=16_08.xlsx&amp;sheet=U0&amp;row=2577&amp;col=6&amp;number=4.3&amp;sourceID=14","4.3")</f>
        <v>4.3</v>
      </c>
      <c r="G2577" s="4" t="str">
        <f>HYPERLINK("http://141.218.60.56/~jnz1568/getInfo.php?workbook=16_08.xlsx&amp;sheet=U0&amp;row=2577&amp;col=7&amp;number=0.00693&amp;sourceID=14","0.00693")</f>
        <v>0.00693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HYPERLINK("http://141.218.60.56/~jnz1568/getInfo.php?workbook=16_08.xlsx&amp;sheet=U0&amp;row=2578&amp;col=6&amp;number=4.4&amp;sourceID=14","4.4")</f>
        <v>4.4</v>
      </c>
      <c r="G2578" s="4" t="str">
        <f>HYPERLINK("http://141.218.60.56/~jnz1568/getInfo.php?workbook=16_08.xlsx&amp;sheet=U0&amp;row=2578&amp;col=7&amp;number=0.00693&amp;sourceID=14","0.00693")</f>
        <v>0.00693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HYPERLINK("http://141.218.60.56/~jnz1568/getInfo.php?workbook=16_08.xlsx&amp;sheet=U0&amp;row=2579&amp;col=6&amp;number=4.5&amp;sourceID=14","4.5")</f>
        <v>4.5</v>
      </c>
      <c r="G2579" s="4" t="str">
        <f>HYPERLINK("http://141.218.60.56/~jnz1568/getInfo.php?workbook=16_08.xlsx&amp;sheet=U0&amp;row=2579&amp;col=7&amp;number=0.00693&amp;sourceID=14","0.00693")</f>
        <v>0.00693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HYPERLINK("http://141.218.60.56/~jnz1568/getInfo.php?workbook=16_08.xlsx&amp;sheet=U0&amp;row=2580&amp;col=6&amp;number=4.6&amp;sourceID=14","4.6")</f>
        <v>4.6</v>
      </c>
      <c r="G2580" s="4" t="str">
        <f>HYPERLINK("http://141.218.60.56/~jnz1568/getInfo.php?workbook=16_08.xlsx&amp;sheet=U0&amp;row=2580&amp;col=7&amp;number=0.00692&amp;sourceID=14","0.00692")</f>
        <v>0.00692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HYPERLINK("http://141.218.60.56/~jnz1568/getInfo.php?workbook=16_08.xlsx&amp;sheet=U0&amp;row=2581&amp;col=6&amp;number=4.7&amp;sourceID=14","4.7")</f>
        <v>4.7</v>
      </c>
      <c r="G2581" s="4" t="str">
        <f>HYPERLINK("http://141.218.60.56/~jnz1568/getInfo.php?workbook=16_08.xlsx&amp;sheet=U0&amp;row=2581&amp;col=7&amp;number=0.00692&amp;sourceID=14","0.00692")</f>
        <v>0.00692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HYPERLINK("http://141.218.60.56/~jnz1568/getInfo.php?workbook=16_08.xlsx&amp;sheet=U0&amp;row=2582&amp;col=6&amp;number=4.8&amp;sourceID=14","4.8")</f>
        <v>4.8</v>
      </c>
      <c r="G2582" s="4" t="str">
        <f>HYPERLINK("http://141.218.60.56/~jnz1568/getInfo.php?workbook=16_08.xlsx&amp;sheet=U0&amp;row=2582&amp;col=7&amp;number=0.00692&amp;sourceID=14","0.00692")</f>
        <v>0.00692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HYPERLINK("http://141.218.60.56/~jnz1568/getInfo.php?workbook=16_08.xlsx&amp;sheet=U0&amp;row=2583&amp;col=6&amp;number=4.9&amp;sourceID=14","4.9")</f>
        <v>4.9</v>
      </c>
      <c r="G2583" s="4" t="str">
        <f>HYPERLINK("http://141.218.60.56/~jnz1568/getInfo.php?workbook=16_08.xlsx&amp;sheet=U0&amp;row=2583&amp;col=7&amp;number=0.00691&amp;sourceID=14","0.00691")</f>
        <v>0.00691</v>
      </c>
    </row>
    <row r="2584" spans="1:7">
      <c r="A2584" s="3">
        <v>16</v>
      </c>
      <c r="B2584" s="3">
        <v>8</v>
      </c>
      <c r="C2584" s="3">
        <v>2</v>
      </c>
      <c r="D2584" s="3">
        <v>47</v>
      </c>
      <c r="E2584" s="3">
        <v>1</v>
      </c>
      <c r="F2584" s="4" t="str">
        <f>HYPERLINK("http://141.218.60.56/~jnz1568/getInfo.php?workbook=16_08.xlsx&amp;sheet=U0&amp;row=2584&amp;col=6&amp;number=3&amp;sourceID=14","3")</f>
        <v>3</v>
      </c>
      <c r="G2584" s="4" t="str">
        <f>HYPERLINK("http://141.218.60.56/~jnz1568/getInfo.php?workbook=16_08.xlsx&amp;sheet=U0&amp;row=2584&amp;col=7&amp;number=0.00666&amp;sourceID=14","0.00666")</f>
        <v>0.00666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HYPERLINK("http://141.218.60.56/~jnz1568/getInfo.php?workbook=16_08.xlsx&amp;sheet=U0&amp;row=2585&amp;col=6&amp;number=3.1&amp;sourceID=14","3.1")</f>
        <v>3.1</v>
      </c>
      <c r="G2585" s="4" t="str">
        <f>HYPERLINK("http://141.218.60.56/~jnz1568/getInfo.php?workbook=16_08.xlsx&amp;sheet=U0&amp;row=2585&amp;col=7&amp;number=0.00666&amp;sourceID=14","0.00666")</f>
        <v>0.00666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HYPERLINK("http://141.218.60.56/~jnz1568/getInfo.php?workbook=16_08.xlsx&amp;sheet=U0&amp;row=2586&amp;col=6&amp;number=3.2&amp;sourceID=14","3.2")</f>
        <v>3.2</v>
      </c>
      <c r="G2586" s="4" t="str">
        <f>HYPERLINK("http://141.218.60.56/~jnz1568/getInfo.php?workbook=16_08.xlsx&amp;sheet=U0&amp;row=2586&amp;col=7&amp;number=0.00666&amp;sourceID=14","0.00666")</f>
        <v>0.00666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HYPERLINK("http://141.218.60.56/~jnz1568/getInfo.php?workbook=16_08.xlsx&amp;sheet=U0&amp;row=2587&amp;col=6&amp;number=3.3&amp;sourceID=14","3.3")</f>
        <v>3.3</v>
      </c>
      <c r="G2587" s="4" t="str">
        <f>HYPERLINK("http://141.218.60.56/~jnz1568/getInfo.php?workbook=16_08.xlsx&amp;sheet=U0&amp;row=2587&amp;col=7&amp;number=0.00666&amp;sourceID=14","0.00666")</f>
        <v>0.00666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HYPERLINK("http://141.218.60.56/~jnz1568/getInfo.php?workbook=16_08.xlsx&amp;sheet=U0&amp;row=2588&amp;col=6&amp;number=3.4&amp;sourceID=14","3.4")</f>
        <v>3.4</v>
      </c>
      <c r="G2588" s="4" t="str">
        <f>HYPERLINK("http://141.218.60.56/~jnz1568/getInfo.php?workbook=16_08.xlsx&amp;sheet=U0&amp;row=2588&amp;col=7&amp;number=0.00666&amp;sourceID=14","0.00666")</f>
        <v>0.00666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HYPERLINK("http://141.218.60.56/~jnz1568/getInfo.php?workbook=16_08.xlsx&amp;sheet=U0&amp;row=2589&amp;col=6&amp;number=3.5&amp;sourceID=14","3.5")</f>
        <v>3.5</v>
      </c>
      <c r="G2589" s="4" t="str">
        <f>HYPERLINK("http://141.218.60.56/~jnz1568/getInfo.php?workbook=16_08.xlsx&amp;sheet=U0&amp;row=2589&amp;col=7&amp;number=0.00666&amp;sourceID=14","0.00666")</f>
        <v>0.00666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HYPERLINK("http://141.218.60.56/~jnz1568/getInfo.php?workbook=16_08.xlsx&amp;sheet=U0&amp;row=2590&amp;col=6&amp;number=3.6&amp;sourceID=14","3.6")</f>
        <v>3.6</v>
      </c>
      <c r="G2590" s="4" t="str">
        <f>HYPERLINK("http://141.218.60.56/~jnz1568/getInfo.php?workbook=16_08.xlsx&amp;sheet=U0&amp;row=2590&amp;col=7&amp;number=0.00666&amp;sourceID=14","0.00666")</f>
        <v>0.00666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HYPERLINK("http://141.218.60.56/~jnz1568/getInfo.php?workbook=16_08.xlsx&amp;sheet=U0&amp;row=2591&amp;col=6&amp;number=3.7&amp;sourceID=14","3.7")</f>
        <v>3.7</v>
      </c>
      <c r="G2591" s="4" t="str">
        <f>HYPERLINK("http://141.218.60.56/~jnz1568/getInfo.php?workbook=16_08.xlsx&amp;sheet=U0&amp;row=2591&amp;col=7&amp;number=0.00665&amp;sourceID=14","0.00665")</f>
        <v>0.00665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HYPERLINK("http://141.218.60.56/~jnz1568/getInfo.php?workbook=16_08.xlsx&amp;sheet=U0&amp;row=2592&amp;col=6&amp;number=3.8&amp;sourceID=14","3.8")</f>
        <v>3.8</v>
      </c>
      <c r="G2592" s="4" t="str">
        <f>HYPERLINK("http://141.218.60.56/~jnz1568/getInfo.php?workbook=16_08.xlsx&amp;sheet=U0&amp;row=2592&amp;col=7&amp;number=0.00665&amp;sourceID=14","0.00665")</f>
        <v>0.00665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HYPERLINK("http://141.218.60.56/~jnz1568/getInfo.php?workbook=16_08.xlsx&amp;sheet=U0&amp;row=2593&amp;col=6&amp;number=3.9&amp;sourceID=14","3.9")</f>
        <v>3.9</v>
      </c>
      <c r="G2593" s="4" t="str">
        <f>HYPERLINK("http://141.218.60.56/~jnz1568/getInfo.php?workbook=16_08.xlsx&amp;sheet=U0&amp;row=2593&amp;col=7&amp;number=0.00665&amp;sourceID=14","0.00665")</f>
        <v>0.00665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HYPERLINK("http://141.218.60.56/~jnz1568/getInfo.php?workbook=16_08.xlsx&amp;sheet=U0&amp;row=2594&amp;col=6&amp;number=4&amp;sourceID=14","4")</f>
        <v>4</v>
      </c>
      <c r="G2594" s="4" t="str">
        <f>HYPERLINK("http://141.218.60.56/~jnz1568/getInfo.php?workbook=16_08.xlsx&amp;sheet=U0&amp;row=2594&amp;col=7&amp;number=0.00665&amp;sourceID=14","0.00665")</f>
        <v>0.00665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HYPERLINK("http://141.218.60.56/~jnz1568/getInfo.php?workbook=16_08.xlsx&amp;sheet=U0&amp;row=2595&amp;col=6&amp;number=4.1&amp;sourceID=14","4.1")</f>
        <v>4.1</v>
      </c>
      <c r="G2595" s="4" t="str">
        <f>HYPERLINK("http://141.218.60.56/~jnz1568/getInfo.php?workbook=16_08.xlsx&amp;sheet=U0&amp;row=2595&amp;col=7&amp;number=0.00664&amp;sourceID=14","0.00664")</f>
        <v>0.00664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HYPERLINK("http://141.218.60.56/~jnz1568/getInfo.php?workbook=16_08.xlsx&amp;sheet=U0&amp;row=2596&amp;col=6&amp;number=4.2&amp;sourceID=14","4.2")</f>
        <v>4.2</v>
      </c>
      <c r="G2596" s="4" t="str">
        <f>HYPERLINK("http://141.218.60.56/~jnz1568/getInfo.php?workbook=16_08.xlsx&amp;sheet=U0&amp;row=2596&amp;col=7&amp;number=0.00664&amp;sourceID=14","0.00664")</f>
        <v>0.00664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HYPERLINK("http://141.218.60.56/~jnz1568/getInfo.php?workbook=16_08.xlsx&amp;sheet=U0&amp;row=2597&amp;col=6&amp;number=4.3&amp;sourceID=14","4.3")</f>
        <v>4.3</v>
      </c>
      <c r="G2597" s="4" t="str">
        <f>HYPERLINK("http://141.218.60.56/~jnz1568/getInfo.php?workbook=16_08.xlsx&amp;sheet=U0&amp;row=2597&amp;col=7&amp;number=0.00663&amp;sourceID=14","0.00663")</f>
        <v>0.00663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HYPERLINK("http://141.218.60.56/~jnz1568/getInfo.php?workbook=16_08.xlsx&amp;sheet=U0&amp;row=2598&amp;col=6&amp;number=4.4&amp;sourceID=14","4.4")</f>
        <v>4.4</v>
      </c>
      <c r="G2598" s="4" t="str">
        <f>HYPERLINK("http://141.218.60.56/~jnz1568/getInfo.php?workbook=16_08.xlsx&amp;sheet=U0&amp;row=2598&amp;col=7&amp;number=0.00663&amp;sourceID=14","0.00663")</f>
        <v>0.00663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HYPERLINK("http://141.218.60.56/~jnz1568/getInfo.php?workbook=16_08.xlsx&amp;sheet=U0&amp;row=2599&amp;col=6&amp;number=4.5&amp;sourceID=14","4.5")</f>
        <v>4.5</v>
      </c>
      <c r="G2599" s="4" t="str">
        <f>HYPERLINK("http://141.218.60.56/~jnz1568/getInfo.php?workbook=16_08.xlsx&amp;sheet=U0&amp;row=2599&amp;col=7&amp;number=0.00662&amp;sourceID=14","0.00662")</f>
        <v>0.00662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HYPERLINK("http://141.218.60.56/~jnz1568/getInfo.php?workbook=16_08.xlsx&amp;sheet=U0&amp;row=2600&amp;col=6&amp;number=4.6&amp;sourceID=14","4.6")</f>
        <v>4.6</v>
      </c>
      <c r="G2600" s="4" t="str">
        <f>HYPERLINK("http://141.218.60.56/~jnz1568/getInfo.php?workbook=16_08.xlsx&amp;sheet=U0&amp;row=2600&amp;col=7&amp;number=0.0066&amp;sourceID=14","0.0066")</f>
        <v>0.0066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HYPERLINK("http://141.218.60.56/~jnz1568/getInfo.php?workbook=16_08.xlsx&amp;sheet=U0&amp;row=2601&amp;col=6&amp;number=4.7&amp;sourceID=14","4.7")</f>
        <v>4.7</v>
      </c>
      <c r="G2601" s="4" t="str">
        <f>HYPERLINK("http://141.218.60.56/~jnz1568/getInfo.php?workbook=16_08.xlsx&amp;sheet=U0&amp;row=2601&amp;col=7&amp;number=0.00659&amp;sourceID=14","0.00659")</f>
        <v>0.00659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HYPERLINK("http://141.218.60.56/~jnz1568/getInfo.php?workbook=16_08.xlsx&amp;sheet=U0&amp;row=2602&amp;col=6&amp;number=4.8&amp;sourceID=14","4.8")</f>
        <v>4.8</v>
      </c>
      <c r="G2602" s="4" t="str">
        <f>HYPERLINK("http://141.218.60.56/~jnz1568/getInfo.php?workbook=16_08.xlsx&amp;sheet=U0&amp;row=2602&amp;col=7&amp;number=0.00657&amp;sourceID=14","0.00657")</f>
        <v>0.00657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HYPERLINK("http://141.218.60.56/~jnz1568/getInfo.php?workbook=16_08.xlsx&amp;sheet=U0&amp;row=2603&amp;col=6&amp;number=4.9&amp;sourceID=14","4.9")</f>
        <v>4.9</v>
      </c>
      <c r="G2603" s="4" t="str">
        <f>HYPERLINK("http://141.218.60.56/~jnz1568/getInfo.php?workbook=16_08.xlsx&amp;sheet=U0&amp;row=2603&amp;col=7&amp;number=0.00655&amp;sourceID=14","0.00655")</f>
        <v>0.00655</v>
      </c>
    </row>
    <row r="2604" spans="1:7">
      <c r="A2604" s="3">
        <v>16</v>
      </c>
      <c r="B2604" s="3">
        <v>8</v>
      </c>
      <c r="C2604" s="3">
        <v>2</v>
      </c>
      <c r="D2604" s="3">
        <v>48</v>
      </c>
      <c r="E2604" s="3">
        <v>1</v>
      </c>
      <c r="F2604" s="4" t="str">
        <f>HYPERLINK("http://141.218.60.56/~jnz1568/getInfo.php?workbook=16_08.xlsx&amp;sheet=U0&amp;row=2604&amp;col=6&amp;number=3&amp;sourceID=14","3")</f>
        <v>3</v>
      </c>
      <c r="G2604" s="4" t="str">
        <f>HYPERLINK("http://141.218.60.56/~jnz1568/getInfo.php?workbook=16_08.xlsx&amp;sheet=U0&amp;row=2604&amp;col=7&amp;number=0.00576&amp;sourceID=14","0.00576")</f>
        <v>0.00576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HYPERLINK("http://141.218.60.56/~jnz1568/getInfo.php?workbook=16_08.xlsx&amp;sheet=U0&amp;row=2605&amp;col=6&amp;number=3.1&amp;sourceID=14","3.1")</f>
        <v>3.1</v>
      </c>
      <c r="G2605" s="4" t="str">
        <f>HYPERLINK("http://141.218.60.56/~jnz1568/getInfo.php?workbook=16_08.xlsx&amp;sheet=U0&amp;row=2605&amp;col=7&amp;number=0.00576&amp;sourceID=14","0.00576")</f>
        <v>0.00576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HYPERLINK("http://141.218.60.56/~jnz1568/getInfo.php?workbook=16_08.xlsx&amp;sheet=U0&amp;row=2606&amp;col=6&amp;number=3.2&amp;sourceID=14","3.2")</f>
        <v>3.2</v>
      </c>
      <c r="G2606" s="4" t="str">
        <f>HYPERLINK("http://141.218.60.56/~jnz1568/getInfo.php?workbook=16_08.xlsx&amp;sheet=U0&amp;row=2606&amp;col=7&amp;number=0.00576&amp;sourceID=14","0.00576")</f>
        <v>0.00576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HYPERLINK("http://141.218.60.56/~jnz1568/getInfo.php?workbook=16_08.xlsx&amp;sheet=U0&amp;row=2607&amp;col=6&amp;number=3.3&amp;sourceID=14","3.3")</f>
        <v>3.3</v>
      </c>
      <c r="G2607" s="4" t="str">
        <f>HYPERLINK("http://141.218.60.56/~jnz1568/getInfo.php?workbook=16_08.xlsx&amp;sheet=U0&amp;row=2607&amp;col=7&amp;number=0.00576&amp;sourceID=14","0.00576")</f>
        <v>0.00576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HYPERLINK("http://141.218.60.56/~jnz1568/getInfo.php?workbook=16_08.xlsx&amp;sheet=U0&amp;row=2608&amp;col=6&amp;number=3.4&amp;sourceID=14","3.4")</f>
        <v>3.4</v>
      </c>
      <c r="G2608" s="4" t="str">
        <f>HYPERLINK("http://141.218.60.56/~jnz1568/getInfo.php?workbook=16_08.xlsx&amp;sheet=U0&amp;row=2608&amp;col=7&amp;number=0.00576&amp;sourceID=14","0.00576")</f>
        <v>0.00576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HYPERLINK("http://141.218.60.56/~jnz1568/getInfo.php?workbook=16_08.xlsx&amp;sheet=U0&amp;row=2609&amp;col=6&amp;number=3.5&amp;sourceID=14","3.5")</f>
        <v>3.5</v>
      </c>
      <c r="G2609" s="4" t="str">
        <f>HYPERLINK("http://141.218.60.56/~jnz1568/getInfo.php?workbook=16_08.xlsx&amp;sheet=U0&amp;row=2609&amp;col=7&amp;number=0.00576&amp;sourceID=14","0.00576")</f>
        <v>0.00576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HYPERLINK("http://141.218.60.56/~jnz1568/getInfo.php?workbook=16_08.xlsx&amp;sheet=U0&amp;row=2610&amp;col=6&amp;number=3.6&amp;sourceID=14","3.6")</f>
        <v>3.6</v>
      </c>
      <c r="G2610" s="4" t="str">
        <f>HYPERLINK("http://141.218.60.56/~jnz1568/getInfo.php?workbook=16_08.xlsx&amp;sheet=U0&amp;row=2610&amp;col=7&amp;number=0.00576&amp;sourceID=14","0.00576")</f>
        <v>0.00576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HYPERLINK("http://141.218.60.56/~jnz1568/getInfo.php?workbook=16_08.xlsx&amp;sheet=U0&amp;row=2611&amp;col=6&amp;number=3.7&amp;sourceID=14","3.7")</f>
        <v>3.7</v>
      </c>
      <c r="G2611" s="4" t="str">
        <f>HYPERLINK("http://141.218.60.56/~jnz1568/getInfo.php?workbook=16_08.xlsx&amp;sheet=U0&amp;row=2611&amp;col=7&amp;number=0.00576&amp;sourceID=14","0.00576")</f>
        <v>0.00576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HYPERLINK("http://141.218.60.56/~jnz1568/getInfo.php?workbook=16_08.xlsx&amp;sheet=U0&amp;row=2612&amp;col=6&amp;number=3.8&amp;sourceID=14","3.8")</f>
        <v>3.8</v>
      </c>
      <c r="G2612" s="4" t="str">
        <f>HYPERLINK("http://141.218.60.56/~jnz1568/getInfo.php?workbook=16_08.xlsx&amp;sheet=U0&amp;row=2612&amp;col=7&amp;number=0.00576&amp;sourceID=14","0.00576")</f>
        <v>0.00576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HYPERLINK("http://141.218.60.56/~jnz1568/getInfo.php?workbook=16_08.xlsx&amp;sheet=U0&amp;row=2613&amp;col=6&amp;number=3.9&amp;sourceID=14","3.9")</f>
        <v>3.9</v>
      </c>
      <c r="G2613" s="4" t="str">
        <f>HYPERLINK("http://141.218.60.56/~jnz1568/getInfo.php?workbook=16_08.xlsx&amp;sheet=U0&amp;row=2613&amp;col=7&amp;number=0.00576&amp;sourceID=14","0.00576")</f>
        <v>0.00576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HYPERLINK("http://141.218.60.56/~jnz1568/getInfo.php?workbook=16_08.xlsx&amp;sheet=U0&amp;row=2614&amp;col=6&amp;number=4&amp;sourceID=14","4")</f>
        <v>4</v>
      </c>
      <c r="G2614" s="4" t="str">
        <f>HYPERLINK("http://141.218.60.56/~jnz1568/getInfo.php?workbook=16_08.xlsx&amp;sheet=U0&amp;row=2614&amp;col=7&amp;number=0.00576&amp;sourceID=14","0.00576")</f>
        <v>0.00576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HYPERLINK("http://141.218.60.56/~jnz1568/getInfo.php?workbook=16_08.xlsx&amp;sheet=U0&amp;row=2615&amp;col=6&amp;number=4.1&amp;sourceID=14","4.1")</f>
        <v>4.1</v>
      </c>
      <c r="G2615" s="4" t="str">
        <f>HYPERLINK("http://141.218.60.56/~jnz1568/getInfo.php?workbook=16_08.xlsx&amp;sheet=U0&amp;row=2615&amp;col=7&amp;number=0.00576&amp;sourceID=14","0.00576")</f>
        <v>0.00576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HYPERLINK("http://141.218.60.56/~jnz1568/getInfo.php?workbook=16_08.xlsx&amp;sheet=U0&amp;row=2616&amp;col=6&amp;number=4.2&amp;sourceID=14","4.2")</f>
        <v>4.2</v>
      </c>
      <c r="G2616" s="4" t="str">
        <f>HYPERLINK("http://141.218.60.56/~jnz1568/getInfo.php?workbook=16_08.xlsx&amp;sheet=U0&amp;row=2616&amp;col=7&amp;number=0.00575&amp;sourceID=14","0.00575")</f>
        <v>0.00575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HYPERLINK("http://141.218.60.56/~jnz1568/getInfo.php?workbook=16_08.xlsx&amp;sheet=U0&amp;row=2617&amp;col=6&amp;number=4.3&amp;sourceID=14","4.3")</f>
        <v>4.3</v>
      </c>
      <c r="G2617" s="4" t="str">
        <f>HYPERLINK("http://141.218.60.56/~jnz1568/getInfo.php?workbook=16_08.xlsx&amp;sheet=U0&amp;row=2617&amp;col=7&amp;number=0.00575&amp;sourceID=14","0.00575")</f>
        <v>0.00575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HYPERLINK("http://141.218.60.56/~jnz1568/getInfo.php?workbook=16_08.xlsx&amp;sheet=U0&amp;row=2618&amp;col=6&amp;number=4.4&amp;sourceID=14","4.4")</f>
        <v>4.4</v>
      </c>
      <c r="G2618" s="4" t="str">
        <f>HYPERLINK("http://141.218.60.56/~jnz1568/getInfo.php?workbook=16_08.xlsx&amp;sheet=U0&amp;row=2618&amp;col=7&amp;number=0.00575&amp;sourceID=14","0.00575")</f>
        <v>0.00575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HYPERLINK("http://141.218.60.56/~jnz1568/getInfo.php?workbook=16_08.xlsx&amp;sheet=U0&amp;row=2619&amp;col=6&amp;number=4.5&amp;sourceID=14","4.5")</f>
        <v>4.5</v>
      </c>
      <c r="G2619" s="4" t="str">
        <f>HYPERLINK("http://141.218.60.56/~jnz1568/getInfo.php?workbook=16_08.xlsx&amp;sheet=U0&amp;row=2619&amp;col=7&amp;number=0.00575&amp;sourceID=14","0.00575")</f>
        <v>0.00575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HYPERLINK("http://141.218.60.56/~jnz1568/getInfo.php?workbook=16_08.xlsx&amp;sheet=U0&amp;row=2620&amp;col=6&amp;number=4.6&amp;sourceID=14","4.6")</f>
        <v>4.6</v>
      </c>
      <c r="G2620" s="4" t="str">
        <f>HYPERLINK("http://141.218.60.56/~jnz1568/getInfo.php?workbook=16_08.xlsx&amp;sheet=U0&amp;row=2620&amp;col=7&amp;number=0.00574&amp;sourceID=14","0.00574")</f>
        <v>0.00574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HYPERLINK("http://141.218.60.56/~jnz1568/getInfo.php?workbook=16_08.xlsx&amp;sheet=U0&amp;row=2621&amp;col=6&amp;number=4.7&amp;sourceID=14","4.7")</f>
        <v>4.7</v>
      </c>
      <c r="G2621" s="4" t="str">
        <f>HYPERLINK("http://141.218.60.56/~jnz1568/getInfo.php?workbook=16_08.xlsx&amp;sheet=U0&amp;row=2621&amp;col=7&amp;number=0.00574&amp;sourceID=14","0.00574")</f>
        <v>0.00574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HYPERLINK("http://141.218.60.56/~jnz1568/getInfo.php?workbook=16_08.xlsx&amp;sheet=U0&amp;row=2622&amp;col=6&amp;number=4.8&amp;sourceID=14","4.8")</f>
        <v>4.8</v>
      </c>
      <c r="G2622" s="4" t="str">
        <f>HYPERLINK("http://141.218.60.56/~jnz1568/getInfo.php?workbook=16_08.xlsx&amp;sheet=U0&amp;row=2622&amp;col=7&amp;number=0.00573&amp;sourceID=14","0.00573")</f>
        <v>0.00573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HYPERLINK("http://141.218.60.56/~jnz1568/getInfo.php?workbook=16_08.xlsx&amp;sheet=U0&amp;row=2623&amp;col=6&amp;number=4.9&amp;sourceID=14","4.9")</f>
        <v>4.9</v>
      </c>
      <c r="G2623" s="4" t="str">
        <f>HYPERLINK("http://141.218.60.56/~jnz1568/getInfo.php?workbook=16_08.xlsx&amp;sheet=U0&amp;row=2623&amp;col=7&amp;number=0.00572&amp;sourceID=14","0.00572")</f>
        <v>0.00572</v>
      </c>
    </row>
    <row r="2624" spans="1:7">
      <c r="A2624" s="3">
        <v>16</v>
      </c>
      <c r="B2624" s="3">
        <v>8</v>
      </c>
      <c r="C2624" s="3">
        <v>2</v>
      </c>
      <c r="D2624" s="3">
        <v>49</v>
      </c>
      <c r="E2624" s="3">
        <v>1</v>
      </c>
      <c r="F2624" s="4" t="str">
        <f>HYPERLINK("http://141.218.60.56/~jnz1568/getInfo.php?workbook=16_08.xlsx&amp;sheet=U0&amp;row=2624&amp;col=6&amp;number=3&amp;sourceID=14","3")</f>
        <v>3</v>
      </c>
      <c r="G2624" s="4" t="str">
        <f>HYPERLINK("http://141.218.60.56/~jnz1568/getInfo.php?workbook=16_08.xlsx&amp;sheet=U0&amp;row=2624&amp;col=7&amp;number=0.0583&amp;sourceID=14","0.0583")</f>
        <v>0.0583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HYPERLINK("http://141.218.60.56/~jnz1568/getInfo.php?workbook=16_08.xlsx&amp;sheet=U0&amp;row=2625&amp;col=6&amp;number=3.1&amp;sourceID=14","3.1")</f>
        <v>3.1</v>
      </c>
      <c r="G2625" s="4" t="str">
        <f>HYPERLINK("http://141.218.60.56/~jnz1568/getInfo.php?workbook=16_08.xlsx&amp;sheet=U0&amp;row=2625&amp;col=7&amp;number=0.0583&amp;sourceID=14","0.0583")</f>
        <v>0.0583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HYPERLINK("http://141.218.60.56/~jnz1568/getInfo.php?workbook=16_08.xlsx&amp;sheet=U0&amp;row=2626&amp;col=6&amp;number=3.2&amp;sourceID=14","3.2")</f>
        <v>3.2</v>
      </c>
      <c r="G2626" s="4" t="str">
        <f>HYPERLINK("http://141.218.60.56/~jnz1568/getInfo.php?workbook=16_08.xlsx&amp;sheet=U0&amp;row=2626&amp;col=7&amp;number=0.0583&amp;sourceID=14","0.0583")</f>
        <v>0.0583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HYPERLINK("http://141.218.60.56/~jnz1568/getInfo.php?workbook=16_08.xlsx&amp;sheet=U0&amp;row=2627&amp;col=6&amp;number=3.3&amp;sourceID=14","3.3")</f>
        <v>3.3</v>
      </c>
      <c r="G2627" s="4" t="str">
        <f>HYPERLINK("http://141.218.60.56/~jnz1568/getInfo.php?workbook=16_08.xlsx&amp;sheet=U0&amp;row=2627&amp;col=7&amp;number=0.0583&amp;sourceID=14","0.0583")</f>
        <v>0.0583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HYPERLINK("http://141.218.60.56/~jnz1568/getInfo.php?workbook=16_08.xlsx&amp;sheet=U0&amp;row=2628&amp;col=6&amp;number=3.4&amp;sourceID=14","3.4")</f>
        <v>3.4</v>
      </c>
      <c r="G2628" s="4" t="str">
        <f>HYPERLINK("http://141.218.60.56/~jnz1568/getInfo.php?workbook=16_08.xlsx&amp;sheet=U0&amp;row=2628&amp;col=7&amp;number=0.0583&amp;sourceID=14","0.0583")</f>
        <v>0.0583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HYPERLINK("http://141.218.60.56/~jnz1568/getInfo.php?workbook=16_08.xlsx&amp;sheet=U0&amp;row=2629&amp;col=6&amp;number=3.5&amp;sourceID=14","3.5")</f>
        <v>3.5</v>
      </c>
      <c r="G2629" s="4" t="str">
        <f>HYPERLINK("http://141.218.60.56/~jnz1568/getInfo.php?workbook=16_08.xlsx&amp;sheet=U0&amp;row=2629&amp;col=7&amp;number=0.0583&amp;sourceID=14","0.0583")</f>
        <v>0.0583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HYPERLINK("http://141.218.60.56/~jnz1568/getInfo.php?workbook=16_08.xlsx&amp;sheet=U0&amp;row=2630&amp;col=6&amp;number=3.6&amp;sourceID=14","3.6")</f>
        <v>3.6</v>
      </c>
      <c r="G2630" s="4" t="str">
        <f>HYPERLINK("http://141.218.60.56/~jnz1568/getInfo.php?workbook=16_08.xlsx&amp;sheet=U0&amp;row=2630&amp;col=7&amp;number=0.0584&amp;sourceID=14","0.0584")</f>
        <v>0.0584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HYPERLINK("http://141.218.60.56/~jnz1568/getInfo.php?workbook=16_08.xlsx&amp;sheet=U0&amp;row=2631&amp;col=6&amp;number=3.7&amp;sourceID=14","3.7")</f>
        <v>3.7</v>
      </c>
      <c r="G2631" s="4" t="str">
        <f>HYPERLINK("http://141.218.60.56/~jnz1568/getInfo.php?workbook=16_08.xlsx&amp;sheet=U0&amp;row=2631&amp;col=7&amp;number=0.0584&amp;sourceID=14","0.0584")</f>
        <v>0.0584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HYPERLINK("http://141.218.60.56/~jnz1568/getInfo.php?workbook=16_08.xlsx&amp;sheet=U0&amp;row=2632&amp;col=6&amp;number=3.8&amp;sourceID=14","3.8")</f>
        <v>3.8</v>
      </c>
      <c r="G2632" s="4" t="str">
        <f>HYPERLINK("http://141.218.60.56/~jnz1568/getInfo.php?workbook=16_08.xlsx&amp;sheet=U0&amp;row=2632&amp;col=7&amp;number=0.0584&amp;sourceID=14","0.0584")</f>
        <v>0.0584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HYPERLINK("http://141.218.60.56/~jnz1568/getInfo.php?workbook=16_08.xlsx&amp;sheet=U0&amp;row=2633&amp;col=6&amp;number=3.9&amp;sourceID=14","3.9")</f>
        <v>3.9</v>
      </c>
      <c r="G2633" s="4" t="str">
        <f>HYPERLINK("http://141.218.60.56/~jnz1568/getInfo.php?workbook=16_08.xlsx&amp;sheet=U0&amp;row=2633&amp;col=7&amp;number=0.0584&amp;sourceID=14","0.0584")</f>
        <v>0.0584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HYPERLINK("http://141.218.60.56/~jnz1568/getInfo.php?workbook=16_08.xlsx&amp;sheet=U0&amp;row=2634&amp;col=6&amp;number=4&amp;sourceID=14","4")</f>
        <v>4</v>
      </c>
      <c r="G2634" s="4" t="str">
        <f>HYPERLINK("http://141.218.60.56/~jnz1568/getInfo.php?workbook=16_08.xlsx&amp;sheet=U0&amp;row=2634&amp;col=7&amp;number=0.0585&amp;sourceID=14","0.0585")</f>
        <v>0.0585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HYPERLINK("http://141.218.60.56/~jnz1568/getInfo.php?workbook=16_08.xlsx&amp;sheet=U0&amp;row=2635&amp;col=6&amp;number=4.1&amp;sourceID=14","4.1")</f>
        <v>4.1</v>
      </c>
      <c r="G2635" s="4" t="str">
        <f>HYPERLINK("http://141.218.60.56/~jnz1568/getInfo.php?workbook=16_08.xlsx&amp;sheet=U0&amp;row=2635&amp;col=7&amp;number=0.0586&amp;sourceID=14","0.0586")</f>
        <v>0.0586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HYPERLINK("http://141.218.60.56/~jnz1568/getInfo.php?workbook=16_08.xlsx&amp;sheet=U0&amp;row=2636&amp;col=6&amp;number=4.2&amp;sourceID=14","4.2")</f>
        <v>4.2</v>
      </c>
      <c r="G2636" s="4" t="str">
        <f>HYPERLINK("http://141.218.60.56/~jnz1568/getInfo.php?workbook=16_08.xlsx&amp;sheet=U0&amp;row=2636&amp;col=7&amp;number=0.0586&amp;sourceID=14","0.0586")</f>
        <v>0.0586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HYPERLINK("http://141.218.60.56/~jnz1568/getInfo.php?workbook=16_08.xlsx&amp;sheet=U0&amp;row=2637&amp;col=6&amp;number=4.3&amp;sourceID=14","4.3")</f>
        <v>4.3</v>
      </c>
      <c r="G2637" s="4" t="str">
        <f>HYPERLINK("http://141.218.60.56/~jnz1568/getInfo.php?workbook=16_08.xlsx&amp;sheet=U0&amp;row=2637&amp;col=7&amp;number=0.0587&amp;sourceID=14","0.0587")</f>
        <v>0.0587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HYPERLINK("http://141.218.60.56/~jnz1568/getInfo.php?workbook=16_08.xlsx&amp;sheet=U0&amp;row=2638&amp;col=6&amp;number=4.4&amp;sourceID=14","4.4")</f>
        <v>4.4</v>
      </c>
      <c r="G2638" s="4" t="str">
        <f>HYPERLINK("http://141.218.60.56/~jnz1568/getInfo.php?workbook=16_08.xlsx&amp;sheet=U0&amp;row=2638&amp;col=7&amp;number=0.0589&amp;sourceID=14","0.0589")</f>
        <v>0.0589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HYPERLINK("http://141.218.60.56/~jnz1568/getInfo.php?workbook=16_08.xlsx&amp;sheet=U0&amp;row=2639&amp;col=6&amp;number=4.5&amp;sourceID=14","4.5")</f>
        <v>4.5</v>
      </c>
      <c r="G2639" s="4" t="str">
        <f>HYPERLINK("http://141.218.60.56/~jnz1568/getInfo.php?workbook=16_08.xlsx&amp;sheet=U0&amp;row=2639&amp;col=7&amp;number=0.059&amp;sourceID=14","0.059")</f>
        <v>0.059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HYPERLINK("http://141.218.60.56/~jnz1568/getInfo.php?workbook=16_08.xlsx&amp;sheet=U0&amp;row=2640&amp;col=6&amp;number=4.6&amp;sourceID=14","4.6")</f>
        <v>4.6</v>
      </c>
      <c r="G2640" s="4" t="str">
        <f>HYPERLINK("http://141.218.60.56/~jnz1568/getInfo.php?workbook=16_08.xlsx&amp;sheet=U0&amp;row=2640&amp;col=7&amp;number=0.0592&amp;sourceID=14","0.0592")</f>
        <v>0.0592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HYPERLINK("http://141.218.60.56/~jnz1568/getInfo.php?workbook=16_08.xlsx&amp;sheet=U0&amp;row=2641&amp;col=6&amp;number=4.7&amp;sourceID=14","4.7")</f>
        <v>4.7</v>
      </c>
      <c r="G2641" s="4" t="str">
        <f>HYPERLINK("http://141.218.60.56/~jnz1568/getInfo.php?workbook=16_08.xlsx&amp;sheet=U0&amp;row=2641&amp;col=7&amp;number=0.0595&amp;sourceID=14","0.0595")</f>
        <v>0.0595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HYPERLINK("http://141.218.60.56/~jnz1568/getInfo.php?workbook=16_08.xlsx&amp;sheet=U0&amp;row=2642&amp;col=6&amp;number=4.8&amp;sourceID=14","4.8")</f>
        <v>4.8</v>
      </c>
      <c r="G2642" s="4" t="str">
        <f>HYPERLINK("http://141.218.60.56/~jnz1568/getInfo.php?workbook=16_08.xlsx&amp;sheet=U0&amp;row=2642&amp;col=7&amp;number=0.0598&amp;sourceID=14","0.0598")</f>
        <v>0.0598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HYPERLINK("http://141.218.60.56/~jnz1568/getInfo.php?workbook=16_08.xlsx&amp;sheet=U0&amp;row=2643&amp;col=6&amp;number=4.9&amp;sourceID=14","4.9")</f>
        <v>4.9</v>
      </c>
      <c r="G2643" s="4" t="str">
        <f>HYPERLINK("http://141.218.60.56/~jnz1568/getInfo.php?workbook=16_08.xlsx&amp;sheet=U0&amp;row=2643&amp;col=7&amp;number=0.0601&amp;sourceID=14","0.0601")</f>
        <v>0.0601</v>
      </c>
    </row>
    <row r="2644" spans="1:7">
      <c r="A2644" s="3">
        <v>16</v>
      </c>
      <c r="B2644" s="3">
        <v>8</v>
      </c>
      <c r="C2644" s="3">
        <v>2</v>
      </c>
      <c r="D2644" s="3">
        <v>50</v>
      </c>
      <c r="E2644" s="3">
        <v>1</v>
      </c>
      <c r="F2644" s="4" t="str">
        <f>HYPERLINK("http://141.218.60.56/~jnz1568/getInfo.php?workbook=16_08.xlsx&amp;sheet=U0&amp;row=2644&amp;col=6&amp;number=3&amp;sourceID=14","3")</f>
        <v>3</v>
      </c>
      <c r="G2644" s="4" t="str">
        <f>HYPERLINK("http://141.218.60.56/~jnz1568/getInfo.php?workbook=16_08.xlsx&amp;sheet=U0&amp;row=2644&amp;col=7&amp;number=0.0271&amp;sourceID=14","0.0271")</f>
        <v>0.0271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HYPERLINK("http://141.218.60.56/~jnz1568/getInfo.php?workbook=16_08.xlsx&amp;sheet=U0&amp;row=2645&amp;col=6&amp;number=3.1&amp;sourceID=14","3.1")</f>
        <v>3.1</v>
      </c>
      <c r="G2645" s="4" t="str">
        <f>HYPERLINK("http://141.218.60.56/~jnz1568/getInfo.php?workbook=16_08.xlsx&amp;sheet=U0&amp;row=2645&amp;col=7&amp;number=0.0271&amp;sourceID=14","0.0271")</f>
        <v>0.0271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HYPERLINK("http://141.218.60.56/~jnz1568/getInfo.php?workbook=16_08.xlsx&amp;sheet=U0&amp;row=2646&amp;col=6&amp;number=3.2&amp;sourceID=14","3.2")</f>
        <v>3.2</v>
      </c>
      <c r="G2646" s="4" t="str">
        <f>HYPERLINK("http://141.218.60.56/~jnz1568/getInfo.php?workbook=16_08.xlsx&amp;sheet=U0&amp;row=2646&amp;col=7&amp;number=0.0271&amp;sourceID=14","0.0271")</f>
        <v>0.0271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HYPERLINK("http://141.218.60.56/~jnz1568/getInfo.php?workbook=16_08.xlsx&amp;sheet=U0&amp;row=2647&amp;col=6&amp;number=3.3&amp;sourceID=14","3.3")</f>
        <v>3.3</v>
      </c>
      <c r="G2647" s="4" t="str">
        <f>HYPERLINK("http://141.218.60.56/~jnz1568/getInfo.php?workbook=16_08.xlsx&amp;sheet=U0&amp;row=2647&amp;col=7&amp;number=0.0271&amp;sourceID=14","0.0271")</f>
        <v>0.0271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HYPERLINK("http://141.218.60.56/~jnz1568/getInfo.php?workbook=16_08.xlsx&amp;sheet=U0&amp;row=2648&amp;col=6&amp;number=3.4&amp;sourceID=14","3.4")</f>
        <v>3.4</v>
      </c>
      <c r="G2648" s="4" t="str">
        <f>HYPERLINK("http://141.218.60.56/~jnz1568/getInfo.php?workbook=16_08.xlsx&amp;sheet=U0&amp;row=2648&amp;col=7&amp;number=0.0271&amp;sourceID=14","0.0271")</f>
        <v>0.0271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HYPERLINK("http://141.218.60.56/~jnz1568/getInfo.php?workbook=16_08.xlsx&amp;sheet=U0&amp;row=2649&amp;col=6&amp;number=3.5&amp;sourceID=14","3.5")</f>
        <v>3.5</v>
      </c>
      <c r="G2649" s="4" t="str">
        <f>HYPERLINK("http://141.218.60.56/~jnz1568/getInfo.php?workbook=16_08.xlsx&amp;sheet=U0&amp;row=2649&amp;col=7&amp;number=0.0271&amp;sourceID=14","0.0271")</f>
        <v>0.0271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HYPERLINK("http://141.218.60.56/~jnz1568/getInfo.php?workbook=16_08.xlsx&amp;sheet=U0&amp;row=2650&amp;col=6&amp;number=3.6&amp;sourceID=14","3.6")</f>
        <v>3.6</v>
      </c>
      <c r="G2650" s="4" t="str">
        <f>HYPERLINK("http://141.218.60.56/~jnz1568/getInfo.php?workbook=16_08.xlsx&amp;sheet=U0&amp;row=2650&amp;col=7&amp;number=0.0271&amp;sourceID=14","0.0271")</f>
        <v>0.0271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HYPERLINK("http://141.218.60.56/~jnz1568/getInfo.php?workbook=16_08.xlsx&amp;sheet=U0&amp;row=2651&amp;col=6&amp;number=3.7&amp;sourceID=14","3.7")</f>
        <v>3.7</v>
      </c>
      <c r="G2651" s="4" t="str">
        <f>HYPERLINK("http://141.218.60.56/~jnz1568/getInfo.php?workbook=16_08.xlsx&amp;sheet=U0&amp;row=2651&amp;col=7&amp;number=0.0271&amp;sourceID=14","0.0271")</f>
        <v>0.0271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HYPERLINK("http://141.218.60.56/~jnz1568/getInfo.php?workbook=16_08.xlsx&amp;sheet=U0&amp;row=2652&amp;col=6&amp;number=3.8&amp;sourceID=14","3.8")</f>
        <v>3.8</v>
      </c>
      <c r="G2652" s="4" t="str">
        <f>HYPERLINK("http://141.218.60.56/~jnz1568/getInfo.php?workbook=16_08.xlsx&amp;sheet=U0&amp;row=2652&amp;col=7&amp;number=0.0271&amp;sourceID=14","0.0271")</f>
        <v>0.0271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HYPERLINK("http://141.218.60.56/~jnz1568/getInfo.php?workbook=16_08.xlsx&amp;sheet=U0&amp;row=2653&amp;col=6&amp;number=3.9&amp;sourceID=14","3.9")</f>
        <v>3.9</v>
      </c>
      <c r="G2653" s="4" t="str">
        <f>HYPERLINK("http://141.218.60.56/~jnz1568/getInfo.php?workbook=16_08.xlsx&amp;sheet=U0&amp;row=2653&amp;col=7&amp;number=0.0271&amp;sourceID=14","0.0271")</f>
        <v>0.0271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HYPERLINK("http://141.218.60.56/~jnz1568/getInfo.php?workbook=16_08.xlsx&amp;sheet=U0&amp;row=2654&amp;col=6&amp;number=4&amp;sourceID=14","4")</f>
        <v>4</v>
      </c>
      <c r="G2654" s="4" t="str">
        <f>HYPERLINK("http://141.218.60.56/~jnz1568/getInfo.php?workbook=16_08.xlsx&amp;sheet=U0&amp;row=2654&amp;col=7&amp;number=0.0271&amp;sourceID=14","0.0271")</f>
        <v>0.0271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HYPERLINK("http://141.218.60.56/~jnz1568/getInfo.php?workbook=16_08.xlsx&amp;sheet=U0&amp;row=2655&amp;col=6&amp;number=4.1&amp;sourceID=14","4.1")</f>
        <v>4.1</v>
      </c>
      <c r="G2655" s="4" t="str">
        <f>HYPERLINK("http://141.218.60.56/~jnz1568/getInfo.php?workbook=16_08.xlsx&amp;sheet=U0&amp;row=2655&amp;col=7&amp;number=0.0271&amp;sourceID=14","0.0271")</f>
        <v>0.0271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HYPERLINK("http://141.218.60.56/~jnz1568/getInfo.php?workbook=16_08.xlsx&amp;sheet=U0&amp;row=2656&amp;col=6&amp;number=4.2&amp;sourceID=14","4.2")</f>
        <v>4.2</v>
      </c>
      <c r="G2656" s="4" t="str">
        <f>HYPERLINK("http://141.218.60.56/~jnz1568/getInfo.php?workbook=16_08.xlsx&amp;sheet=U0&amp;row=2656&amp;col=7&amp;number=0.0272&amp;sourceID=14","0.0272")</f>
        <v>0.0272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HYPERLINK("http://141.218.60.56/~jnz1568/getInfo.php?workbook=16_08.xlsx&amp;sheet=U0&amp;row=2657&amp;col=6&amp;number=4.3&amp;sourceID=14","4.3")</f>
        <v>4.3</v>
      </c>
      <c r="G2657" s="4" t="str">
        <f>HYPERLINK("http://141.218.60.56/~jnz1568/getInfo.php?workbook=16_08.xlsx&amp;sheet=U0&amp;row=2657&amp;col=7&amp;number=0.0272&amp;sourceID=14","0.0272")</f>
        <v>0.0272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HYPERLINK("http://141.218.60.56/~jnz1568/getInfo.php?workbook=16_08.xlsx&amp;sheet=U0&amp;row=2658&amp;col=6&amp;number=4.4&amp;sourceID=14","4.4")</f>
        <v>4.4</v>
      </c>
      <c r="G2658" s="4" t="str">
        <f>HYPERLINK("http://141.218.60.56/~jnz1568/getInfo.php?workbook=16_08.xlsx&amp;sheet=U0&amp;row=2658&amp;col=7&amp;number=0.0272&amp;sourceID=14","0.0272")</f>
        <v>0.0272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HYPERLINK("http://141.218.60.56/~jnz1568/getInfo.php?workbook=16_08.xlsx&amp;sheet=U0&amp;row=2659&amp;col=6&amp;number=4.5&amp;sourceID=14","4.5")</f>
        <v>4.5</v>
      </c>
      <c r="G2659" s="4" t="str">
        <f>HYPERLINK("http://141.218.60.56/~jnz1568/getInfo.php?workbook=16_08.xlsx&amp;sheet=U0&amp;row=2659&amp;col=7&amp;number=0.0273&amp;sourceID=14","0.0273")</f>
        <v>0.0273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HYPERLINK("http://141.218.60.56/~jnz1568/getInfo.php?workbook=16_08.xlsx&amp;sheet=U0&amp;row=2660&amp;col=6&amp;number=4.6&amp;sourceID=14","4.6")</f>
        <v>4.6</v>
      </c>
      <c r="G2660" s="4" t="str">
        <f>HYPERLINK("http://141.218.60.56/~jnz1568/getInfo.php?workbook=16_08.xlsx&amp;sheet=U0&amp;row=2660&amp;col=7&amp;number=0.0273&amp;sourceID=14","0.0273")</f>
        <v>0.0273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HYPERLINK("http://141.218.60.56/~jnz1568/getInfo.php?workbook=16_08.xlsx&amp;sheet=U0&amp;row=2661&amp;col=6&amp;number=4.7&amp;sourceID=14","4.7")</f>
        <v>4.7</v>
      </c>
      <c r="G2661" s="4" t="str">
        <f>HYPERLINK("http://141.218.60.56/~jnz1568/getInfo.php?workbook=16_08.xlsx&amp;sheet=U0&amp;row=2661&amp;col=7&amp;number=0.0274&amp;sourceID=14","0.0274")</f>
        <v>0.0274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HYPERLINK("http://141.218.60.56/~jnz1568/getInfo.php?workbook=16_08.xlsx&amp;sheet=U0&amp;row=2662&amp;col=6&amp;number=4.8&amp;sourceID=14","4.8")</f>
        <v>4.8</v>
      </c>
      <c r="G2662" s="4" t="str">
        <f>HYPERLINK("http://141.218.60.56/~jnz1568/getInfo.php?workbook=16_08.xlsx&amp;sheet=U0&amp;row=2662&amp;col=7&amp;number=0.0275&amp;sourceID=14","0.0275")</f>
        <v>0.0275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HYPERLINK("http://141.218.60.56/~jnz1568/getInfo.php?workbook=16_08.xlsx&amp;sheet=U0&amp;row=2663&amp;col=6&amp;number=4.9&amp;sourceID=14","4.9")</f>
        <v>4.9</v>
      </c>
      <c r="G2663" s="4" t="str">
        <f>HYPERLINK("http://141.218.60.56/~jnz1568/getInfo.php?workbook=16_08.xlsx&amp;sheet=U0&amp;row=2663&amp;col=7&amp;number=0.0276&amp;sourceID=14","0.0276")</f>
        <v>0.0276</v>
      </c>
    </row>
    <row r="2664" spans="1:7">
      <c r="A2664" s="3">
        <v>16</v>
      </c>
      <c r="B2664" s="3">
        <v>8</v>
      </c>
      <c r="C2664" s="3">
        <v>2</v>
      </c>
      <c r="D2664" s="3">
        <v>51</v>
      </c>
      <c r="E2664" s="3">
        <v>1</v>
      </c>
      <c r="F2664" s="4" t="str">
        <f>HYPERLINK("http://141.218.60.56/~jnz1568/getInfo.php?workbook=16_08.xlsx&amp;sheet=U0&amp;row=2664&amp;col=6&amp;number=3&amp;sourceID=14","3")</f>
        <v>3</v>
      </c>
      <c r="G2664" s="4" t="str">
        <f>HYPERLINK("http://141.218.60.56/~jnz1568/getInfo.php?workbook=16_08.xlsx&amp;sheet=U0&amp;row=2664&amp;col=7&amp;number=0.0152&amp;sourceID=14","0.0152")</f>
        <v>0.0152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HYPERLINK("http://141.218.60.56/~jnz1568/getInfo.php?workbook=16_08.xlsx&amp;sheet=U0&amp;row=2665&amp;col=6&amp;number=3.1&amp;sourceID=14","3.1")</f>
        <v>3.1</v>
      </c>
      <c r="G2665" s="4" t="str">
        <f>HYPERLINK("http://141.218.60.56/~jnz1568/getInfo.php?workbook=16_08.xlsx&amp;sheet=U0&amp;row=2665&amp;col=7&amp;number=0.0152&amp;sourceID=14","0.0152")</f>
        <v>0.0152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HYPERLINK("http://141.218.60.56/~jnz1568/getInfo.php?workbook=16_08.xlsx&amp;sheet=U0&amp;row=2666&amp;col=6&amp;number=3.2&amp;sourceID=14","3.2")</f>
        <v>3.2</v>
      </c>
      <c r="G2666" s="4" t="str">
        <f>HYPERLINK("http://141.218.60.56/~jnz1568/getInfo.php?workbook=16_08.xlsx&amp;sheet=U0&amp;row=2666&amp;col=7&amp;number=0.0152&amp;sourceID=14","0.0152")</f>
        <v>0.0152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HYPERLINK("http://141.218.60.56/~jnz1568/getInfo.php?workbook=16_08.xlsx&amp;sheet=U0&amp;row=2667&amp;col=6&amp;number=3.3&amp;sourceID=14","3.3")</f>
        <v>3.3</v>
      </c>
      <c r="G2667" s="4" t="str">
        <f>HYPERLINK("http://141.218.60.56/~jnz1568/getInfo.php?workbook=16_08.xlsx&amp;sheet=U0&amp;row=2667&amp;col=7&amp;number=0.0152&amp;sourceID=14","0.0152")</f>
        <v>0.0152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HYPERLINK("http://141.218.60.56/~jnz1568/getInfo.php?workbook=16_08.xlsx&amp;sheet=U0&amp;row=2668&amp;col=6&amp;number=3.4&amp;sourceID=14","3.4")</f>
        <v>3.4</v>
      </c>
      <c r="G2668" s="4" t="str">
        <f>HYPERLINK("http://141.218.60.56/~jnz1568/getInfo.php?workbook=16_08.xlsx&amp;sheet=U0&amp;row=2668&amp;col=7&amp;number=0.0152&amp;sourceID=14","0.0152")</f>
        <v>0.0152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HYPERLINK("http://141.218.60.56/~jnz1568/getInfo.php?workbook=16_08.xlsx&amp;sheet=U0&amp;row=2669&amp;col=6&amp;number=3.5&amp;sourceID=14","3.5")</f>
        <v>3.5</v>
      </c>
      <c r="G2669" s="4" t="str">
        <f>HYPERLINK("http://141.218.60.56/~jnz1568/getInfo.php?workbook=16_08.xlsx&amp;sheet=U0&amp;row=2669&amp;col=7&amp;number=0.0152&amp;sourceID=14","0.0152")</f>
        <v>0.0152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HYPERLINK("http://141.218.60.56/~jnz1568/getInfo.php?workbook=16_08.xlsx&amp;sheet=U0&amp;row=2670&amp;col=6&amp;number=3.6&amp;sourceID=14","3.6")</f>
        <v>3.6</v>
      </c>
      <c r="G2670" s="4" t="str">
        <f>HYPERLINK("http://141.218.60.56/~jnz1568/getInfo.php?workbook=16_08.xlsx&amp;sheet=U0&amp;row=2670&amp;col=7&amp;number=0.0152&amp;sourceID=14","0.0152")</f>
        <v>0.0152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HYPERLINK("http://141.218.60.56/~jnz1568/getInfo.php?workbook=16_08.xlsx&amp;sheet=U0&amp;row=2671&amp;col=6&amp;number=3.7&amp;sourceID=14","3.7")</f>
        <v>3.7</v>
      </c>
      <c r="G2671" s="4" t="str">
        <f>HYPERLINK("http://141.218.60.56/~jnz1568/getInfo.php?workbook=16_08.xlsx&amp;sheet=U0&amp;row=2671&amp;col=7&amp;number=0.0152&amp;sourceID=14","0.0152")</f>
        <v>0.0152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HYPERLINK("http://141.218.60.56/~jnz1568/getInfo.php?workbook=16_08.xlsx&amp;sheet=U0&amp;row=2672&amp;col=6&amp;number=3.8&amp;sourceID=14","3.8")</f>
        <v>3.8</v>
      </c>
      <c r="G2672" s="4" t="str">
        <f>HYPERLINK("http://141.218.60.56/~jnz1568/getInfo.php?workbook=16_08.xlsx&amp;sheet=U0&amp;row=2672&amp;col=7&amp;number=0.0152&amp;sourceID=14","0.0152")</f>
        <v>0.0152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HYPERLINK("http://141.218.60.56/~jnz1568/getInfo.php?workbook=16_08.xlsx&amp;sheet=U0&amp;row=2673&amp;col=6&amp;number=3.9&amp;sourceID=14","3.9")</f>
        <v>3.9</v>
      </c>
      <c r="G2673" s="4" t="str">
        <f>HYPERLINK("http://141.218.60.56/~jnz1568/getInfo.php?workbook=16_08.xlsx&amp;sheet=U0&amp;row=2673&amp;col=7&amp;number=0.0152&amp;sourceID=14","0.0152")</f>
        <v>0.0152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HYPERLINK("http://141.218.60.56/~jnz1568/getInfo.php?workbook=16_08.xlsx&amp;sheet=U0&amp;row=2674&amp;col=6&amp;number=4&amp;sourceID=14","4")</f>
        <v>4</v>
      </c>
      <c r="G2674" s="4" t="str">
        <f>HYPERLINK("http://141.218.60.56/~jnz1568/getInfo.php?workbook=16_08.xlsx&amp;sheet=U0&amp;row=2674&amp;col=7&amp;number=0.0152&amp;sourceID=14","0.0152")</f>
        <v>0.0152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HYPERLINK("http://141.218.60.56/~jnz1568/getInfo.php?workbook=16_08.xlsx&amp;sheet=U0&amp;row=2675&amp;col=6&amp;number=4.1&amp;sourceID=14","4.1")</f>
        <v>4.1</v>
      </c>
      <c r="G2675" s="4" t="str">
        <f>HYPERLINK("http://141.218.60.56/~jnz1568/getInfo.php?workbook=16_08.xlsx&amp;sheet=U0&amp;row=2675&amp;col=7&amp;number=0.0152&amp;sourceID=14","0.0152")</f>
        <v>0.0152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HYPERLINK("http://141.218.60.56/~jnz1568/getInfo.php?workbook=16_08.xlsx&amp;sheet=U0&amp;row=2676&amp;col=6&amp;number=4.2&amp;sourceID=14","4.2")</f>
        <v>4.2</v>
      </c>
      <c r="G2676" s="4" t="str">
        <f>HYPERLINK("http://141.218.60.56/~jnz1568/getInfo.php?workbook=16_08.xlsx&amp;sheet=U0&amp;row=2676&amp;col=7&amp;number=0.0152&amp;sourceID=14","0.0152")</f>
        <v>0.0152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HYPERLINK("http://141.218.60.56/~jnz1568/getInfo.php?workbook=16_08.xlsx&amp;sheet=U0&amp;row=2677&amp;col=6&amp;number=4.3&amp;sourceID=14","4.3")</f>
        <v>4.3</v>
      </c>
      <c r="G2677" s="4" t="str">
        <f>HYPERLINK("http://141.218.60.56/~jnz1568/getInfo.php?workbook=16_08.xlsx&amp;sheet=U0&amp;row=2677&amp;col=7&amp;number=0.0152&amp;sourceID=14","0.0152")</f>
        <v>0.0152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HYPERLINK("http://141.218.60.56/~jnz1568/getInfo.php?workbook=16_08.xlsx&amp;sheet=U0&amp;row=2678&amp;col=6&amp;number=4.4&amp;sourceID=14","4.4")</f>
        <v>4.4</v>
      </c>
      <c r="G2678" s="4" t="str">
        <f>HYPERLINK("http://141.218.60.56/~jnz1568/getInfo.php?workbook=16_08.xlsx&amp;sheet=U0&amp;row=2678&amp;col=7&amp;number=0.0152&amp;sourceID=14","0.0152")</f>
        <v>0.0152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HYPERLINK("http://141.218.60.56/~jnz1568/getInfo.php?workbook=16_08.xlsx&amp;sheet=U0&amp;row=2679&amp;col=6&amp;number=4.5&amp;sourceID=14","4.5")</f>
        <v>4.5</v>
      </c>
      <c r="G2679" s="4" t="str">
        <f>HYPERLINK("http://141.218.60.56/~jnz1568/getInfo.php?workbook=16_08.xlsx&amp;sheet=U0&amp;row=2679&amp;col=7&amp;number=0.0152&amp;sourceID=14","0.0152")</f>
        <v>0.0152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HYPERLINK("http://141.218.60.56/~jnz1568/getInfo.php?workbook=16_08.xlsx&amp;sheet=U0&amp;row=2680&amp;col=6&amp;number=4.6&amp;sourceID=14","4.6")</f>
        <v>4.6</v>
      </c>
      <c r="G2680" s="4" t="str">
        <f>HYPERLINK("http://141.218.60.56/~jnz1568/getInfo.php?workbook=16_08.xlsx&amp;sheet=U0&amp;row=2680&amp;col=7&amp;number=0.0152&amp;sourceID=14","0.0152")</f>
        <v>0.0152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HYPERLINK("http://141.218.60.56/~jnz1568/getInfo.php?workbook=16_08.xlsx&amp;sheet=U0&amp;row=2681&amp;col=6&amp;number=4.7&amp;sourceID=14","4.7")</f>
        <v>4.7</v>
      </c>
      <c r="G2681" s="4" t="str">
        <f>HYPERLINK("http://141.218.60.56/~jnz1568/getInfo.php?workbook=16_08.xlsx&amp;sheet=U0&amp;row=2681&amp;col=7&amp;number=0.0152&amp;sourceID=14","0.0152")</f>
        <v>0.0152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HYPERLINK("http://141.218.60.56/~jnz1568/getInfo.php?workbook=16_08.xlsx&amp;sheet=U0&amp;row=2682&amp;col=6&amp;number=4.8&amp;sourceID=14","4.8")</f>
        <v>4.8</v>
      </c>
      <c r="G2682" s="4" t="str">
        <f>HYPERLINK("http://141.218.60.56/~jnz1568/getInfo.php?workbook=16_08.xlsx&amp;sheet=U0&amp;row=2682&amp;col=7&amp;number=0.0151&amp;sourceID=14","0.0151")</f>
        <v>0.0151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HYPERLINK("http://141.218.60.56/~jnz1568/getInfo.php?workbook=16_08.xlsx&amp;sheet=U0&amp;row=2683&amp;col=6&amp;number=4.9&amp;sourceID=14","4.9")</f>
        <v>4.9</v>
      </c>
      <c r="G2683" s="4" t="str">
        <f>HYPERLINK("http://141.218.60.56/~jnz1568/getInfo.php?workbook=16_08.xlsx&amp;sheet=U0&amp;row=2683&amp;col=7&amp;number=0.0151&amp;sourceID=14","0.0151")</f>
        <v>0.0151</v>
      </c>
    </row>
    <row r="2684" spans="1:7">
      <c r="A2684" s="3">
        <v>16</v>
      </c>
      <c r="B2684" s="3">
        <v>8</v>
      </c>
      <c r="C2684" s="3">
        <v>2</v>
      </c>
      <c r="D2684" s="3">
        <v>52</v>
      </c>
      <c r="E2684" s="3">
        <v>1</v>
      </c>
      <c r="F2684" s="4" t="str">
        <f>HYPERLINK("http://141.218.60.56/~jnz1568/getInfo.php?workbook=16_08.xlsx&amp;sheet=U0&amp;row=2684&amp;col=6&amp;number=3&amp;sourceID=14","3")</f>
        <v>3</v>
      </c>
      <c r="G2684" s="4" t="str">
        <f>HYPERLINK("http://141.218.60.56/~jnz1568/getInfo.php?workbook=16_08.xlsx&amp;sheet=U0&amp;row=2684&amp;col=7&amp;number=0.00413&amp;sourceID=14","0.00413")</f>
        <v>0.00413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HYPERLINK("http://141.218.60.56/~jnz1568/getInfo.php?workbook=16_08.xlsx&amp;sheet=U0&amp;row=2685&amp;col=6&amp;number=3.1&amp;sourceID=14","3.1")</f>
        <v>3.1</v>
      </c>
      <c r="G2685" s="4" t="str">
        <f>HYPERLINK("http://141.218.60.56/~jnz1568/getInfo.php?workbook=16_08.xlsx&amp;sheet=U0&amp;row=2685&amp;col=7&amp;number=0.00413&amp;sourceID=14","0.00413")</f>
        <v>0.00413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HYPERLINK("http://141.218.60.56/~jnz1568/getInfo.php?workbook=16_08.xlsx&amp;sheet=U0&amp;row=2686&amp;col=6&amp;number=3.2&amp;sourceID=14","3.2")</f>
        <v>3.2</v>
      </c>
      <c r="G2686" s="4" t="str">
        <f>HYPERLINK("http://141.218.60.56/~jnz1568/getInfo.php?workbook=16_08.xlsx&amp;sheet=U0&amp;row=2686&amp;col=7&amp;number=0.00413&amp;sourceID=14","0.00413")</f>
        <v>0.00413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HYPERLINK("http://141.218.60.56/~jnz1568/getInfo.php?workbook=16_08.xlsx&amp;sheet=U0&amp;row=2687&amp;col=6&amp;number=3.3&amp;sourceID=14","3.3")</f>
        <v>3.3</v>
      </c>
      <c r="G2687" s="4" t="str">
        <f>HYPERLINK("http://141.218.60.56/~jnz1568/getInfo.php?workbook=16_08.xlsx&amp;sheet=U0&amp;row=2687&amp;col=7&amp;number=0.00413&amp;sourceID=14","0.00413")</f>
        <v>0.00413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HYPERLINK("http://141.218.60.56/~jnz1568/getInfo.php?workbook=16_08.xlsx&amp;sheet=U0&amp;row=2688&amp;col=6&amp;number=3.4&amp;sourceID=14","3.4")</f>
        <v>3.4</v>
      </c>
      <c r="G2688" s="4" t="str">
        <f>HYPERLINK("http://141.218.60.56/~jnz1568/getInfo.php?workbook=16_08.xlsx&amp;sheet=U0&amp;row=2688&amp;col=7&amp;number=0.00413&amp;sourceID=14","0.00413")</f>
        <v>0.00413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HYPERLINK("http://141.218.60.56/~jnz1568/getInfo.php?workbook=16_08.xlsx&amp;sheet=U0&amp;row=2689&amp;col=6&amp;number=3.5&amp;sourceID=14","3.5")</f>
        <v>3.5</v>
      </c>
      <c r="G2689" s="4" t="str">
        <f>HYPERLINK("http://141.218.60.56/~jnz1568/getInfo.php?workbook=16_08.xlsx&amp;sheet=U0&amp;row=2689&amp;col=7&amp;number=0.00413&amp;sourceID=14","0.00413")</f>
        <v>0.00413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HYPERLINK("http://141.218.60.56/~jnz1568/getInfo.php?workbook=16_08.xlsx&amp;sheet=U0&amp;row=2690&amp;col=6&amp;number=3.6&amp;sourceID=14","3.6")</f>
        <v>3.6</v>
      </c>
      <c r="G2690" s="4" t="str">
        <f>HYPERLINK("http://141.218.60.56/~jnz1568/getInfo.php?workbook=16_08.xlsx&amp;sheet=U0&amp;row=2690&amp;col=7&amp;number=0.00413&amp;sourceID=14","0.00413")</f>
        <v>0.00413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HYPERLINK("http://141.218.60.56/~jnz1568/getInfo.php?workbook=16_08.xlsx&amp;sheet=U0&amp;row=2691&amp;col=6&amp;number=3.7&amp;sourceID=14","3.7")</f>
        <v>3.7</v>
      </c>
      <c r="G2691" s="4" t="str">
        <f>HYPERLINK("http://141.218.60.56/~jnz1568/getInfo.php?workbook=16_08.xlsx&amp;sheet=U0&amp;row=2691&amp;col=7&amp;number=0.00413&amp;sourceID=14","0.00413")</f>
        <v>0.00413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HYPERLINK("http://141.218.60.56/~jnz1568/getInfo.php?workbook=16_08.xlsx&amp;sheet=U0&amp;row=2692&amp;col=6&amp;number=3.8&amp;sourceID=14","3.8")</f>
        <v>3.8</v>
      </c>
      <c r="G2692" s="4" t="str">
        <f>HYPERLINK("http://141.218.60.56/~jnz1568/getInfo.php?workbook=16_08.xlsx&amp;sheet=U0&amp;row=2692&amp;col=7&amp;number=0.00412&amp;sourceID=14","0.00412")</f>
        <v>0.00412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HYPERLINK("http://141.218.60.56/~jnz1568/getInfo.php?workbook=16_08.xlsx&amp;sheet=U0&amp;row=2693&amp;col=6&amp;number=3.9&amp;sourceID=14","3.9")</f>
        <v>3.9</v>
      </c>
      <c r="G2693" s="4" t="str">
        <f>HYPERLINK("http://141.218.60.56/~jnz1568/getInfo.php?workbook=16_08.xlsx&amp;sheet=U0&amp;row=2693&amp;col=7&amp;number=0.00412&amp;sourceID=14","0.00412")</f>
        <v>0.00412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HYPERLINK("http://141.218.60.56/~jnz1568/getInfo.php?workbook=16_08.xlsx&amp;sheet=U0&amp;row=2694&amp;col=6&amp;number=4&amp;sourceID=14","4")</f>
        <v>4</v>
      </c>
      <c r="G2694" s="4" t="str">
        <f>HYPERLINK("http://141.218.60.56/~jnz1568/getInfo.php?workbook=16_08.xlsx&amp;sheet=U0&amp;row=2694&amp;col=7&amp;number=0.00412&amp;sourceID=14","0.00412")</f>
        <v>0.00412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HYPERLINK("http://141.218.60.56/~jnz1568/getInfo.php?workbook=16_08.xlsx&amp;sheet=U0&amp;row=2695&amp;col=6&amp;number=4.1&amp;sourceID=14","4.1")</f>
        <v>4.1</v>
      </c>
      <c r="G2695" s="4" t="str">
        <f>HYPERLINK("http://141.218.60.56/~jnz1568/getInfo.php?workbook=16_08.xlsx&amp;sheet=U0&amp;row=2695&amp;col=7&amp;number=0.00412&amp;sourceID=14","0.00412")</f>
        <v>0.00412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HYPERLINK("http://141.218.60.56/~jnz1568/getInfo.php?workbook=16_08.xlsx&amp;sheet=U0&amp;row=2696&amp;col=6&amp;number=4.2&amp;sourceID=14","4.2")</f>
        <v>4.2</v>
      </c>
      <c r="G2696" s="4" t="str">
        <f>HYPERLINK("http://141.218.60.56/~jnz1568/getInfo.php?workbook=16_08.xlsx&amp;sheet=U0&amp;row=2696&amp;col=7&amp;number=0.00412&amp;sourceID=14","0.00412")</f>
        <v>0.00412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HYPERLINK("http://141.218.60.56/~jnz1568/getInfo.php?workbook=16_08.xlsx&amp;sheet=U0&amp;row=2697&amp;col=6&amp;number=4.3&amp;sourceID=14","4.3")</f>
        <v>4.3</v>
      </c>
      <c r="G2697" s="4" t="str">
        <f>HYPERLINK("http://141.218.60.56/~jnz1568/getInfo.php?workbook=16_08.xlsx&amp;sheet=U0&amp;row=2697&amp;col=7&amp;number=0.00412&amp;sourceID=14","0.00412")</f>
        <v>0.00412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HYPERLINK("http://141.218.60.56/~jnz1568/getInfo.php?workbook=16_08.xlsx&amp;sheet=U0&amp;row=2698&amp;col=6&amp;number=4.4&amp;sourceID=14","4.4")</f>
        <v>4.4</v>
      </c>
      <c r="G2698" s="4" t="str">
        <f>HYPERLINK("http://141.218.60.56/~jnz1568/getInfo.php?workbook=16_08.xlsx&amp;sheet=U0&amp;row=2698&amp;col=7&amp;number=0.00411&amp;sourceID=14","0.00411")</f>
        <v>0.00411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HYPERLINK("http://141.218.60.56/~jnz1568/getInfo.php?workbook=16_08.xlsx&amp;sheet=U0&amp;row=2699&amp;col=6&amp;number=4.5&amp;sourceID=14","4.5")</f>
        <v>4.5</v>
      </c>
      <c r="G2699" s="4" t="str">
        <f>HYPERLINK("http://141.218.60.56/~jnz1568/getInfo.php?workbook=16_08.xlsx&amp;sheet=U0&amp;row=2699&amp;col=7&amp;number=0.00411&amp;sourceID=14","0.00411")</f>
        <v>0.00411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HYPERLINK("http://141.218.60.56/~jnz1568/getInfo.php?workbook=16_08.xlsx&amp;sheet=U0&amp;row=2700&amp;col=6&amp;number=4.6&amp;sourceID=14","4.6")</f>
        <v>4.6</v>
      </c>
      <c r="G2700" s="4" t="str">
        <f>HYPERLINK("http://141.218.60.56/~jnz1568/getInfo.php?workbook=16_08.xlsx&amp;sheet=U0&amp;row=2700&amp;col=7&amp;number=0.0041&amp;sourceID=14","0.0041")</f>
        <v>0.0041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HYPERLINK("http://141.218.60.56/~jnz1568/getInfo.php?workbook=16_08.xlsx&amp;sheet=U0&amp;row=2701&amp;col=6&amp;number=4.7&amp;sourceID=14","4.7")</f>
        <v>4.7</v>
      </c>
      <c r="G2701" s="4" t="str">
        <f>HYPERLINK("http://141.218.60.56/~jnz1568/getInfo.php?workbook=16_08.xlsx&amp;sheet=U0&amp;row=2701&amp;col=7&amp;number=0.0041&amp;sourceID=14","0.0041")</f>
        <v>0.0041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HYPERLINK("http://141.218.60.56/~jnz1568/getInfo.php?workbook=16_08.xlsx&amp;sheet=U0&amp;row=2702&amp;col=6&amp;number=4.8&amp;sourceID=14","4.8")</f>
        <v>4.8</v>
      </c>
      <c r="G2702" s="4" t="str">
        <f>HYPERLINK("http://141.218.60.56/~jnz1568/getInfo.php?workbook=16_08.xlsx&amp;sheet=U0&amp;row=2702&amp;col=7&amp;number=0.00409&amp;sourceID=14","0.00409")</f>
        <v>0.00409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HYPERLINK("http://141.218.60.56/~jnz1568/getInfo.php?workbook=16_08.xlsx&amp;sheet=U0&amp;row=2703&amp;col=6&amp;number=4.9&amp;sourceID=14","4.9")</f>
        <v>4.9</v>
      </c>
      <c r="G2703" s="4" t="str">
        <f>HYPERLINK("http://141.218.60.56/~jnz1568/getInfo.php?workbook=16_08.xlsx&amp;sheet=U0&amp;row=2703&amp;col=7&amp;number=0.00408&amp;sourceID=14","0.00408")</f>
        <v>0.00408</v>
      </c>
    </row>
    <row r="2704" spans="1:7">
      <c r="A2704" s="3">
        <v>16</v>
      </c>
      <c r="B2704" s="3">
        <v>8</v>
      </c>
      <c r="C2704" s="3">
        <v>2</v>
      </c>
      <c r="D2704" s="3">
        <v>53</v>
      </c>
      <c r="E2704" s="3">
        <v>1</v>
      </c>
      <c r="F2704" s="4" t="str">
        <f>HYPERLINK("http://141.218.60.56/~jnz1568/getInfo.php?workbook=16_08.xlsx&amp;sheet=U0&amp;row=2704&amp;col=6&amp;number=3&amp;sourceID=14","3")</f>
        <v>3</v>
      </c>
      <c r="G2704" s="4" t="str">
        <f>HYPERLINK("http://141.218.60.56/~jnz1568/getInfo.php?workbook=16_08.xlsx&amp;sheet=U0&amp;row=2704&amp;col=7&amp;number=0.181&amp;sourceID=14","0.181")</f>
        <v>0.181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HYPERLINK("http://141.218.60.56/~jnz1568/getInfo.php?workbook=16_08.xlsx&amp;sheet=U0&amp;row=2705&amp;col=6&amp;number=3.1&amp;sourceID=14","3.1")</f>
        <v>3.1</v>
      </c>
      <c r="G2705" s="4" t="str">
        <f>HYPERLINK("http://141.218.60.56/~jnz1568/getInfo.php?workbook=16_08.xlsx&amp;sheet=U0&amp;row=2705&amp;col=7&amp;number=0.181&amp;sourceID=14","0.181")</f>
        <v>0.181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HYPERLINK("http://141.218.60.56/~jnz1568/getInfo.php?workbook=16_08.xlsx&amp;sheet=U0&amp;row=2706&amp;col=6&amp;number=3.2&amp;sourceID=14","3.2")</f>
        <v>3.2</v>
      </c>
      <c r="G2706" s="4" t="str">
        <f>HYPERLINK("http://141.218.60.56/~jnz1568/getInfo.php?workbook=16_08.xlsx&amp;sheet=U0&amp;row=2706&amp;col=7&amp;number=0.181&amp;sourceID=14","0.181")</f>
        <v>0.181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HYPERLINK("http://141.218.60.56/~jnz1568/getInfo.php?workbook=16_08.xlsx&amp;sheet=U0&amp;row=2707&amp;col=6&amp;number=3.3&amp;sourceID=14","3.3")</f>
        <v>3.3</v>
      </c>
      <c r="G2707" s="4" t="str">
        <f>HYPERLINK("http://141.218.60.56/~jnz1568/getInfo.php?workbook=16_08.xlsx&amp;sheet=U0&amp;row=2707&amp;col=7&amp;number=0.181&amp;sourceID=14","0.181")</f>
        <v>0.181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HYPERLINK("http://141.218.60.56/~jnz1568/getInfo.php?workbook=16_08.xlsx&amp;sheet=U0&amp;row=2708&amp;col=6&amp;number=3.4&amp;sourceID=14","3.4")</f>
        <v>3.4</v>
      </c>
      <c r="G2708" s="4" t="str">
        <f>HYPERLINK("http://141.218.60.56/~jnz1568/getInfo.php?workbook=16_08.xlsx&amp;sheet=U0&amp;row=2708&amp;col=7&amp;number=0.181&amp;sourceID=14","0.181")</f>
        <v>0.181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HYPERLINK("http://141.218.60.56/~jnz1568/getInfo.php?workbook=16_08.xlsx&amp;sheet=U0&amp;row=2709&amp;col=6&amp;number=3.5&amp;sourceID=14","3.5")</f>
        <v>3.5</v>
      </c>
      <c r="G2709" s="4" t="str">
        <f>HYPERLINK("http://141.218.60.56/~jnz1568/getInfo.php?workbook=16_08.xlsx&amp;sheet=U0&amp;row=2709&amp;col=7&amp;number=0.181&amp;sourceID=14","0.181")</f>
        <v>0.181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HYPERLINK("http://141.218.60.56/~jnz1568/getInfo.php?workbook=16_08.xlsx&amp;sheet=U0&amp;row=2710&amp;col=6&amp;number=3.6&amp;sourceID=14","3.6")</f>
        <v>3.6</v>
      </c>
      <c r="G2710" s="4" t="str">
        <f>HYPERLINK("http://141.218.60.56/~jnz1568/getInfo.php?workbook=16_08.xlsx&amp;sheet=U0&amp;row=2710&amp;col=7&amp;number=0.181&amp;sourceID=14","0.181")</f>
        <v>0.181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HYPERLINK("http://141.218.60.56/~jnz1568/getInfo.php?workbook=16_08.xlsx&amp;sheet=U0&amp;row=2711&amp;col=6&amp;number=3.7&amp;sourceID=14","3.7")</f>
        <v>3.7</v>
      </c>
      <c r="G2711" s="4" t="str">
        <f>HYPERLINK("http://141.218.60.56/~jnz1568/getInfo.php?workbook=16_08.xlsx&amp;sheet=U0&amp;row=2711&amp;col=7&amp;number=0.181&amp;sourceID=14","0.181")</f>
        <v>0.181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HYPERLINK("http://141.218.60.56/~jnz1568/getInfo.php?workbook=16_08.xlsx&amp;sheet=U0&amp;row=2712&amp;col=6&amp;number=3.8&amp;sourceID=14","3.8")</f>
        <v>3.8</v>
      </c>
      <c r="G2712" s="4" t="str">
        <f>HYPERLINK("http://141.218.60.56/~jnz1568/getInfo.php?workbook=16_08.xlsx&amp;sheet=U0&amp;row=2712&amp;col=7&amp;number=0.181&amp;sourceID=14","0.181")</f>
        <v>0.181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HYPERLINK("http://141.218.60.56/~jnz1568/getInfo.php?workbook=16_08.xlsx&amp;sheet=U0&amp;row=2713&amp;col=6&amp;number=3.9&amp;sourceID=14","3.9")</f>
        <v>3.9</v>
      </c>
      <c r="G2713" s="4" t="str">
        <f>HYPERLINK("http://141.218.60.56/~jnz1568/getInfo.php?workbook=16_08.xlsx&amp;sheet=U0&amp;row=2713&amp;col=7&amp;number=0.181&amp;sourceID=14","0.181")</f>
        <v>0.181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HYPERLINK("http://141.218.60.56/~jnz1568/getInfo.php?workbook=16_08.xlsx&amp;sheet=U0&amp;row=2714&amp;col=6&amp;number=4&amp;sourceID=14","4")</f>
        <v>4</v>
      </c>
      <c r="G2714" s="4" t="str">
        <f>HYPERLINK("http://141.218.60.56/~jnz1568/getInfo.php?workbook=16_08.xlsx&amp;sheet=U0&amp;row=2714&amp;col=7&amp;number=0.181&amp;sourceID=14","0.181")</f>
        <v>0.181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HYPERLINK("http://141.218.60.56/~jnz1568/getInfo.php?workbook=16_08.xlsx&amp;sheet=U0&amp;row=2715&amp;col=6&amp;number=4.1&amp;sourceID=14","4.1")</f>
        <v>4.1</v>
      </c>
      <c r="G2715" s="4" t="str">
        <f>HYPERLINK("http://141.218.60.56/~jnz1568/getInfo.php?workbook=16_08.xlsx&amp;sheet=U0&amp;row=2715&amp;col=7&amp;number=0.181&amp;sourceID=14","0.181")</f>
        <v>0.181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HYPERLINK("http://141.218.60.56/~jnz1568/getInfo.php?workbook=16_08.xlsx&amp;sheet=U0&amp;row=2716&amp;col=6&amp;number=4.2&amp;sourceID=14","4.2")</f>
        <v>4.2</v>
      </c>
      <c r="G2716" s="4" t="str">
        <f>HYPERLINK("http://141.218.60.56/~jnz1568/getInfo.php?workbook=16_08.xlsx&amp;sheet=U0&amp;row=2716&amp;col=7&amp;number=0.181&amp;sourceID=14","0.181")</f>
        <v>0.181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HYPERLINK("http://141.218.60.56/~jnz1568/getInfo.php?workbook=16_08.xlsx&amp;sheet=U0&amp;row=2717&amp;col=6&amp;number=4.3&amp;sourceID=14","4.3")</f>
        <v>4.3</v>
      </c>
      <c r="G2717" s="4" t="str">
        <f>HYPERLINK("http://141.218.60.56/~jnz1568/getInfo.php?workbook=16_08.xlsx&amp;sheet=U0&amp;row=2717&amp;col=7&amp;number=0.181&amp;sourceID=14","0.181")</f>
        <v>0.181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HYPERLINK("http://141.218.60.56/~jnz1568/getInfo.php?workbook=16_08.xlsx&amp;sheet=U0&amp;row=2718&amp;col=6&amp;number=4.4&amp;sourceID=14","4.4")</f>
        <v>4.4</v>
      </c>
      <c r="G2718" s="4" t="str">
        <f>HYPERLINK("http://141.218.60.56/~jnz1568/getInfo.php?workbook=16_08.xlsx&amp;sheet=U0&amp;row=2718&amp;col=7&amp;number=0.181&amp;sourceID=14","0.181")</f>
        <v>0.181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HYPERLINK("http://141.218.60.56/~jnz1568/getInfo.php?workbook=16_08.xlsx&amp;sheet=U0&amp;row=2719&amp;col=6&amp;number=4.5&amp;sourceID=14","4.5")</f>
        <v>4.5</v>
      </c>
      <c r="G2719" s="4" t="str">
        <f>HYPERLINK("http://141.218.60.56/~jnz1568/getInfo.php?workbook=16_08.xlsx&amp;sheet=U0&amp;row=2719&amp;col=7&amp;number=0.181&amp;sourceID=14","0.181")</f>
        <v>0.181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HYPERLINK("http://141.218.60.56/~jnz1568/getInfo.php?workbook=16_08.xlsx&amp;sheet=U0&amp;row=2720&amp;col=6&amp;number=4.6&amp;sourceID=14","4.6")</f>
        <v>4.6</v>
      </c>
      <c r="G2720" s="4" t="str">
        <f>HYPERLINK("http://141.218.60.56/~jnz1568/getInfo.php?workbook=16_08.xlsx&amp;sheet=U0&amp;row=2720&amp;col=7&amp;number=0.181&amp;sourceID=14","0.181")</f>
        <v>0.181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HYPERLINK("http://141.218.60.56/~jnz1568/getInfo.php?workbook=16_08.xlsx&amp;sheet=U0&amp;row=2721&amp;col=6&amp;number=4.7&amp;sourceID=14","4.7")</f>
        <v>4.7</v>
      </c>
      <c r="G2721" s="4" t="str">
        <f>HYPERLINK("http://141.218.60.56/~jnz1568/getInfo.php?workbook=16_08.xlsx&amp;sheet=U0&amp;row=2721&amp;col=7&amp;number=0.181&amp;sourceID=14","0.181")</f>
        <v>0.181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HYPERLINK("http://141.218.60.56/~jnz1568/getInfo.php?workbook=16_08.xlsx&amp;sheet=U0&amp;row=2722&amp;col=6&amp;number=4.8&amp;sourceID=14","4.8")</f>
        <v>4.8</v>
      </c>
      <c r="G2722" s="4" t="str">
        <f>HYPERLINK("http://141.218.60.56/~jnz1568/getInfo.php?workbook=16_08.xlsx&amp;sheet=U0&amp;row=2722&amp;col=7&amp;number=0.181&amp;sourceID=14","0.181")</f>
        <v>0.181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HYPERLINK("http://141.218.60.56/~jnz1568/getInfo.php?workbook=16_08.xlsx&amp;sheet=U0&amp;row=2723&amp;col=6&amp;number=4.9&amp;sourceID=14","4.9")</f>
        <v>4.9</v>
      </c>
      <c r="G2723" s="4" t="str">
        <f>HYPERLINK("http://141.218.60.56/~jnz1568/getInfo.php?workbook=16_08.xlsx&amp;sheet=U0&amp;row=2723&amp;col=7&amp;number=0.182&amp;sourceID=14","0.182")</f>
        <v>0.182</v>
      </c>
    </row>
    <row r="2724" spans="1:7">
      <c r="A2724" s="3">
        <v>16</v>
      </c>
      <c r="B2724" s="3">
        <v>8</v>
      </c>
      <c r="C2724" s="3">
        <v>2</v>
      </c>
      <c r="D2724" s="3">
        <v>54</v>
      </c>
      <c r="E2724" s="3">
        <v>1</v>
      </c>
      <c r="F2724" s="4" t="str">
        <f>HYPERLINK("http://141.218.60.56/~jnz1568/getInfo.php?workbook=16_08.xlsx&amp;sheet=U0&amp;row=2724&amp;col=6&amp;number=3&amp;sourceID=14","3")</f>
        <v>3</v>
      </c>
      <c r="G2724" s="4" t="str">
        <f>HYPERLINK("http://141.218.60.56/~jnz1568/getInfo.php?workbook=16_08.xlsx&amp;sheet=U0&amp;row=2724&amp;col=7&amp;number=0.00215&amp;sourceID=14","0.00215")</f>
        <v>0.00215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HYPERLINK("http://141.218.60.56/~jnz1568/getInfo.php?workbook=16_08.xlsx&amp;sheet=U0&amp;row=2725&amp;col=6&amp;number=3.1&amp;sourceID=14","3.1")</f>
        <v>3.1</v>
      </c>
      <c r="G2725" s="4" t="str">
        <f>HYPERLINK("http://141.218.60.56/~jnz1568/getInfo.php?workbook=16_08.xlsx&amp;sheet=U0&amp;row=2725&amp;col=7&amp;number=0.00215&amp;sourceID=14","0.00215")</f>
        <v>0.00215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HYPERLINK("http://141.218.60.56/~jnz1568/getInfo.php?workbook=16_08.xlsx&amp;sheet=U0&amp;row=2726&amp;col=6&amp;number=3.2&amp;sourceID=14","3.2")</f>
        <v>3.2</v>
      </c>
      <c r="G2726" s="4" t="str">
        <f>HYPERLINK("http://141.218.60.56/~jnz1568/getInfo.php?workbook=16_08.xlsx&amp;sheet=U0&amp;row=2726&amp;col=7&amp;number=0.00215&amp;sourceID=14","0.00215")</f>
        <v>0.00215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HYPERLINK("http://141.218.60.56/~jnz1568/getInfo.php?workbook=16_08.xlsx&amp;sheet=U0&amp;row=2727&amp;col=6&amp;number=3.3&amp;sourceID=14","3.3")</f>
        <v>3.3</v>
      </c>
      <c r="G2727" s="4" t="str">
        <f>HYPERLINK("http://141.218.60.56/~jnz1568/getInfo.php?workbook=16_08.xlsx&amp;sheet=U0&amp;row=2727&amp;col=7&amp;number=0.00215&amp;sourceID=14","0.00215")</f>
        <v>0.00215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HYPERLINK("http://141.218.60.56/~jnz1568/getInfo.php?workbook=16_08.xlsx&amp;sheet=U0&amp;row=2728&amp;col=6&amp;number=3.4&amp;sourceID=14","3.4")</f>
        <v>3.4</v>
      </c>
      <c r="G2728" s="4" t="str">
        <f>HYPERLINK("http://141.218.60.56/~jnz1568/getInfo.php?workbook=16_08.xlsx&amp;sheet=U0&amp;row=2728&amp;col=7&amp;number=0.00215&amp;sourceID=14","0.00215")</f>
        <v>0.00215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HYPERLINK("http://141.218.60.56/~jnz1568/getInfo.php?workbook=16_08.xlsx&amp;sheet=U0&amp;row=2729&amp;col=6&amp;number=3.5&amp;sourceID=14","3.5")</f>
        <v>3.5</v>
      </c>
      <c r="G2729" s="4" t="str">
        <f>HYPERLINK("http://141.218.60.56/~jnz1568/getInfo.php?workbook=16_08.xlsx&amp;sheet=U0&amp;row=2729&amp;col=7&amp;number=0.00215&amp;sourceID=14","0.00215")</f>
        <v>0.00215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HYPERLINK("http://141.218.60.56/~jnz1568/getInfo.php?workbook=16_08.xlsx&amp;sheet=U0&amp;row=2730&amp;col=6&amp;number=3.6&amp;sourceID=14","3.6")</f>
        <v>3.6</v>
      </c>
      <c r="G2730" s="4" t="str">
        <f>HYPERLINK("http://141.218.60.56/~jnz1568/getInfo.php?workbook=16_08.xlsx&amp;sheet=U0&amp;row=2730&amp;col=7&amp;number=0.00215&amp;sourceID=14","0.00215")</f>
        <v>0.00215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HYPERLINK("http://141.218.60.56/~jnz1568/getInfo.php?workbook=16_08.xlsx&amp;sheet=U0&amp;row=2731&amp;col=6&amp;number=3.7&amp;sourceID=14","3.7")</f>
        <v>3.7</v>
      </c>
      <c r="G2731" s="4" t="str">
        <f>HYPERLINK("http://141.218.60.56/~jnz1568/getInfo.php?workbook=16_08.xlsx&amp;sheet=U0&amp;row=2731&amp;col=7&amp;number=0.00215&amp;sourceID=14","0.00215")</f>
        <v>0.00215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HYPERLINK("http://141.218.60.56/~jnz1568/getInfo.php?workbook=16_08.xlsx&amp;sheet=U0&amp;row=2732&amp;col=6&amp;number=3.8&amp;sourceID=14","3.8")</f>
        <v>3.8</v>
      </c>
      <c r="G2732" s="4" t="str">
        <f>HYPERLINK("http://141.218.60.56/~jnz1568/getInfo.php?workbook=16_08.xlsx&amp;sheet=U0&amp;row=2732&amp;col=7&amp;number=0.00215&amp;sourceID=14","0.00215")</f>
        <v>0.00215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HYPERLINK("http://141.218.60.56/~jnz1568/getInfo.php?workbook=16_08.xlsx&amp;sheet=U0&amp;row=2733&amp;col=6&amp;number=3.9&amp;sourceID=14","3.9")</f>
        <v>3.9</v>
      </c>
      <c r="G2733" s="4" t="str">
        <f>HYPERLINK("http://141.218.60.56/~jnz1568/getInfo.php?workbook=16_08.xlsx&amp;sheet=U0&amp;row=2733&amp;col=7&amp;number=0.00215&amp;sourceID=14","0.00215")</f>
        <v>0.00215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HYPERLINK("http://141.218.60.56/~jnz1568/getInfo.php?workbook=16_08.xlsx&amp;sheet=U0&amp;row=2734&amp;col=6&amp;number=4&amp;sourceID=14","4")</f>
        <v>4</v>
      </c>
      <c r="G2734" s="4" t="str">
        <f>HYPERLINK("http://141.218.60.56/~jnz1568/getInfo.php?workbook=16_08.xlsx&amp;sheet=U0&amp;row=2734&amp;col=7&amp;number=0.00215&amp;sourceID=14","0.00215")</f>
        <v>0.00215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HYPERLINK("http://141.218.60.56/~jnz1568/getInfo.php?workbook=16_08.xlsx&amp;sheet=U0&amp;row=2735&amp;col=6&amp;number=4.1&amp;sourceID=14","4.1")</f>
        <v>4.1</v>
      </c>
      <c r="G2735" s="4" t="str">
        <f>HYPERLINK("http://141.218.60.56/~jnz1568/getInfo.php?workbook=16_08.xlsx&amp;sheet=U0&amp;row=2735&amp;col=7&amp;number=0.00215&amp;sourceID=14","0.00215")</f>
        <v>0.00215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HYPERLINK("http://141.218.60.56/~jnz1568/getInfo.php?workbook=16_08.xlsx&amp;sheet=U0&amp;row=2736&amp;col=6&amp;number=4.2&amp;sourceID=14","4.2")</f>
        <v>4.2</v>
      </c>
      <c r="G2736" s="4" t="str">
        <f>HYPERLINK("http://141.218.60.56/~jnz1568/getInfo.php?workbook=16_08.xlsx&amp;sheet=U0&amp;row=2736&amp;col=7&amp;number=0.00215&amp;sourceID=14","0.00215")</f>
        <v>0.00215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HYPERLINK("http://141.218.60.56/~jnz1568/getInfo.php?workbook=16_08.xlsx&amp;sheet=U0&amp;row=2737&amp;col=6&amp;number=4.3&amp;sourceID=14","4.3")</f>
        <v>4.3</v>
      </c>
      <c r="G2737" s="4" t="str">
        <f>HYPERLINK("http://141.218.60.56/~jnz1568/getInfo.php?workbook=16_08.xlsx&amp;sheet=U0&amp;row=2737&amp;col=7&amp;number=0.00215&amp;sourceID=14","0.00215")</f>
        <v>0.00215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HYPERLINK("http://141.218.60.56/~jnz1568/getInfo.php?workbook=16_08.xlsx&amp;sheet=U0&amp;row=2738&amp;col=6&amp;number=4.4&amp;sourceID=14","4.4")</f>
        <v>4.4</v>
      </c>
      <c r="G2738" s="4" t="str">
        <f>HYPERLINK("http://141.218.60.56/~jnz1568/getInfo.php?workbook=16_08.xlsx&amp;sheet=U0&amp;row=2738&amp;col=7&amp;number=0.00214&amp;sourceID=14","0.00214")</f>
        <v>0.00214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HYPERLINK("http://141.218.60.56/~jnz1568/getInfo.php?workbook=16_08.xlsx&amp;sheet=U0&amp;row=2739&amp;col=6&amp;number=4.5&amp;sourceID=14","4.5")</f>
        <v>4.5</v>
      </c>
      <c r="G2739" s="4" t="str">
        <f>HYPERLINK("http://141.218.60.56/~jnz1568/getInfo.php?workbook=16_08.xlsx&amp;sheet=U0&amp;row=2739&amp;col=7&amp;number=0.00214&amp;sourceID=14","0.00214")</f>
        <v>0.00214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HYPERLINK("http://141.218.60.56/~jnz1568/getInfo.php?workbook=16_08.xlsx&amp;sheet=U0&amp;row=2740&amp;col=6&amp;number=4.6&amp;sourceID=14","4.6")</f>
        <v>4.6</v>
      </c>
      <c r="G2740" s="4" t="str">
        <f>HYPERLINK("http://141.218.60.56/~jnz1568/getInfo.php?workbook=16_08.xlsx&amp;sheet=U0&amp;row=2740&amp;col=7&amp;number=0.00214&amp;sourceID=14","0.00214")</f>
        <v>0.00214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HYPERLINK("http://141.218.60.56/~jnz1568/getInfo.php?workbook=16_08.xlsx&amp;sheet=U0&amp;row=2741&amp;col=6&amp;number=4.7&amp;sourceID=14","4.7")</f>
        <v>4.7</v>
      </c>
      <c r="G2741" s="4" t="str">
        <f>HYPERLINK("http://141.218.60.56/~jnz1568/getInfo.php?workbook=16_08.xlsx&amp;sheet=U0&amp;row=2741&amp;col=7&amp;number=0.00213&amp;sourceID=14","0.00213")</f>
        <v>0.00213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HYPERLINK("http://141.218.60.56/~jnz1568/getInfo.php?workbook=16_08.xlsx&amp;sheet=U0&amp;row=2742&amp;col=6&amp;number=4.8&amp;sourceID=14","4.8")</f>
        <v>4.8</v>
      </c>
      <c r="G2742" s="4" t="str">
        <f>HYPERLINK("http://141.218.60.56/~jnz1568/getInfo.php?workbook=16_08.xlsx&amp;sheet=U0&amp;row=2742&amp;col=7&amp;number=0.00213&amp;sourceID=14","0.00213")</f>
        <v>0.00213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HYPERLINK("http://141.218.60.56/~jnz1568/getInfo.php?workbook=16_08.xlsx&amp;sheet=U0&amp;row=2743&amp;col=6&amp;number=4.9&amp;sourceID=14","4.9")</f>
        <v>4.9</v>
      </c>
      <c r="G2743" s="4" t="str">
        <f>HYPERLINK("http://141.218.60.56/~jnz1568/getInfo.php?workbook=16_08.xlsx&amp;sheet=U0&amp;row=2743&amp;col=7&amp;number=0.00212&amp;sourceID=14","0.00212")</f>
        <v>0.00212</v>
      </c>
    </row>
    <row r="2744" spans="1:7">
      <c r="A2744" s="3">
        <v>16</v>
      </c>
      <c r="B2744" s="3">
        <v>8</v>
      </c>
      <c r="C2744" s="3">
        <v>2</v>
      </c>
      <c r="D2744" s="3">
        <v>55</v>
      </c>
      <c r="E2744" s="3">
        <v>1</v>
      </c>
      <c r="F2744" s="4" t="str">
        <f>HYPERLINK("http://141.218.60.56/~jnz1568/getInfo.php?workbook=16_08.xlsx&amp;sheet=U0&amp;row=2744&amp;col=6&amp;number=3&amp;sourceID=14","3")</f>
        <v>3</v>
      </c>
      <c r="G2744" s="4" t="str">
        <f>HYPERLINK("http://141.218.60.56/~jnz1568/getInfo.php?workbook=16_08.xlsx&amp;sheet=U0&amp;row=2744&amp;col=7&amp;number=0.00725&amp;sourceID=14","0.00725")</f>
        <v>0.00725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HYPERLINK("http://141.218.60.56/~jnz1568/getInfo.php?workbook=16_08.xlsx&amp;sheet=U0&amp;row=2745&amp;col=6&amp;number=3.1&amp;sourceID=14","3.1")</f>
        <v>3.1</v>
      </c>
      <c r="G2745" s="4" t="str">
        <f>HYPERLINK("http://141.218.60.56/~jnz1568/getInfo.php?workbook=16_08.xlsx&amp;sheet=U0&amp;row=2745&amp;col=7&amp;number=0.00725&amp;sourceID=14","0.00725")</f>
        <v>0.00725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HYPERLINK("http://141.218.60.56/~jnz1568/getInfo.php?workbook=16_08.xlsx&amp;sheet=U0&amp;row=2746&amp;col=6&amp;number=3.2&amp;sourceID=14","3.2")</f>
        <v>3.2</v>
      </c>
      <c r="G2746" s="4" t="str">
        <f>HYPERLINK("http://141.218.60.56/~jnz1568/getInfo.php?workbook=16_08.xlsx&amp;sheet=U0&amp;row=2746&amp;col=7&amp;number=0.00725&amp;sourceID=14","0.00725")</f>
        <v>0.00725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HYPERLINK("http://141.218.60.56/~jnz1568/getInfo.php?workbook=16_08.xlsx&amp;sheet=U0&amp;row=2747&amp;col=6&amp;number=3.3&amp;sourceID=14","3.3")</f>
        <v>3.3</v>
      </c>
      <c r="G2747" s="4" t="str">
        <f>HYPERLINK("http://141.218.60.56/~jnz1568/getInfo.php?workbook=16_08.xlsx&amp;sheet=U0&amp;row=2747&amp;col=7&amp;number=0.00725&amp;sourceID=14","0.00725")</f>
        <v>0.00725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HYPERLINK("http://141.218.60.56/~jnz1568/getInfo.php?workbook=16_08.xlsx&amp;sheet=U0&amp;row=2748&amp;col=6&amp;number=3.4&amp;sourceID=14","3.4")</f>
        <v>3.4</v>
      </c>
      <c r="G2748" s="4" t="str">
        <f>HYPERLINK("http://141.218.60.56/~jnz1568/getInfo.php?workbook=16_08.xlsx&amp;sheet=U0&amp;row=2748&amp;col=7&amp;number=0.00724&amp;sourceID=14","0.00724")</f>
        <v>0.00724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HYPERLINK("http://141.218.60.56/~jnz1568/getInfo.php?workbook=16_08.xlsx&amp;sheet=U0&amp;row=2749&amp;col=6&amp;number=3.5&amp;sourceID=14","3.5")</f>
        <v>3.5</v>
      </c>
      <c r="G2749" s="4" t="str">
        <f>HYPERLINK("http://141.218.60.56/~jnz1568/getInfo.php?workbook=16_08.xlsx&amp;sheet=U0&amp;row=2749&amp;col=7&amp;number=0.00724&amp;sourceID=14","0.00724")</f>
        <v>0.00724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HYPERLINK("http://141.218.60.56/~jnz1568/getInfo.php?workbook=16_08.xlsx&amp;sheet=U0&amp;row=2750&amp;col=6&amp;number=3.6&amp;sourceID=14","3.6")</f>
        <v>3.6</v>
      </c>
      <c r="G2750" s="4" t="str">
        <f>HYPERLINK("http://141.218.60.56/~jnz1568/getInfo.php?workbook=16_08.xlsx&amp;sheet=U0&amp;row=2750&amp;col=7&amp;number=0.00724&amp;sourceID=14","0.00724")</f>
        <v>0.00724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HYPERLINK("http://141.218.60.56/~jnz1568/getInfo.php?workbook=16_08.xlsx&amp;sheet=U0&amp;row=2751&amp;col=6&amp;number=3.7&amp;sourceID=14","3.7")</f>
        <v>3.7</v>
      </c>
      <c r="G2751" s="4" t="str">
        <f>HYPERLINK("http://141.218.60.56/~jnz1568/getInfo.php?workbook=16_08.xlsx&amp;sheet=U0&amp;row=2751&amp;col=7&amp;number=0.00724&amp;sourceID=14","0.00724")</f>
        <v>0.00724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HYPERLINK("http://141.218.60.56/~jnz1568/getInfo.php?workbook=16_08.xlsx&amp;sheet=U0&amp;row=2752&amp;col=6&amp;number=3.8&amp;sourceID=14","3.8")</f>
        <v>3.8</v>
      </c>
      <c r="G2752" s="4" t="str">
        <f>HYPERLINK("http://141.218.60.56/~jnz1568/getInfo.php?workbook=16_08.xlsx&amp;sheet=U0&amp;row=2752&amp;col=7&amp;number=0.00723&amp;sourceID=14","0.00723")</f>
        <v>0.00723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HYPERLINK("http://141.218.60.56/~jnz1568/getInfo.php?workbook=16_08.xlsx&amp;sheet=U0&amp;row=2753&amp;col=6&amp;number=3.9&amp;sourceID=14","3.9")</f>
        <v>3.9</v>
      </c>
      <c r="G2753" s="4" t="str">
        <f>HYPERLINK("http://141.218.60.56/~jnz1568/getInfo.php?workbook=16_08.xlsx&amp;sheet=U0&amp;row=2753&amp;col=7&amp;number=0.00723&amp;sourceID=14","0.00723")</f>
        <v>0.00723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HYPERLINK("http://141.218.60.56/~jnz1568/getInfo.php?workbook=16_08.xlsx&amp;sheet=U0&amp;row=2754&amp;col=6&amp;number=4&amp;sourceID=14","4")</f>
        <v>4</v>
      </c>
      <c r="G2754" s="4" t="str">
        <f>HYPERLINK("http://141.218.60.56/~jnz1568/getInfo.php?workbook=16_08.xlsx&amp;sheet=U0&amp;row=2754&amp;col=7&amp;number=0.00723&amp;sourceID=14","0.00723")</f>
        <v>0.00723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HYPERLINK("http://141.218.60.56/~jnz1568/getInfo.php?workbook=16_08.xlsx&amp;sheet=U0&amp;row=2755&amp;col=6&amp;number=4.1&amp;sourceID=14","4.1")</f>
        <v>4.1</v>
      </c>
      <c r="G2755" s="4" t="str">
        <f>HYPERLINK("http://141.218.60.56/~jnz1568/getInfo.php?workbook=16_08.xlsx&amp;sheet=U0&amp;row=2755&amp;col=7&amp;number=0.00722&amp;sourceID=14","0.00722")</f>
        <v>0.00722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HYPERLINK("http://141.218.60.56/~jnz1568/getInfo.php?workbook=16_08.xlsx&amp;sheet=U0&amp;row=2756&amp;col=6&amp;number=4.2&amp;sourceID=14","4.2")</f>
        <v>4.2</v>
      </c>
      <c r="G2756" s="4" t="str">
        <f>HYPERLINK("http://141.218.60.56/~jnz1568/getInfo.php?workbook=16_08.xlsx&amp;sheet=U0&amp;row=2756&amp;col=7&amp;number=0.00721&amp;sourceID=14","0.00721")</f>
        <v>0.00721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HYPERLINK("http://141.218.60.56/~jnz1568/getInfo.php?workbook=16_08.xlsx&amp;sheet=U0&amp;row=2757&amp;col=6&amp;number=4.3&amp;sourceID=14","4.3")</f>
        <v>4.3</v>
      </c>
      <c r="G2757" s="4" t="str">
        <f>HYPERLINK("http://141.218.60.56/~jnz1568/getInfo.php?workbook=16_08.xlsx&amp;sheet=U0&amp;row=2757&amp;col=7&amp;number=0.0072&amp;sourceID=14","0.0072")</f>
        <v>0.0072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HYPERLINK("http://141.218.60.56/~jnz1568/getInfo.php?workbook=16_08.xlsx&amp;sheet=U0&amp;row=2758&amp;col=6&amp;number=4.4&amp;sourceID=14","4.4")</f>
        <v>4.4</v>
      </c>
      <c r="G2758" s="4" t="str">
        <f>HYPERLINK("http://141.218.60.56/~jnz1568/getInfo.php?workbook=16_08.xlsx&amp;sheet=U0&amp;row=2758&amp;col=7&amp;number=0.00719&amp;sourceID=14","0.00719")</f>
        <v>0.00719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HYPERLINK("http://141.218.60.56/~jnz1568/getInfo.php?workbook=16_08.xlsx&amp;sheet=U0&amp;row=2759&amp;col=6&amp;number=4.5&amp;sourceID=14","4.5")</f>
        <v>4.5</v>
      </c>
      <c r="G2759" s="4" t="str">
        <f>HYPERLINK("http://141.218.60.56/~jnz1568/getInfo.php?workbook=16_08.xlsx&amp;sheet=U0&amp;row=2759&amp;col=7&amp;number=0.00717&amp;sourceID=14","0.00717")</f>
        <v>0.00717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HYPERLINK("http://141.218.60.56/~jnz1568/getInfo.php?workbook=16_08.xlsx&amp;sheet=U0&amp;row=2760&amp;col=6&amp;number=4.6&amp;sourceID=14","4.6")</f>
        <v>4.6</v>
      </c>
      <c r="G2760" s="4" t="str">
        <f>HYPERLINK("http://141.218.60.56/~jnz1568/getInfo.php?workbook=16_08.xlsx&amp;sheet=U0&amp;row=2760&amp;col=7&amp;number=0.00715&amp;sourceID=14","0.00715")</f>
        <v>0.00715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HYPERLINK("http://141.218.60.56/~jnz1568/getInfo.php?workbook=16_08.xlsx&amp;sheet=U0&amp;row=2761&amp;col=6&amp;number=4.7&amp;sourceID=14","4.7")</f>
        <v>4.7</v>
      </c>
      <c r="G2761" s="4" t="str">
        <f>HYPERLINK("http://141.218.60.56/~jnz1568/getInfo.php?workbook=16_08.xlsx&amp;sheet=U0&amp;row=2761&amp;col=7&amp;number=0.00713&amp;sourceID=14","0.00713")</f>
        <v>0.00713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HYPERLINK("http://141.218.60.56/~jnz1568/getInfo.php?workbook=16_08.xlsx&amp;sheet=U0&amp;row=2762&amp;col=6&amp;number=4.8&amp;sourceID=14","4.8")</f>
        <v>4.8</v>
      </c>
      <c r="G2762" s="4" t="str">
        <f>HYPERLINK("http://141.218.60.56/~jnz1568/getInfo.php?workbook=16_08.xlsx&amp;sheet=U0&amp;row=2762&amp;col=7&amp;number=0.0071&amp;sourceID=14","0.0071")</f>
        <v>0.0071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HYPERLINK("http://141.218.60.56/~jnz1568/getInfo.php?workbook=16_08.xlsx&amp;sheet=U0&amp;row=2763&amp;col=6&amp;number=4.9&amp;sourceID=14","4.9")</f>
        <v>4.9</v>
      </c>
      <c r="G2763" s="4" t="str">
        <f>HYPERLINK("http://141.218.60.56/~jnz1568/getInfo.php?workbook=16_08.xlsx&amp;sheet=U0&amp;row=2763&amp;col=7&amp;number=0.00706&amp;sourceID=14","0.00706")</f>
        <v>0.00706</v>
      </c>
    </row>
    <row r="2764" spans="1:7">
      <c r="A2764" s="3">
        <v>16</v>
      </c>
      <c r="B2764" s="3">
        <v>8</v>
      </c>
      <c r="C2764" s="3">
        <v>2</v>
      </c>
      <c r="D2764" s="3">
        <v>56</v>
      </c>
      <c r="E2764" s="3">
        <v>1</v>
      </c>
      <c r="F2764" s="4" t="str">
        <f>HYPERLINK("http://141.218.60.56/~jnz1568/getInfo.php?workbook=16_08.xlsx&amp;sheet=U0&amp;row=2764&amp;col=6&amp;number=3&amp;sourceID=14","3")</f>
        <v>3</v>
      </c>
      <c r="G2764" s="4" t="str">
        <f>HYPERLINK("http://141.218.60.56/~jnz1568/getInfo.php?workbook=16_08.xlsx&amp;sheet=U0&amp;row=2764&amp;col=7&amp;number=0.00611&amp;sourceID=14","0.00611")</f>
        <v>0.00611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HYPERLINK("http://141.218.60.56/~jnz1568/getInfo.php?workbook=16_08.xlsx&amp;sheet=U0&amp;row=2765&amp;col=6&amp;number=3.1&amp;sourceID=14","3.1")</f>
        <v>3.1</v>
      </c>
      <c r="G2765" s="4" t="str">
        <f>HYPERLINK("http://141.218.60.56/~jnz1568/getInfo.php?workbook=16_08.xlsx&amp;sheet=U0&amp;row=2765&amp;col=7&amp;number=0.00611&amp;sourceID=14","0.00611")</f>
        <v>0.00611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HYPERLINK("http://141.218.60.56/~jnz1568/getInfo.php?workbook=16_08.xlsx&amp;sheet=U0&amp;row=2766&amp;col=6&amp;number=3.2&amp;sourceID=14","3.2")</f>
        <v>3.2</v>
      </c>
      <c r="G2766" s="4" t="str">
        <f>HYPERLINK("http://141.218.60.56/~jnz1568/getInfo.php?workbook=16_08.xlsx&amp;sheet=U0&amp;row=2766&amp;col=7&amp;number=0.0061&amp;sourceID=14","0.0061")</f>
        <v>0.0061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HYPERLINK("http://141.218.60.56/~jnz1568/getInfo.php?workbook=16_08.xlsx&amp;sheet=U0&amp;row=2767&amp;col=6&amp;number=3.3&amp;sourceID=14","3.3")</f>
        <v>3.3</v>
      </c>
      <c r="G2767" s="4" t="str">
        <f>HYPERLINK("http://141.218.60.56/~jnz1568/getInfo.php?workbook=16_08.xlsx&amp;sheet=U0&amp;row=2767&amp;col=7&amp;number=0.0061&amp;sourceID=14","0.0061")</f>
        <v>0.0061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HYPERLINK("http://141.218.60.56/~jnz1568/getInfo.php?workbook=16_08.xlsx&amp;sheet=U0&amp;row=2768&amp;col=6&amp;number=3.4&amp;sourceID=14","3.4")</f>
        <v>3.4</v>
      </c>
      <c r="G2768" s="4" t="str">
        <f>HYPERLINK("http://141.218.60.56/~jnz1568/getInfo.php?workbook=16_08.xlsx&amp;sheet=U0&amp;row=2768&amp;col=7&amp;number=0.0061&amp;sourceID=14","0.0061")</f>
        <v>0.0061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HYPERLINK("http://141.218.60.56/~jnz1568/getInfo.php?workbook=16_08.xlsx&amp;sheet=U0&amp;row=2769&amp;col=6&amp;number=3.5&amp;sourceID=14","3.5")</f>
        <v>3.5</v>
      </c>
      <c r="G2769" s="4" t="str">
        <f>HYPERLINK("http://141.218.60.56/~jnz1568/getInfo.php?workbook=16_08.xlsx&amp;sheet=U0&amp;row=2769&amp;col=7&amp;number=0.0061&amp;sourceID=14","0.0061")</f>
        <v>0.0061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HYPERLINK("http://141.218.60.56/~jnz1568/getInfo.php?workbook=16_08.xlsx&amp;sheet=U0&amp;row=2770&amp;col=6&amp;number=3.6&amp;sourceID=14","3.6")</f>
        <v>3.6</v>
      </c>
      <c r="G2770" s="4" t="str">
        <f>HYPERLINK("http://141.218.60.56/~jnz1568/getInfo.php?workbook=16_08.xlsx&amp;sheet=U0&amp;row=2770&amp;col=7&amp;number=0.0061&amp;sourceID=14","0.0061")</f>
        <v>0.0061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HYPERLINK("http://141.218.60.56/~jnz1568/getInfo.php?workbook=16_08.xlsx&amp;sheet=U0&amp;row=2771&amp;col=6&amp;number=3.7&amp;sourceID=14","3.7")</f>
        <v>3.7</v>
      </c>
      <c r="G2771" s="4" t="str">
        <f>HYPERLINK("http://141.218.60.56/~jnz1568/getInfo.php?workbook=16_08.xlsx&amp;sheet=U0&amp;row=2771&amp;col=7&amp;number=0.0061&amp;sourceID=14","0.0061")</f>
        <v>0.0061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HYPERLINK("http://141.218.60.56/~jnz1568/getInfo.php?workbook=16_08.xlsx&amp;sheet=U0&amp;row=2772&amp;col=6&amp;number=3.8&amp;sourceID=14","3.8")</f>
        <v>3.8</v>
      </c>
      <c r="G2772" s="4" t="str">
        <f>HYPERLINK("http://141.218.60.56/~jnz1568/getInfo.php?workbook=16_08.xlsx&amp;sheet=U0&amp;row=2772&amp;col=7&amp;number=0.0061&amp;sourceID=14","0.0061")</f>
        <v>0.0061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HYPERLINK("http://141.218.60.56/~jnz1568/getInfo.php?workbook=16_08.xlsx&amp;sheet=U0&amp;row=2773&amp;col=6&amp;number=3.9&amp;sourceID=14","3.9")</f>
        <v>3.9</v>
      </c>
      <c r="G2773" s="4" t="str">
        <f>HYPERLINK("http://141.218.60.56/~jnz1568/getInfo.php?workbook=16_08.xlsx&amp;sheet=U0&amp;row=2773&amp;col=7&amp;number=0.0061&amp;sourceID=14","0.0061")</f>
        <v>0.0061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HYPERLINK("http://141.218.60.56/~jnz1568/getInfo.php?workbook=16_08.xlsx&amp;sheet=U0&amp;row=2774&amp;col=6&amp;number=4&amp;sourceID=14","4")</f>
        <v>4</v>
      </c>
      <c r="G2774" s="4" t="str">
        <f>HYPERLINK("http://141.218.60.56/~jnz1568/getInfo.php?workbook=16_08.xlsx&amp;sheet=U0&amp;row=2774&amp;col=7&amp;number=0.0061&amp;sourceID=14","0.0061")</f>
        <v>0.0061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HYPERLINK("http://141.218.60.56/~jnz1568/getInfo.php?workbook=16_08.xlsx&amp;sheet=U0&amp;row=2775&amp;col=6&amp;number=4.1&amp;sourceID=14","4.1")</f>
        <v>4.1</v>
      </c>
      <c r="G2775" s="4" t="str">
        <f>HYPERLINK("http://141.218.60.56/~jnz1568/getInfo.php?workbook=16_08.xlsx&amp;sheet=U0&amp;row=2775&amp;col=7&amp;number=0.0061&amp;sourceID=14","0.0061")</f>
        <v>0.0061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HYPERLINK("http://141.218.60.56/~jnz1568/getInfo.php?workbook=16_08.xlsx&amp;sheet=U0&amp;row=2776&amp;col=6&amp;number=4.2&amp;sourceID=14","4.2")</f>
        <v>4.2</v>
      </c>
      <c r="G2776" s="4" t="str">
        <f>HYPERLINK("http://141.218.60.56/~jnz1568/getInfo.php?workbook=16_08.xlsx&amp;sheet=U0&amp;row=2776&amp;col=7&amp;number=0.00609&amp;sourceID=14","0.00609")</f>
        <v>0.00609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HYPERLINK("http://141.218.60.56/~jnz1568/getInfo.php?workbook=16_08.xlsx&amp;sheet=U0&amp;row=2777&amp;col=6&amp;number=4.3&amp;sourceID=14","4.3")</f>
        <v>4.3</v>
      </c>
      <c r="G2777" s="4" t="str">
        <f>HYPERLINK("http://141.218.60.56/~jnz1568/getInfo.php?workbook=16_08.xlsx&amp;sheet=U0&amp;row=2777&amp;col=7&amp;number=0.00609&amp;sourceID=14","0.00609")</f>
        <v>0.00609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HYPERLINK("http://141.218.60.56/~jnz1568/getInfo.php?workbook=16_08.xlsx&amp;sheet=U0&amp;row=2778&amp;col=6&amp;number=4.4&amp;sourceID=14","4.4")</f>
        <v>4.4</v>
      </c>
      <c r="G2778" s="4" t="str">
        <f>HYPERLINK("http://141.218.60.56/~jnz1568/getInfo.php?workbook=16_08.xlsx&amp;sheet=U0&amp;row=2778&amp;col=7&amp;number=0.00609&amp;sourceID=14","0.00609")</f>
        <v>0.00609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HYPERLINK("http://141.218.60.56/~jnz1568/getInfo.php?workbook=16_08.xlsx&amp;sheet=U0&amp;row=2779&amp;col=6&amp;number=4.5&amp;sourceID=14","4.5")</f>
        <v>4.5</v>
      </c>
      <c r="G2779" s="4" t="str">
        <f>HYPERLINK("http://141.218.60.56/~jnz1568/getInfo.php?workbook=16_08.xlsx&amp;sheet=U0&amp;row=2779&amp;col=7&amp;number=0.00608&amp;sourceID=14","0.00608")</f>
        <v>0.00608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HYPERLINK("http://141.218.60.56/~jnz1568/getInfo.php?workbook=16_08.xlsx&amp;sheet=U0&amp;row=2780&amp;col=6&amp;number=4.6&amp;sourceID=14","4.6")</f>
        <v>4.6</v>
      </c>
      <c r="G2780" s="4" t="str">
        <f>HYPERLINK("http://141.218.60.56/~jnz1568/getInfo.php?workbook=16_08.xlsx&amp;sheet=U0&amp;row=2780&amp;col=7&amp;number=0.00608&amp;sourceID=14","0.00608")</f>
        <v>0.00608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HYPERLINK("http://141.218.60.56/~jnz1568/getInfo.php?workbook=16_08.xlsx&amp;sheet=U0&amp;row=2781&amp;col=6&amp;number=4.7&amp;sourceID=14","4.7")</f>
        <v>4.7</v>
      </c>
      <c r="G2781" s="4" t="str">
        <f>HYPERLINK("http://141.218.60.56/~jnz1568/getInfo.php?workbook=16_08.xlsx&amp;sheet=U0&amp;row=2781&amp;col=7&amp;number=0.00607&amp;sourceID=14","0.00607")</f>
        <v>0.00607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HYPERLINK("http://141.218.60.56/~jnz1568/getInfo.php?workbook=16_08.xlsx&amp;sheet=U0&amp;row=2782&amp;col=6&amp;number=4.8&amp;sourceID=14","4.8")</f>
        <v>4.8</v>
      </c>
      <c r="G2782" s="4" t="str">
        <f>HYPERLINK("http://141.218.60.56/~jnz1568/getInfo.php?workbook=16_08.xlsx&amp;sheet=U0&amp;row=2782&amp;col=7&amp;number=0.00606&amp;sourceID=14","0.00606")</f>
        <v>0.00606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HYPERLINK("http://141.218.60.56/~jnz1568/getInfo.php?workbook=16_08.xlsx&amp;sheet=U0&amp;row=2783&amp;col=6&amp;number=4.9&amp;sourceID=14","4.9")</f>
        <v>4.9</v>
      </c>
      <c r="G2783" s="4" t="str">
        <f>HYPERLINK("http://141.218.60.56/~jnz1568/getInfo.php?workbook=16_08.xlsx&amp;sheet=U0&amp;row=2783&amp;col=7&amp;number=0.00605&amp;sourceID=14","0.00605")</f>
        <v>0.00605</v>
      </c>
    </row>
    <row r="2784" spans="1:7">
      <c r="A2784" s="3">
        <v>16</v>
      </c>
      <c r="B2784" s="3">
        <v>8</v>
      </c>
      <c r="C2784" s="3">
        <v>2</v>
      </c>
      <c r="D2784" s="3">
        <v>57</v>
      </c>
      <c r="E2784" s="3">
        <v>1</v>
      </c>
      <c r="F2784" s="4" t="str">
        <f>HYPERLINK("http://141.218.60.56/~jnz1568/getInfo.php?workbook=16_08.xlsx&amp;sheet=U0&amp;row=2784&amp;col=6&amp;number=3&amp;sourceID=14","3")</f>
        <v>3</v>
      </c>
      <c r="G2784" s="4" t="str">
        <f>HYPERLINK("http://141.218.60.56/~jnz1568/getInfo.php?workbook=16_08.xlsx&amp;sheet=U0&amp;row=2784&amp;col=7&amp;number=0.00657&amp;sourceID=14","0.00657")</f>
        <v>0.00657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HYPERLINK("http://141.218.60.56/~jnz1568/getInfo.php?workbook=16_08.xlsx&amp;sheet=U0&amp;row=2785&amp;col=6&amp;number=3.1&amp;sourceID=14","3.1")</f>
        <v>3.1</v>
      </c>
      <c r="G2785" s="4" t="str">
        <f>HYPERLINK("http://141.218.60.56/~jnz1568/getInfo.php?workbook=16_08.xlsx&amp;sheet=U0&amp;row=2785&amp;col=7&amp;number=0.00657&amp;sourceID=14","0.00657")</f>
        <v>0.00657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HYPERLINK("http://141.218.60.56/~jnz1568/getInfo.php?workbook=16_08.xlsx&amp;sheet=U0&amp;row=2786&amp;col=6&amp;number=3.2&amp;sourceID=14","3.2")</f>
        <v>3.2</v>
      </c>
      <c r="G2786" s="4" t="str">
        <f>HYPERLINK("http://141.218.60.56/~jnz1568/getInfo.php?workbook=16_08.xlsx&amp;sheet=U0&amp;row=2786&amp;col=7&amp;number=0.00657&amp;sourceID=14","0.00657")</f>
        <v>0.00657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HYPERLINK("http://141.218.60.56/~jnz1568/getInfo.php?workbook=16_08.xlsx&amp;sheet=U0&amp;row=2787&amp;col=6&amp;number=3.3&amp;sourceID=14","3.3")</f>
        <v>3.3</v>
      </c>
      <c r="G2787" s="4" t="str">
        <f>HYPERLINK("http://141.218.60.56/~jnz1568/getInfo.php?workbook=16_08.xlsx&amp;sheet=U0&amp;row=2787&amp;col=7&amp;number=0.00657&amp;sourceID=14","0.00657")</f>
        <v>0.00657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HYPERLINK("http://141.218.60.56/~jnz1568/getInfo.php?workbook=16_08.xlsx&amp;sheet=U0&amp;row=2788&amp;col=6&amp;number=3.4&amp;sourceID=14","3.4")</f>
        <v>3.4</v>
      </c>
      <c r="G2788" s="4" t="str">
        <f>HYPERLINK("http://141.218.60.56/~jnz1568/getInfo.php?workbook=16_08.xlsx&amp;sheet=U0&amp;row=2788&amp;col=7&amp;number=0.00657&amp;sourceID=14","0.00657")</f>
        <v>0.00657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HYPERLINK("http://141.218.60.56/~jnz1568/getInfo.php?workbook=16_08.xlsx&amp;sheet=U0&amp;row=2789&amp;col=6&amp;number=3.5&amp;sourceID=14","3.5")</f>
        <v>3.5</v>
      </c>
      <c r="G2789" s="4" t="str">
        <f>HYPERLINK("http://141.218.60.56/~jnz1568/getInfo.php?workbook=16_08.xlsx&amp;sheet=U0&amp;row=2789&amp;col=7&amp;number=0.00656&amp;sourceID=14","0.00656")</f>
        <v>0.00656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HYPERLINK("http://141.218.60.56/~jnz1568/getInfo.php?workbook=16_08.xlsx&amp;sheet=U0&amp;row=2790&amp;col=6&amp;number=3.6&amp;sourceID=14","3.6")</f>
        <v>3.6</v>
      </c>
      <c r="G2790" s="4" t="str">
        <f>HYPERLINK("http://141.218.60.56/~jnz1568/getInfo.php?workbook=16_08.xlsx&amp;sheet=U0&amp;row=2790&amp;col=7&amp;number=0.00656&amp;sourceID=14","0.00656")</f>
        <v>0.00656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HYPERLINK("http://141.218.60.56/~jnz1568/getInfo.php?workbook=16_08.xlsx&amp;sheet=U0&amp;row=2791&amp;col=6&amp;number=3.7&amp;sourceID=14","3.7")</f>
        <v>3.7</v>
      </c>
      <c r="G2791" s="4" t="str">
        <f>HYPERLINK("http://141.218.60.56/~jnz1568/getInfo.php?workbook=16_08.xlsx&amp;sheet=U0&amp;row=2791&amp;col=7&amp;number=0.00656&amp;sourceID=14","0.00656")</f>
        <v>0.00656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HYPERLINK("http://141.218.60.56/~jnz1568/getInfo.php?workbook=16_08.xlsx&amp;sheet=U0&amp;row=2792&amp;col=6&amp;number=3.8&amp;sourceID=14","3.8")</f>
        <v>3.8</v>
      </c>
      <c r="G2792" s="4" t="str">
        <f>HYPERLINK("http://141.218.60.56/~jnz1568/getInfo.php?workbook=16_08.xlsx&amp;sheet=U0&amp;row=2792&amp;col=7&amp;number=0.00656&amp;sourceID=14","0.00656")</f>
        <v>0.00656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HYPERLINK("http://141.218.60.56/~jnz1568/getInfo.php?workbook=16_08.xlsx&amp;sheet=U0&amp;row=2793&amp;col=6&amp;number=3.9&amp;sourceID=14","3.9")</f>
        <v>3.9</v>
      </c>
      <c r="G2793" s="4" t="str">
        <f>HYPERLINK("http://141.218.60.56/~jnz1568/getInfo.php?workbook=16_08.xlsx&amp;sheet=U0&amp;row=2793&amp;col=7&amp;number=0.00656&amp;sourceID=14","0.00656")</f>
        <v>0.00656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HYPERLINK("http://141.218.60.56/~jnz1568/getInfo.php?workbook=16_08.xlsx&amp;sheet=U0&amp;row=2794&amp;col=6&amp;number=4&amp;sourceID=14","4")</f>
        <v>4</v>
      </c>
      <c r="G2794" s="4" t="str">
        <f>HYPERLINK("http://141.218.60.56/~jnz1568/getInfo.php?workbook=16_08.xlsx&amp;sheet=U0&amp;row=2794&amp;col=7&amp;number=0.00655&amp;sourceID=14","0.00655")</f>
        <v>0.00655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HYPERLINK("http://141.218.60.56/~jnz1568/getInfo.php?workbook=16_08.xlsx&amp;sheet=U0&amp;row=2795&amp;col=6&amp;number=4.1&amp;sourceID=14","4.1")</f>
        <v>4.1</v>
      </c>
      <c r="G2795" s="4" t="str">
        <f>HYPERLINK("http://141.218.60.56/~jnz1568/getInfo.php?workbook=16_08.xlsx&amp;sheet=U0&amp;row=2795&amp;col=7&amp;number=0.00655&amp;sourceID=14","0.00655")</f>
        <v>0.00655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HYPERLINK("http://141.218.60.56/~jnz1568/getInfo.php?workbook=16_08.xlsx&amp;sheet=U0&amp;row=2796&amp;col=6&amp;number=4.2&amp;sourceID=14","4.2")</f>
        <v>4.2</v>
      </c>
      <c r="G2796" s="4" t="str">
        <f>HYPERLINK("http://141.218.60.56/~jnz1568/getInfo.php?workbook=16_08.xlsx&amp;sheet=U0&amp;row=2796&amp;col=7&amp;number=0.00655&amp;sourceID=14","0.00655")</f>
        <v>0.00655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HYPERLINK("http://141.218.60.56/~jnz1568/getInfo.php?workbook=16_08.xlsx&amp;sheet=U0&amp;row=2797&amp;col=6&amp;number=4.3&amp;sourceID=14","4.3")</f>
        <v>4.3</v>
      </c>
      <c r="G2797" s="4" t="str">
        <f>HYPERLINK("http://141.218.60.56/~jnz1568/getInfo.php?workbook=16_08.xlsx&amp;sheet=U0&amp;row=2797&amp;col=7&amp;number=0.00654&amp;sourceID=14","0.00654")</f>
        <v>0.00654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HYPERLINK("http://141.218.60.56/~jnz1568/getInfo.php?workbook=16_08.xlsx&amp;sheet=U0&amp;row=2798&amp;col=6&amp;number=4.4&amp;sourceID=14","4.4")</f>
        <v>4.4</v>
      </c>
      <c r="G2798" s="4" t="str">
        <f>HYPERLINK("http://141.218.60.56/~jnz1568/getInfo.php?workbook=16_08.xlsx&amp;sheet=U0&amp;row=2798&amp;col=7&amp;number=0.00653&amp;sourceID=14","0.00653")</f>
        <v>0.00653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HYPERLINK("http://141.218.60.56/~jnz1568/getInfo.php?workbook=16_08.xlsx&amp;sheet=U0&amp;row=2799&amp;col=6&amp;number=4.5&amp;sourceID=14","4.5")</f>
        <v>4.5</v>
      </c>
      <c r="G2799" s="4" t="str">
        <f>HYPERLINK("http://141.218.60.56/~jnz1568/getInfo.php?workbook=16_08.xlsx&amp;sheet=U0&amp;row=2799&amp;col=7&amp;number=0.00652&amp;sourceID=14","0.00652")</f>
        <v>0.00652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HYPERLINK("http://141.218.60.56/~jnz1568/getInfo.php?workbook=16_08.xlsx&amp;sheet=U0&amp;row=2800&amp;col=6&amp;number=4.6&amp;sourceID=14","4.6")</f>
        <v>4.6</v>
      </c>
      <c r="G2800" s="4" t="str">
        <f>HYPERLINK("http://141.218.60.56/~jnz1568/getInfo.php?workbook=16_08.xlsx&amp;sheet=U0&amp;row=2800&amp;col=7&amp;number=0.00651&amp;sourceID=14","0.00651")</f>
        <v>0.00651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HYPERLINK("http://141.218.60.56/~jnz1568/getInfo.php?workbook=16_08.xlsx&amp;sheet=U0&amp;row=2801&amp;col=6&amp;number=4.7&amp;sourceID=14","4.7")</f>
        <v>4.7</v>
      </c>
      <c r="G2801" s="4" t="str">
        <f>HYPERLINK("http://141.218.60.56/~jnz1568/getInfo.php?workbook=16_08.xlsx&amp;sheet=U0&amp;row=2801&amp;col=7&amp;number=0.00649&amp;sourceID=14","0.00649")</f>
        <v>0.00649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HYPERLINK("http://141.218.60.56/~jnz1568/getInfo.php?workbook=16_08.xlsx&amp;sheet=U0&amp;row=2802&amp;col=6&amp;number=4.8&amp;sourceID=14","4.8")</f>
        <v>4.8</v>
      </c>
      <c r="G2802" s="4" t="str">
        <f>HYPERLINK("http://141.218.60.56/~jnz1568/getInfo.php?workbook=16_08.xlsx&amp;sheet=U0&amp;row=2802&amp;col=7&amp;number=0.00647&amp;sourceID=14","0.00647")</f>
        <v>0.00647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HYPERLINK("http://141.218.60.56/~jnz1568/getInfo.php?workbook=16_08.xlsx&amp;sheet=U0&amp;row=2803&amp;col=6&amp;number=4.9&amp;sourceID=14","4.9")</f>
        <v>4.9</v>
      </c>
      <c r="G2803" s="4" t="str">
        <f>HYPERLINK("http://141.218.60.56/~jnz1568/getInfo.php?workbook=16_08.xlsx&amp;sheet=U0&amp;row=2803&amp;col=7&amp;number=0.00645&amp;sourceID=14","0.00645")</f>
        <v>0.00645</v>
      </c>
    </row>
    <row r="2804" spans="1:7">
      <c r="A2804" s="3">
        <v>16</v>
      </c>
      <c r="B2804" s="3">
        <v>8</v>
      </c>
      <c r="C2804" s="3">
        <v>2</v>
      </c>
      <c r="D2804" s="3">
        <v>58</v>
      </c>
      <c r="E2804" s="3">
        <v>1</v>
      </c>
      <c r="F2804" s="4" t="str">
        <f>HYPERLINK("http://141.218.60.56/~jnz1568/getInfo.php?workbook=16_08.xlsx&amp;sheet=U0&amp;row=2804&amp;col=6&amp;number=3&amp;sourceID=14","3")</f>
        <v>3</v>
      </c>
      <c r="G2804" s="4" t="str">
        <f>HYPERLINK("http://141.218.60.56/~jnz1568/getInfo.php?workbook=16_08.xlsx&amp;sheet=U0&amp;row=2804&amp;col=7&amp;number=0.00287&amp;sourceID=14","0.00287")</f>
        <v>0.00287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HYPERLINK("http://141.218.60.56/~jnz1568/getInfo.php?workbook=16_08.xlsx&amp;sheet=U0&amp;row=2805&amp;col=6&amp;number=3.1&amp;sourceID=14","3.1")</f>
        <v>3.1</v>
      </c>
      <c r="G2805" s="4" t="str">
        <f>HYPERLINK("http://141.218.60.56/~jnz1568/getInfo.php?workbook=16_08.xlsx&amp;sheet=U0&amp;row=2805&amp;col=7&amp;number=0.00287&amp;sourceID=14","0.00287")</f>
        <v>0.00287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HYPERLINK("http://141.218.60.56/~jnz1568/getInfo.php?workbook=16_08.xlsx&amp;sheet=U0&amp;row=2806&amp;col=6&amp;number=3.2&amp;sourceID=14","3.2")</f>
        <v>3.2</v>
      </c>
      <c r="G2806" s="4" t="str">
        <f>HYPERLINK("http://141.218.60.56/~jnz1568/getInfo.php?workbook=16_08.xlsx&amp;sheet=U0&amp;row=2806&amp;col=7&amp;number=0.00287&amp;sourceID=14","0.00287")</f>
        <v>0.00287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HYPERLINK("http://141.218.60.56/~jnz1568/getInfo.php?workbook=16_08.xlsx&amp;sheet=U0&amp;row=2807&amp;col=6&amp;number=3.3&amp;sourceID=14","3.3")</f>
        <v>3.3</v>
      </c>
      <c r="G2807" s="4" t="str">
        <f>HYPERLINK("http://141.218.60.56/~jnz1568/getInfo.php?workbook=16_08.xlsx&amp;sheet=U0&amp;row=2807&amp;col=7&amp;number=0.00287&amp;sourceID=14","0.00287")</f>
        <v>0.00287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HYPERLINK("http://141.218.60.56/~jnz1568/getInfo.php?workbook=16_08.xlsx&amp;sheet=U0&amp;row=2808&amp;col=6&amp;number=3.4&amp;sourceID=14","3.4")</f>
        <v>3.4</v>
      </c>
      <c r="G2808" s="4" t="str">
        <f>HYPERLINK("http://141.218.60.56/~jnz1568/getInfo.php?workbook=16_08.xlsx&amp;sheet=U0&amp;row=2808&amp;col=7&amp;number=0.00287&amp;sourceID=14","0.00287")</f>
        <v>0.00287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HYPERLINK("http://141.218.60.56/~jnz1568/getInfo.php?workbook=16_08.xlsx&amp;sheet=U0&amp;row=2809&amp;col=6&amp;number=3.5&amp;sourceID=14","3.5")</f>
        <v>3.5</v>
      </c>
      <c r="G2809" s="4" t="str">
        <f>HYPERLINK("http://141.218.60.56/~jnz1568/getInfo.php?workbook=16_08.xlsx&amp;sheet=U0&amp;row=2809&amp;col=7&amp;number=0.00287&amp;sourceID=14","0.00287")</f>
        <v>0.00287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HYPERLINK("http://141.218.60.56/~jnz1568/getInfo.php?workbook=16_08.xlsx&amp;sheet=U0&amp;row=2810&amp;col=6&amp;number=3.6&amp;sourceID=14","3.6")</f>
        <v>3.6</v>
      </c>
      <c r="G2810" s="4" t="str">
        <f>HYPERLINK("http://141.218.60.56/~jnz1568/getInfo.php?workbook=16_08.xlsx&amp;sheet=U0&amp;row=2810&amp;col=7&amp;number=0.00287&amp;sourceID=14","0.00287")</f>
        <v>0.00287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HYPERLINK("http://141.218.60.56/~jnz1568/getInfo.php?workbook=16_08.xlsx&amp;sheet=U0&amp;row=2811&amp;col=6&amp;number=3.7&amp;sourceID=14","3.7")</f>
        <v>3.7</v>
      </c>
      <c r="G2811" s="4" t="str">
        <f>HYPERLINK("http://141.218.60.56/~jnz1568/getInfo.php?workbook=16_08.xlsx&amp;sheet=U0&amp;row=2811&amp;col=7&amp;number=0.00286&amp;sourceID=14","0.00286")</f>
        <v>0.00286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HYPERLINK("http://141.218.60.56/~jnz1568/getInfo.php?workbook=16_08.xlsx&amp;sheet=U0&amp;row=2812&amp;col=6&amp;number=3.8&amp;sourceID=14","3.8")</f>
        <v>3.8</v>
      </c>
      <c r="G2812" s="4" t="str">
        <f>HYPERLINK("http://141.218.60.56/~jnz1568/getInfo.php?workbook=16_08.xlsx&amp;sheet=U0&amp;row=2812&amp;col=7&amp;number=0.00286&amp;sourceID=14","0.00286")</f>
        <v>0.00286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HYPERLINK("http://141.218.60.56/~jnz1568/getInfo.php?workbook=16_08.xlsx&amp;sheet=U0&amp;row=2813&amp;col=6&amp;number=3.9&amp;sourceID=14","3.9")</f>
        <v>3.9</v>
      </c>
      <c r="G2813" s="4" t="str">
        <f>HYPERLINK("http://141.218.60.56/~jnz1568/getInfo.php?workbook=16_08.xlsx&amp;sheet=U0&amp;row=2813&amp;col=7&amp;number=0.00286&amp;sourceID=14","0.00286")</f>
        <v>0.00286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HYPERLINK("http://141.218.60.56/~jnz1568/getInfo.php?workbook=16_08.xlsx&amp;sheet=U0&amp;row=2814&amp;col=6&amp;number=4&amp;sourceID=14","4")</f>
        <v>4</v>
      </c>
      <c r="G2814" s="4" t="str">
        <f>HYPERLINK("http://141.218.60.56/~jnz1568/getInfo.php?workbook=16_08.xlsx&amp;sheet=U0&amp;row=2814&amp;col=7&amp;number=0.00286&amp;sourceID=14","0.00286")</f>
        <v>0.00286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HYPERLINK("http://141.218.60.56/~jnz1568/getInfo.php?workbook=16_08.xlsx&amp;sheet=U0&amp;row=2815&amp;col=6&amp;number=4.1&amp;sourceID=14","4.1")</f>
        <v>4.1</v>
      </c>
      <c r="G2815" s="4" t="str">
        <f>HYPERLINK("http://141.218.60.56/~jnz1568/getInfo.php?workbook=16_08.xlsx&amp;sheet=U0&amp;row=2815&amp;col=7&amp;number=0.00286&amp;sourceID=14","0.00286")</f>
        <v>0.00286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HYPERLINK("http://141.218.60.56/~jnz1568/getInfo.php?workbook=16_08.xlsx&amp;sheet=U0&amp;row=2816&amp;col=6&amp;number=4.2&amp;sourceID=14","4.2")</f>
        <v>4.2</v>
      </c>
      <c r="G2816" s="4" t="str">
        <f>HYPERLINK("http://141.218.60.56/~jnz1568/getInfo.php?workbook=16_08.xlsx&amp;sheet=U0&amp;row=2816&amp;col=7&amp;number=0.00286&amp;sourceID=14","0.00286")</f>
        <v>0.00286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HYPERLINK("http://141.218.60.56/~jnz1568/getInfo.php?workbook=16_08.xlsx&amp;sheet=U0&amp;row=2817&amp;col=6&amp;number=4.3&amp;sourceID=14","4.3")</f>
        <v>4.3</v>
      </c>
      <c r="G2817" s="4" t="str">
        <f>HYPERLINK("http://141.218.60.56/~jnz1568/getInfo.php?workbook=16_08.xlsx&amp;sheet=U0&amp;row=2817&amp;col=7&amp;number=0.00286&amp;sourceID=14","0.00286")</f>
        <v>0.00286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HYPERLINK("http://141.218.60.56/~jnz1568/getInfo.php?workbook=16_08.xlsx&amp;sheet=U0&amp;row=2818&amp;col=6&amp;number=4.4&amp;sourceID=14","4.4")</f>
        <v>4.4</v>
      </c>
      <c r="G2818" s="4" t="str">
        <f>HYPERLINK("http://141.218.60.56/~jnz1568/getInfo.php?workbook=16_08.xlsx&amp;sheet=U0&amp;row=2818&amp;col=7&amp;number=0.00285&amp;sourceID=14","0.00285")</f>
        <v>0.00285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HYPERLINK("http://141.218.60.56/~jnz1568/getInfo.php?workbook=16_08.xlsx&amp;sheet=U0&amp;row=2819&amp;col=6&amp;number=4.5&amp;sourceID=14","4.5")</f>
        <v>4.5</v>
      </c>
      <c r="G2819" s="4" t="str">
        <f>HYPERLINK("http://141.218.60.56/~jnz1568/getInfo.php?workbook=16_08.xlsx&amp;sheet=U0&amp;row=2819&amp;col=7&amp;number=0.00285&amp;sourceID=14","0.00285")</f>
        <v>0.00285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HYPERLINK("http://141.218.60.56/~jnz1568/getInfo.php?workbook=16_08.xlsx&amp;sheet=U0&amp;row=2820&amp;col=6&amp;number=4.6&amp;sourceID=14","4.6")</f>
        <v>4.6</v>
      </c>
      <c r="G2820" s="4" t="str">
        <f>HYPERLINK("http://141.218.60.56/~jnz1568/getInfo.php?workbook=16_08.xlsx&amp;sheet=U0&amp;row=2820&amp;col=7&amp;number=0.00284&amp;sourceID=14","0.00284")</f>
        <v>0.00284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HYPERLINK("http://141.218.60.56/~jnz1568/getInfo.php?workbook=16_08.xlsx&amp;sheet=U0&amp;row=2821&amp;col=6&amp;number=4.7&amp;sourceID=14","4.7")</f>
        <v>4.7</v>
      </c>
      <c r="G2821" s="4" t="str">
        <f>HYPERLINK("http://141.218.60.56/~jnz1568/getInfo.php?workbook=16_08.xlsx&amp;sheet=U0&amp;row=2821&amp;col=7&amp;number=0.00284&amp;sourceID=14","0.00284")</f>
        <v>0.00284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HYPERLINK("http://141.218.60.56/~jnz1568/getInfo.php?workbook=16_08.xlsx&amp;sheet=U0&amp;row=2822&amp;col=6&amp;number=4.8&amp;sourceID=14","4.8")</f>
        <v>4.8</v>
      </c>
      <c r="G2822" s="4" t="str">
        <f>HYPERLINK("http://141.218.60.56/~jnz1568/getInfo.php?workbook=16_08.xlsx&amp;sheet=U0&amp;row=2822&amp;col=7&amp;number=0.00283&amp;sourceID=14","0.00283")</f>
        <v>0.00283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HYPERLINK("http://141.218.60.56/~jnz1568/getInfo.php?workbook=16_08.xlsx&amp;sheet=U0&amp;row=2823&amp;col=6&amp;number=4.9&amp;sourceID=14","4.9")</f>
        <v>4.9</v>
      </c>
      <c r="G2823" s="4" t="str">
        <f>HYPERLINK("http://141.218.60.56/~jnz1568/getInfo.php?workbook=16_08.xlsx&amp;sheet=U0&amp;row=2823&amp;col=7&amp;number=0.00282&amp;sourceID=14","0.00282")</f>
        <v>0.00282</v>
      </c>
    </row>
    <row r="2824" spans="1:7">
      <c r="A2824" s="3">
        <v>16</v>
      </c>
      <c r="B2824" s="3">
        <v>8</v>
      </c>
      <c r="C2824" s="3">
        <v>2</v>
      </c>
      <c r="D2824" s="3">
        <v>59</v>
      </c>
      <c r="E2824" s="3">
        <v>1</v>
      </c>
      <c r="F2824" s="4" t="str">
        <f>HYPERLINK("http://141.218.60.56/~jnz1568/getInfo.php?workbook=16_08.xlsx&amp;sheet=U0&amp;row=2824&amp;col=6&amp;number=3&amp;sourceID=14","3")</f>
        <v>3</v>
      </c>
      <c r="G2824" s="4" t="str">
        <f>HYPERLINK("http://141.218.60.56/~jnz1568/getInfo.php?workbook=16_08.xlsx&amp;sheet=U0&amp;row=2824&amp;col=7&amp;number=0.00464&amp;sourceID=14","0.00464")</f>
        <v>0.00464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HYPERLINK("http://141.218.60.56/~jnz1568/getInfo.php?workbook=16_08.xlsx&amp;sheet=U0&amp;row=2825&amp;col=6&amp;number=3.1&amp;sourceID=14","3.1")</f>
        <v>3.1</v>
      </c>
      <c r="G2825" s="4" t="str">
        <f>HYPERLINK("http://141.218.60.56/~jnz1568/getInfo.php?workbook=16_08.xlsx&amp;sheet=U0&amp;row=2825&amp;col=7&amp;number=0.00464&amp;sourceID=14","0.00464")</f>
        <v>0.00464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HYPERLINK("http://141.218.60.56/~jnz1568/getInfo.php?workbook=16_08.xlsx&amp;sheet=U0&amp;row=2826&amp;col=6&amp;number=3.2&amp;sourceID=14","3.2")</f>
        <v>3.2</v>
      </c>
      <c r="G2826" s="4" t="str">
        <f>HYPERLINK("http://141.218.60.56/~jnz1568/getInfo.php?workbook=16_08.xlsx&amp;sheet=U0&amp;row=2826&amp;col=7&amp;number=0.00464&amp;sourceID=14","0.00464")</f>
        <v>0.00464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HYPERLINK("http://141.218.60.56/~jnz1568/getInfo.php?workbook=16_08.xlsx&amp;sheet=U0&amp;row=2827&amp;col=6&amp;number=3.3&amp;sourceID=14","3.3")</f>
        <v>3.3</v>
      </c>
      <c r="G2827" s="4" t="str">
        <f>HYPERLINK("http://141.218.60.56/~jnz1568/getInfo.php?workbook=16_08.xlsx&amp;sheet=U0&amp;row=2827&amp;col=7&amp;number=0.00464&amp;sourceID=14","0.00464")</f>
        <v>0.00464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HYPERLINK("http://141.218.60.56/~jnz1568/getInfo.php?workbook=16_08.xlsx&amp;sheet=U0&amp;row=2828&amp;col=6&amp;number=3.4&amp;sourceID=14","3.4")</f>
        <v>3.4</v>
      </c>
      <c r="G2828" s="4" t="str">
        <f>HYPERLINK("http://141.218.60.56/~jnz1568/getInfo.php?workbook=16_08.xlsx&amp;sheet=U0&amp;row=2828&amp;col=7&amp;number=0.00464&amp;sourceID=14","0.00464")</f>
        <v>0.00464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HYPERLINK("http://141.218.60.56/~jnz1568/getInfo.php?workbook=16_08.xlsx&amp;sheet=U0&amp;row=2829&amp;col=6&amp;number=3.5&amp;sourceID=14","3.5")</f>
        <v>3.5</v>
      </c>
      <c r="G2829" s="4" t="str">
        <f>HYPERLINK("http://141.218.60.56/~jnz1568/getInfo.php?workbook=16_08.xlsx&amp;sheet=U0&amp;row=2829&amp;col=7&amp;number=0.00464&amp;sourceID=14","0.00464")</f>
        <v>0.00464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HYPERLINK("http://141.218.60.56/~jnz1568/getInfo.php?workbook=16_08.xlsx&amp;sheet=U0&amp;row=2830&amp;col=6&amp;number=3.6&amp;sourceID=14","3.6")</f>
        <v>3.6</v>
      </c>
      <c r="G2830" s="4" t="str">
        <f>HYPERLINK("http://141.218.60.56/~jnz1568/getInfo.php?workbook=16_08.xlsx&amp;sheet=U0&amp;row=2830&amp;col=7&amp;number=0.00464&amp;sourceID=14","0.00464")</f>
        <v>0.00464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HYPERLINK("http://141.218.60.56/~jnz1568/getInfo.php?workbook=16_08.xlsx&amp;sheet=U0&amp;row=2831&amp;col=6&amp;number=3.7&amp;sourceID=14","3.7")</f>
        <v>3.7</v>
      </c>
      <c r="G2831" s="4" t="str">
        <f>HYPERLINK("http://141.218.60.56/~jnz1568/getInfo.php?workbook=16_08.xlsx&amp;sheet=U0&amp;row=2831&amp;col=7&amp;number=0.00464&amp;sourceID=14","0.00464")</f>
        <v>0.00464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HYPERLINK("http://141.218.60.56/~jnz1568/getInfo.php?workbook=16_08.xlsx&amp;sheet=U0&amp;row=2832&amp;col=6&amp;number=3.8&amp;sourceID=14","3.8")</f>
        <v>3.8</v>
      </c>
      <c r="G2832" s="4" t="str">
        <f>HYPERLINK("http://141.218.60.56/~jnz1568/getInfo.php?workbook=16_08.xlsx&amp;sheet=U0&amp;row=2832&amp;col=7&amp;number=0.00464&amp;sourceID=14","0.00464")</f>
        <v>0.00464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HYPERLINK("http://141.218.60.56/~jnz1568/getInfo.php?workbook=16_08.xlsx&amp;sheet=U0&amp;row=2833&amp;col=6&amp;number=3.9&amp;sourceID=14","3.9")</f>
        <v>3.9</v>
      </c>
      <c r="G2833" s="4" t="str">
        <f>HYPERLINK("http://141.218.60.56/~jnz1568/getInfo.php?workbook=16_08.xlsx&amp;sheet=U0&amp;row=2833&amp;col=7&amp;number=0.00464&amp;sourceID=14","0.00464")</f>
        <v>0.00464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HYPERLINK("http://141.218.60.56/~jnz1568/getInfo.php?workbook=16_08.xlsx&amp;sheet=U0&amp;row=2834&amp;col=6&amp;number=4&amp;sourceID=14","4")</f>
        <v>4</v>
      </c>
      <c r="G2834" s="4" t="str">
        <f>HYPERLINK("http://141.218.60.56/~jnz1568/getInfo.php?workbook=16_08.xlsx&amp;sheet=U0&amp;row=2834&amp;col=7&amp;number=0.00464&amp;sourceID=14","0.00464")</f>
        <v>0.00464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HYPERLINK("http://141.218.60.56/~jnz1568/getInfo.php?workbook=16_08.xlsx&amp;sheet=U0&amp;row=2835&amp;col=6&amp;number=4.1&amp;sourceID=14","4.1")</f>
        <v>4.1</v>
      </c>
      <c r="G2835" s="4" t="str">
        <f>HYPERLINK("http://141.218.60.56/~jnz1568/getInfo.php?workbook=16_08.xlsx&amp;sheet=U0&amp;row=2835&amp;col=7&amp;number=0.00463&amp;sourceID=14","0.00463")</f>
        <v>0.00463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HYPERLINK("http://141.218.60.56/~jnz1568/getInfo.php?workbook=16_08.xlsx&amp;sheet=U0&amp;row=2836&amp;col=6&amp;number=4.2&amp;sourceID=14","4.2")</f>
        <v>4.2</v>
      </c>
      <c r="G2836" s="4" t="str">
        <f>HYPERLINK("http://141.218.60.56/~jnz1568/getInfo.php?workbook=16_08.xlsx&amp;sheet=U0&amp;row=2836&amp;col=7&amp;number=0.00463&amp;sourceID=14","0.00463")</f>
        <v>0.00463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HYPERLINK("http://141.218.60.56/~jnz1568/getInfo.php?workbook=16_08.xlsx&amp;sheet=U0&amp;row=2837&amp;col=6&amp;number=4.3&amp;sourceID=14","4.3")</f>
        <v>4.3</v>
      </c>
      <c r="G2837" s="4" t="str">
        <f>HYPERLINK("http://141.218.60.56/~jnz1568/getInfo.php?workbook=16_08.xlsx&amp;sheet=U0&amp;row=2837&amp;col=7&amp;number=0.00463&amp;sourceID=14","0.00463")</f>
        <v>0.00463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HYPERLINK("http://141.218.60.56/~jnz1568/getInfo.php?workbook=16_08.xlsx&amp;sheet=U0&amp;row=2838&amp;col=6&amp;number=4.4&amp;sourceID=14","4.4")</f>
        <v>4.4</v>
      </c>
      <c r="G2838" s="4" t="str">
        <f>HYPERLINK("http://141.218.60.56/~jnz1568/getInfo.php?workbook=16_08.xlsx&amp;sheet=U0&amp;row=2838&amp;col=7&amp;number=0.00462&amp;sourceID=14","0.00462")</f>
        <v>0.00462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HYPERLINK("http://141.218.60.56/~jnz1568/getInfo.php?workbook=16_08.xlsx&amp;sheet=U0&amp;row=2839&amp;col=6&amp;number=4.5&amp;sourceID=14","4.5")</f>
        <v>4.5</v>
      </c>
      <c r="G2839" s="4" t="str">
        <f>HYPERLINK("http://141.218.60.56/~jnz1568/getInfo.php?workbook=16_08.xlsx&amp;sheet=U0&amp;row=2839&amp;col=7&amp;number=0.00461&amp;sourceID=14","0.00461")</f>
        <v>0.00461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HYPERLINK("http://141.218.60.56/~jnz1568/getInfo.php?workbook=16_08.xlsx&amp;sheet=U0&amp;row=2840&amp;col=6&amp;number=4.6&amp;sourceID=14","4.6")</f>
        <v>4.6</v>
      </c>
      <c r="G2840" s="4" t="str">
        <f>HYPERLINK("http://141.218.60.56/~jnz1568/getInfo.php?workbook=16_08.xlsx&amp;sheet=U0&amp;row=2840&amp;col=7&amp;number=0.00461&amp;sourceID=14","0.00461")</f>
        <v>0.00461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HYPERLINK("http://141.218.60.56/~jnz1568/getInfo.php?workbook=16_08.xlsx&amp;sheet=U0&amp;row=2841&amp;col=6&amp;number=4.7&amp;sourceID=14","4.7")</f>
        <v>4.7</v>
      </c>
      <c r="G2841" s="4" t="str">
        <f>HYPERLINK("http://141.218.60.56/~jnz1568/getInfo.php?workbook=16_08.xlsx&amp;sheet=U0&amp;row=2841&amp;col=7&amp;number=0.0046&amp;sourceID=14","0.0046")</f>
        <v>0.0046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HYPERLINK("http://141.218.60.56/~jnz1568/getInfo.php?workbook=16_08.xlsx&amp;sheet=U0&amp;row=2842&amp;col=6&amp;number=4.8&amp;sourceID=14","4.8")</f>
        <v>4.8</v>
      </c>
      <c r="G2842" s="4" t="str">
        <f>HYPERLINK("http://141.218.60.56/~jnz1568/getInfo.php?workbook=16_08.xlsx&amp;sheet=U0&amp;row=2842&amp;col=7&amp;number=0.00458&amp;sourceID=14","0.00458")</f>
        <v>0.00458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HYPERLINK("http://141.218.60.56/~jnz1568/getInfo.php?workbook=16_08.xlsx&amp;sheet=U0&amp;row=2843&amp;col=6&amp;number=4.9&amp;sourceID=14","4.9")</f>
        <v>4.9</v>
      </c>
      <c r="G2843" s="4" t="str">
        <f>HYPERLINK("http://141.218.60.56/~jnz1568/getInfo.php?workbook=16_08.xlsx&amp;sheet=U0&amp;row=2843&amp;col=7&amp;number=0.00457&amp;sourceID=14","0.00457")</f>
        <v>0.00457</v>
      </c>
    </row>
    <row r="2844" spans="1:7">
      <c r="A2844" s="3">
        <v>16</v>
      </c>
      <c r="B2844" s="3">
        <v>8</v>
      </c>
      <c r="C2844" s="3">
        <v>2</v>
      </c>
      <c r="D2844" s="3">
        <v>60</v>
      </c>
      <c r="E2844" s="3">
        <v>1</v>
      </c>
      <c r="F2844" s="4" t="str">
        <f>HYPERLINK("http://141.218.60.56/~jnz1568/getInfo.php?workbook=16_08.xlsx&amp;sheet=U0&amp;row=2844&amp;col=6&amp;number=3&amp;sourceID=14","3")</f>
        <v>3</v>
      </c>
      <c r="G2844" s="4" t="str">
        <f>HYPERLINK("http://141.218.60.56/~jnz1568/getInfo.php?workbook=16_08.xlsx&amp;sheet=U0&amp;row=2844&amp;col=7&amp;number=0.0116&amp;sourceID=14","0.0116")</f>
        <v>0.0116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HYPERLINK("http://141.218.60.56/~jnz1568/getInfo.php?workbook=16_08.xlsx&amp;sheet=U0&amp;row=2845&amp;col=6&amp;number=3.1&amp;sourceID=14","3.1")</f>
        <v>3.1</v>
      </c>
      <c r="G2845" s="4" t="str">
        <f>HYPERLINK("http://141.218.60.56/~jnz1568/getInfo.php?workbook=16_08.xlsx&amp;sheet=U0&amp;row=2845&amp;col=7&amp;number=0.0116&amp;sourceID=14","0.0116")</f>
        <v>0.0116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HYPERLINK("http://141.218.60.56/~jnz1568/getInfo.php?workbook=16_08.xlsx&amp;sheet=U0&amp;row=2846&amp;col=6&amp;number=3.2&amp;sourceID=14","3.2")</f>
        <v>3.2</v>
      </c>
      <c r="G2846" s="4" t="str">
        <f>HYPERLINK("http://141.218.60.56/~jnz1568/getInfo.php?workbook=16_08.xlsx&amp;sheet=U0&amp;row=2846&amp;col=7&amp;number=0.0116&amp;sourceID=14","0.0116")</f>
        <v>0.0116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HYPERLINK("http://141.218.60.56/~jnz1568/getInfo.php?workbook=16_08.xlsx&amp;sheet=U0&amp;row=2847&amp;col=6&amp;number=3.3&amp;sourceID=14","3.3")</f>
        <v>3.3</v>
      </c>
      <c r="G2847" s="4" t="str">
        <f>HYPERLINK("http://141.218.60.56/~jnz1568/getInfo.php?workbook=16_08.xlsx&amp;sheet=U0&amp;row=2847&amp;col=7&amp;number=0.0116&amp;sourceID=14","0.0116")</f>
        <v>0.0116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HYPERLINK("http://141.218.60.56/~jnz1568/getInfo.php?workbook=16_08.xlsx&amp;sheet=U0&amp;row=2848&amp;col=6&amp;number=3.4&amp;sourceID=14","3.4")</f>
        <v>3.4</v>
      </c>
      <c r="G2848" s="4" t="str">
        <f>HYPERLINK("http://141.218.60.56/~jnz1568/getInfo.php?workbook=16_08.xlsx&amp;sheet=U0&amp;row=2848&amp;col=7&amp;number=0.0116&amp;sourceID=14","0.0116")</f>
        <v>0.0116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HYPERLINK("http://141.218.60.56/~jnz1568/getInfo.php?workbook=16_08.xlsx&amp;sheet=U0&amp;row=2849&amp;col=6&amp;number=3.5&amp;sourceID=14","3.5")</f>
        <v>3.5</v>
      </c>
      <c r="G2849" s="4" t="str">
        <f>HYPERLINK("http://141.218.60.56/~jnz1568/getInfo.php?workbook=16_08.xlsx&amp;sheet=U0&amp;row=2849&amp;col=7&amp;number=0.0116&amp;sourceID=14","0.0116")</f>
        <v>0.0116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HYPERLINK("http://141.218.60.56/~jnz1568/getInfo.php?workbook=16_08.xlsx&amp;sheet=U0&amp;row=2850&amp;col=6&amp;number=3.6&amp;sourceID=14","3.6")</f>
        <v>3.6</v>
      </c>
      <c r="G2850" s="4" t="str">
        <f>HYPERLINK("http://141.218.60.56/~jnz1568/getInfo.php?workbook=16_08.xlsx&amp;sheet=U0&amp;row=2850&amp;col=7&amp;number=0.0116&amp;sourceID=14","0.0116")</f>
        <v>0.0116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HYPERLINK("http://141.218.60.56/~jnz1568/getInfo.php?workbook=16_08.xlsx&amp;sheet=U0&amp;row=2851&amp;col=6&amp;number=3.7&amp;sourceID=14","3.7")</f>
        <v>3.7</v>
      </c>
      <c r="G2851" s="4" t="str">
        <f>HYPERLINK("http://141.218.60.56/~jnz1568/getInfo.php?workbook=16_08.xlsx&amp;sheet=U0&amp;row=2851&amp;col=7&amp;number=0.0116&amp;sourceID=14","0.0116")</f>
        <v>0.0116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HYPERLINK("http://141.218.60.56/~jnz1568/getInfo.php?workbook=16_08.xlsx&amp;sheet=U0&amp;row=2852&amp;col=6&amp;number=3.8&amp;sourceID=14","3.8")</f>
        <v>3.8</v>
      </c>
      <c r="G2852" s="4" t="str">
        <f>HYPERLINK("http://141.218.60.56/~jnz1568/getInfo.php?workbook=16_08.xlsx&amp;sheet=U0&amp;row=2852&amp;col=7&amp;number=0.0116&amp;sourceID=14","0.0116")</f>
        <v>0.0116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HYPERLINK("http://141.218.60.56/~jnz1568/getInfo.php?workbook=16_08.xlsx&amp;sheet=U0&amp;row=2853&amp;col=6&amp;number=3.9&amp;sourceID=14","3.9")</f>
        <v>3.9</v>
      </c>
      <c r="G2853" s="4" t="str">
        <f>HYPERLINK("http://141.218.60.56/~jnz1568/getInfo.php?workbook=16_08.xlsx&amp;sheet=U0&amp;row=2853&amp;col=7&amp;number=0.0116&amp;sourceID=14","0.0116")</f>
        <v>0.0116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HYPERLINK("http://141.218.60.56/~jnz1568/getInfo.php?workbook=16_08.xlsx&amp;sheet=U0&amp;row=2854&amp;col=6&amp;number=4&amp;sourceID=14","4")</f>
        <v>4</v>
      </c>
      <c r="G2854" s="4" t="str">
        <f>HYPERLINK("http://141.218.60.56/~jnz1568/getInfo.php?workbook=16_08.xlsx&amp;sheet=U0&amp;row=2854&amp;col=7&amp;number=0.0116&amp;sourceID=14","0.0116")</f>
        <v>0.0116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HYPERLINK("http://141.218.60.56/~jnz1568/getInfo.php?workbook=16_08.xlsx&amp;sheet=U0&amp;row=2855&amp;col=6&amp;number=4.1&amp;sourceID=14","4.1")</f>
        <v>4.1</v>
      </c>
      <c r="G2855" s="4" t="str">
        <f>HYPERLINK("http://141.218.60.56/~jnz1568/getInfo.php?workbook=16_08.xlsx&amp;sheet=U0&amp;row=2855&amp;col=7&amp;number=0.0116&amp;sourceID=14","0.0116")</f>
        <v>0.0116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HYPERLINK("http://141.218.60.56/~jnz1568/getInfo.php?workbook=16_08.xlsx&amp;sheet=U0&amp;row=2856&amp;col=6&amp;number=4.2&amp;sourceID=14","4.2")</f>
        <v>4.2</v>
      </c>
      <c r="G2856" s="4" t="str">
        <f>HYPERLINK("http://141.218.60.56/~jnz1568/getInfo.php?workbook=16_08.xlsx&amp;sheet=U0&amp;row=2856&amp;col=7&amp;number=0.0116&amp;sourceID=14","0.0116")</f>
        <v>0.0116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HYPERLINK("http://141.218.60.56/~jnz1568/getInfo.php?workbook=16_08.xlsx&amp;sheet=U0&amp;row=2857&amp;col=6&amp;number=4.3&amp;sourceID=14","4.3")</f>
        <v>4.3</v>
      </c>
      <c r="G2857" s="4" t="str">
        <f>HYPERLINK("http://141.218.60.56/~jnz1568/getInfo.php?workbook=16_08.xlsx&amp;sheet=U0&amp;row=2857&amp;col=7&amp;number=0.0116&amp;sourceID=14","0.0116")</f>
        <v>0.0116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HYPERLINK("http://141.218.60.56/~jnz1568/getInfo.php?workbook=16_08.xlsx&amp;sheet=U0&amp;row=2858&amp;col=6&amp;number=4.4&amp;sourceID=14","4.4")</f>
        <v>4.4</v>
      </c>
      <c r="G2858" s="4" t="str">
        <f>HYPERLINK("http://141.218.60.56/~jnz1568/getInfo.php?workbook=16_08.xlsx&amp;sheet=U0&amp;row=2858&amp;col=7&amp;number=0.0116&amp;sourceID=14","0.0116")</f>
        <v>0.0116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HYPERLINK("http://141.218.60.56/~jnz1568/getInfo.php?workbook=16_08.xlsx&amp;sheet=U0&amp;row=2859&amp;col=6&amp;number=4.5&amp;sourceID=14","4.5")</f>
        <v>4.5</v>
      </c>
      <c r="G2859" s="4" t="str">
        <f>HYPERLINK("http://141.218.60.56/~jnz1568/getInfo.php?workbook=16_08.xlsx&amp;sheet=U0&amp;row=2859&amp;col=7&amp;number=0.0116&amp;sourceID=14","0.0116")</f>
        <v>0.0116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HYPERLINK("http://141.218.60.56/~jnz1568/getInfo.php?workbook=16_08.xlsx&amp;sheet=U0&amp;row=2860&amp;col=6&amp;number=4.6&amp;sourceID=14","4.6")</f>
        <v>4.6</v>
      </c>
      <c r="G2860" s="4" t="str">
        <f>HYPERLINK("http://141.218.60.56/~jnz1568/getInfo.php?workbook=16_08.xlsx&amp;sheet=U0&amp;row=2860&amp;col=7&amp;number=0.0115&amp;sourceID=14","0.0115")</f>
        <v>0.0115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HYPERLINK("http://141.218.60.56/~jnz1568/getInfo.php?workbook=16_08.xlsx&amp;sheet=U0&amp;row=2861&amp;col=6&amp;number=4.7&amp;sourceID=14","4.7")</f>
        <v>4.7</v>
      </c>
      <c r="G2861" s="4" t="str">
        <f>HYPERLINK("http://141.218.60.56/~jnz1568/getInfo.php?workbook=16_08.xlsx&amp;sheet=U0&amp;row=2861&amp;col=7&amp;number=0.0115&amp;sourceID=14","0.0115")</f>
        <v>0.0115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HYPERLINK("http://141.218.60.56/~jnz1568/getInfo.php?workbook=16_08.xlsx&amp;sheet=U0&amp;row=2862&amp;col=6&amp;number=4.8&amp;sourceID=14","4.8")</f>
        <v>4.8</v>
      </c>
      <c r="G2862" s="4" t="str">
        <f>HYPERLINK("http://141.218.60.56/~jnz1568/getInfo.php?workbook=16_08.xlsx&amp;sheet=U0&amp;row=2862&amp;col=7&amp;number=0.0115&amp;sourceID=14","0.0115")</f>
        <v>0.0115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HYPERLINK("http://141.218.60.56/~jnz1568/getInfo.php?workbook=16_08.xlsx&amp;sheet=U0&amp;row=2863&amp;col=6&amp;number=4.9&amp;sourceID=14","4.9")</f>
        <v>4.9</v>
      </c>
      <c r="G2863" s="4" t="str">
        <f>HYPERLINK("http://141.218.60.56/~jnz1568/getInfo.php?workbook=16_08.xlsx&amp;sheet=U0&amp;row=2863&amp;col=7&amp;number=0.0115&amp;sourceID=14","0.0115")</f>
        <v>0.0115</v>
      </c>
    </row>
    <row r="2864" spans="1:7">
      <c r="A2864" s="3">
        <v>16</v>
      </c>
      <c r="B2864" s="3">
        <v>8</v>
      </c>
      <c r="C2864" s="3">
        <v>2</v>
      </c>
      <c r="D2864" s="3">
        <v>61</v>
      </c>
      <c r="E2864" s="3">
        <v>1</v>
      </c>
      <c r="F2864" s="4" t="str">
        <f>HYPERLINK("http://141.218.60.56/~jnz1568/getInfo.php?workbook=16_08.xlsx&amp;sheet=U0&amp;row=2864&amp;col=6&amp;number=3&amp;sourceID=14","3")</f>
        <v>3</v>
      </c>
      <c r="G2864" s="4" t="str">
        <f>HYPERLINK("http://141.218.60.56/~jnz1568/getInfo.php?workbook=16_08.xlsx&amp;sheet=U0&amp;row=2864&amp;col=7&amp;number=0.00907&amp;sourceID=14","0.00907")</f>
        <v>0.00907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HYPERLINK("http://141.218.60.56/~jnz1568/getInfo.php?workbook=16_08.xlsx&amp;sheet=U0&amp;row=2865&amp;col=6&amp;number=3.1&amp;sourceID=14","3.1")</f>
        <v>3.1</v>
      </c>
      <c r="G2865" s="4" t="str">
        <f>HYPERLINK("http://141.218.60.56/~jnz1568/getInfo.php?workbook=16_08.xlsx&amp;sheet=U0&amp;row=2865&amp;col=7&amp;number=0.00907&amp;sourceID=14","0.00907")</f>
        <v>0.00907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HYPERLINK("http://141.218.60.56/~jnz1568/getInfo.php?workbook=16_08.xlsx&amp;sheet=U0&amp;row=2866&amp;col=6&amp;number=3.2&amp;sourceID=14","3.2")</f>
        <v>3.2</v>
      </c>
      <c r="G2866" s="4" t="str">
        <f>HYPERLINK("http://141.218.60.56/~jnz1568/getInfo.php?workbook=16_08.xlsx&amp;sheet=U0&amp;row=2866&amp;col=7&amp;number=0.00907&amp;sourceID=14","0.00907")</f>
        <v>0.00907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HYPERLINK("http://141.218.60.56/~jnz1568/getInfo.php?workbook=16_08.xlsx&amp;sheet=U0&amp;row=2867&amp;col=6&amp;number=3.3&amp;sourceID=14","3.3")</f>
        <v>3.3</v>
      </c>
      <c r="G2867" s="4" t="str">
        <f>HYPERLINK("http://141.218.60.56/~jnz1568/getInfo.php?workbook=16_08.xlsx&amp;sheet=U0&amp;row=2867&amp;col=7&amp;number=0.00907&amp;sourceID=14","0.00907")</f>
        <v>0.00907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HYPERLINK("http://141.218.60.56/~jnz1568/getInfo.php?workbook=16_08.xlsx&amp;sheet=U0&amp;row=2868&amp;col=6&amp;number=3.4&amp;sourceID=14","3.4")</f>
        <v>3.4</v>
      </c>
      <c r="G2868" s="4" t="str">
        <f>HYPERLINK("http://141.218.60.56/~jnz1568/getInfo.php?workbook=16_08.xlsx&amp;sheet=U0&amp;row=2868&amp;col=7&amp;number=0.00907&amp;sourceID=14","0.00907")</f>
        <v>0.00907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HYPERLINK("http://141.218.60.56/~jnz1568/getInfo.php?workbook=16_08.xlsx&amp;sheet=U0&amp;row=2869&amp;col=6&amp;number=3.5&amp;sourceID=14","3.5")</f>
        <v>3.5</v>
      </c>
      <c r="G2869" s="4" t="str">
        <f>HYPERLINK("http://141.218.60.56/~jnz1568/getInfo.php?workbook=16_08.xlsx&amp;sheet=U0&amp;row=2869&amp;col=7&amp;number=0.00907&amp;sourceID=14","0.00907")</f>
        <v>0.00907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HYPERLINK("http://141.218.60.56/~jnz1568/getInfo.php?workbook=16_08.xlsx&amp;sheet=U0&amp;row=2870&amp;col=6&amp;number=3.6&amp;sourceID=14","3.6")</f>
        <v>3.6</v>
      </c>
      <c r="G2870" s="4" t="str">
        <f>HYPERLINK("http://141.218.60.56/~jnz1568/getInfo.php?workbook=16_08.xlsx&amp;sheet=U0&amp;row=2870&amp;col=7&amp;number=0.00907&amp;sourceID=14","0.00907")</f>
        <v>0.00907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HYPERLINK("http://141.218.60.56/~jnz1568/getInfo.php?workbook=16_08.xlsx&amp;sheet=U0&amp;row=2871&amp;col=6&amp;number=3.7&amp;sourceID=14","3.7")</f>
        <v>3.7</v>
      </c>
      <c r="G2871" s="4" t="str">
        <f>HYPERLINK("http://141.218.60.56/~jnz1568/getInfo.php?workbook=16_08.xlsx&amp;sheet=U0&amp;row=2871&amp;col=7&amp;number=0.00907&amp;sourceID=14","0.00907")</f>
        <v>0.00907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HYPERLINK("http://141.218.60.56/~jnz1568/getInfo.php?workbook=16_08.xlsx&amp;sheet=U0&amp;row=2872&amp;col=6&amp;number=3.8&amp;sourceID=14","3.8")</f>
        <v>3.8</v>
      </c>
      <c r="G2872" s="4" t="str">
        <f>HYPERLINK("http://141.218.60.56/~jnz1568/getInfo.php?workbook=16_08.xlsx&amp;sheet=U0&amp;row=2872&amp;col=7&amp;number=0.00907&amp;sourceID=14","0.00907")</f>
        <v>0.00907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HYPERLINK("http://141.218.60.56/~jnz1568/getInfo.php?workbook=16_08.xlsx&amp;sheet=U0&amp;row=2873&amp;col=6&amp;number=3.9&amp;sourceID=14","3.9")</f>
        <v>3.9</v>
      </c>
      <c r="G2873" s="4" t="str">
        <f>HYPERLINK("http://141.218.60.56/~jnz1568/getInfo.php?workbook=16_08.xlsx&amp;sheet=U0&amp;row=2873&amp;col=7&amp;number=0.00907&amp;sourceID=14","0.00907")</f>
        <v>0.00907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HYPERLINK("http://141.218.60.56/~jnz1568/getInfo.php?workbook=16_08.xlsx&amp;sheet=U0&amp;row=2874&amp;col=6&amp;number=4&amp;sourceID=14","4")</f>
        <v>4</v>
      </c>
      <c r="G2874" s="4" t="str">
        <f>HYPERLINK("http://141.218.60.56/~jnz1568/getInfo.php?workbook=16_08.xlsx&amp;sheet=U0&amp;row=2874&amp;col=7&amp;number=0.00907&amp;sourceID=14","0.00907")</f>
        <v>0.00907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HYPERLINK("http://141.218.60.56/~jnz1568/getInfo.php?workbook=16_08.xlsx&amp;sheet=U0&amp;row=2875&amp;col=6&amp;number=4.1&amp;sourceID=14","4.1")</f>
        <v>4.1</v>
      </c>
      <c r="G2875" s="4" t="str">
        <f>HYPERLINK("http://141.218.60.56/~jnz1568/getInfo.php?workbook=16_08.xlsx&amp;sheet=U0&amp;row=2875&amp;col=7&amp;number=0.00907&amp;sourceID=14","0.00907")</f>
        <v>0.00907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HYPERLINK("http://141.218.60.56/~jnz1568/getInfo.php?workbook=16_08.xlsx&amp;sheet=U0&amp;row=2876&amp;col=6&amp;number=4.2&amp;sourceID=14","4.2")</f>
        <v>4.2</v>
      </c>
      <c r="G2876" s="4" t="str">
        <f>HYPERLINK("http://141.218.60.56/~jnz1568/getInfo.php?workbook=16_08.xlsx&amp;sheet=U0&amp;row=2876&amp;col=7&amp;number=0.00907&amp;sourceID=14","0.00907")</f>
        <v>0.00907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HYPERLINK("http://141.218.60.56/~jnz1568/getInfo.php?workbook=16_08.xlsx&amp;sheet=U0&amp;row=2877&amp;col=6&amp;number=4.3&amp;sourceID=14","4.3")</f>
        <v>4.3</v>
      </c>
      <c r="G2877" s="4" t="str">
        <f>HYPERLINK("http://141.218.60.56/~jnz1568/getInfo.php?workbook=16_08.xlsx&amp;sheet=U0&amp;row=2877&amp;col=7&amp;number=0.00907&amp;sourceID=14","0.00907")</f>
        <v>0.00907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HYPERLINK("http://141.218.60.56/~jnz1568/getInfo.php?workbook=16_08.xlsx&amp;sheet=U0&amp;row=2878&amp;col=6&amp;number=4.4&amp;sourceID=14","4.4")</f>
        <v>4.4</v>
      </c>
      <c r="G2878" s="4" t="str">
        <f>HYPERLINK("http://141.218.60.56/~jnz1568/getInfo.php?workbook=16_08.xlsx&amp;sheet=U0&amp;row=2878&amp;col=7&amp;number=0.00907&amp;sourceID=14","0.00907")</f>
        <v>0.00907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HYPERLINK("http://141.218.60.56/~jnz1568/getInfo.php?workbook=16_08.xlsx&amp;sheet=U0&amp;row=2879&amp;col=6&amp;number=4.5&amp;sourceID=14","4.5")</f>
        <v>4.5</v>
      </c>
      <c r="G2879" s="4" t="str">
        <f>HYPERLINK("http://141.218.60.56/~jnz1568/getInfo.php?workbook=16_08.xlsx&amp;sheet=U0&amp;row=2879&amp;col=7&amp;number=0.00906&amp;sourceID=14","0.00906")</f>
        <v>0.00906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HYPERLINK("http://141.218.60.56/~jnz1568/getInfo.php?workbook=16_08.xlsx&amp;sheet=U0&amp;row=2880&amp;col=6&amp;number=4.6&amp;sourceID=14","4.6")</f>
        <v>4.6</v>
      </c>
      <c r="G2880" s="4" t="str">
        <f>HYPERLINK("http://141.218.60.56/~jnz1568/getInfo.php?workbook=16_08.xlsx&amp;sheet=U0&amp;row=2880&amp;col=7&amp;number=0.00906&amp;sourceID=14","0.00906")</f>
        <v>0.00906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HYPERLINK("http://141.218.60.56/~jnz1568/getInfo.php?workbook=16_08.xlsx&amp;sheet=U0&amp;row=2881&amp;col=6&amp;number=4.7&amp;sourceID=14","4.7")</f>
        <v>4.7</v>
      </c>
      <c r="G2881" s="4" t="str">
        <f>HYPERLINK("http://141.218.60.56/~jnz1568/getInfo.php?workbook=16_08.xlsx&amp;sheet=U0&amp;row=2881&amp;col=7&amp;number=0.00906&amp;sourceID=14","0.00906")</f>
        <v>0.00906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HYPERLINK("http://141.218.60.56/~jnz1568/getInfo.php?workbook=16_08.xlsx&amp;sheet=U0&amp;row=2882&amp;col=6&amp;number=4.8&amp;sourceID=14","4.8")</f>
        <v>4.8</v>
      </c>
      <c r="G2882" s="4" t="str">
        <f>HYPERLINK("http://141.218.60.56/~jnz1568/getInfo.php?workbook=16_08.xlsx&amp;sheet=U0&amp;row=2882&amp;col=7&amp;number=0.00906&amp;sourceID=14","0.00906")</f>
        <v>0.00906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HYPERLINK("http://141.218.60.56/~jnz1568/getInfo.php?workbook=16_08.xlsx&amp;sheet=U0&amp;row=2883&amp;col=6&amp;number=4.9&amp;sourceID=14","4.9")</f>
        <v>4.9</v>
      </c>
      <c r="G2883" s="4" t="str">
        <f>HYPERLINK("http://141.218.60.56/~jnz1568/getInfo.php?workbook=16_08.xlsx&amp;sheet=U0&amp;row=2883&amp;col=7&amp;number=0.00906&amp;sourceID=14","0.00906")</f>
        <v>0.00906</v>
      </c>
    </row>
    <row r="2884" spans="1:7">
      <c r="A2884" s="3">
        <v>16</v>
      </c>
      <c r="B2884" s="3">
        <v>8</v>
      </c>
      <c r="C2884" s="3">
        <v>2</v>
      </c>
      <c r="D2884" s="3">
        <v>62</v>
      </c>
      <c r="E2884" s="3">
        <v>1</v>
      </c>
      <c r="F2884" s="4" t="str">
        <f>HYPERLINK("http://141.218.60.56/~jnz1568/getInfo.php?workbook=16_08.xlsx&amp;sheet=U0&amp;row=2884&amp;col=6&amp;number=3&amp;sourceID=14","3")</f>
        <v>3</v>
      </c>
      <c r="G2884" s="4" t="str">
        <f>HYPERLINK("http://141.218.60.56/~jnz1568/getInfo.php?workbook=16_08.xlsx&amp;sheet=U0&amp;row=2884&amp;col=7&amp;number=0.00664&amp;sourceID=14","0.00664")</f>
        <v>0.00664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HYPERLINK("http://141.218.60.56/~jnz1568/getInfo.php?workbook=16_08.xlsx&amp;sheet=U0&amp;row=2885&amp;col=6&amp;number=3.1&amp;sourceID=14","3.1")</f>
        <v>3.1</v>
      </c>
      <c r="G2885" s="4" t="str">
        <f>HYPERLINK("http://141.218.60.56/~jnz1568/getInfo.php?workbook=16_08.xlsx&amp;sheet=U0&amp;row=2885&amp;col=7&amp;number=0.00663&amp;sourceID=14","0.00663")</f>
        <v>0.00663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HYPERLINK("http://141.218.60.56/~jnz1568/getInfo.php?workbook=16_08.xlsx&amp;sheet=U0&amp;row=2886&amp;col=6&amp;number=3.2&amp;sourceID=14","3.2")</f>
        <v>3.2</v>
      </c>
      <c r="G2886" s="4" t="str">
        <f>HYPERLINK("http://141.218.60.56/~jnz1568/getInfo.php?workbook=16_08.xlsx&amp;sheet=U0&amp;row=2886&amp;col=7&amp;number=0.00663&amp;sourceID=14","0.00663")</f>
        <v>0.00663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HYPERLINK("http://141.218.60.56/~jnz1568/getInfo.php?workbook=16_08.xlsx&amp;sheet=U0&amp;row=2887&amp;col=6&amp;number=3.3&amp;sourceID=14","3.3")</f>
        <v>3.3</v>
      </c>
      <c r="G2887" s="4" t="str">
        <f>HYPERLINK("http://141.218.60.56/~jnz1568/getInfo.php?workbook=16_08.xlsx&amp;sheet=U0&amp;row=2887&amp;col=7&amp;number=0.00663&amp;sourceID=14","0.00663")</f>
        <v>0.00663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HYPERLINK("http://141.218.60.56/~jnz1568/getInfo.php?workbook=16_08.xlsx&amp;sheet=U0&amp;row=2888&amp;col=6&amp;number=3.4&amp;sourceID=14","3.4")</f>
        <v>3.4</v>
      </c>
      <c r="G2888" s="4" t="str">
        <f>HYPERLINK("http://141.218.60.56/~jnz1568/getInfo.php?workbook=16_08.xlsx&amp;sheet=U0&amp;row=2888&amp;col=7&amp;number=0.00663&amp;sourceID=14","0.00663")</f>
        <v>0.00663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HYPERLINK("http://141.218.60.56/~jnz1568/getInfo.php?workbook=16_08.xlsx&amp;sheet=U0&amp;row=2889&amp;col=6&amp;number=3.5&amp;sourceID=14","3.5")</f>
        <v>3.5</v>
      </c>
      <c r="G2889" s="4" t="str">
        <f>HYPERLINK("http://141.218.60.56/~jnz1568/getInfo.php?workbook=16_08.xlsx&amp;sheet=U0&amp;row=2889&amp;col=7&amp;number=0.00663&amp;sourceID=14","0.00663")</f>
        <v>0.00663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HYPERLINK("http://141.218.60.56/~jnz1568/getInfo.php?workbook=16_08.xlsx&amp;sheet=U0&amp;row=2890&amp;col=6&amp;number=3.6&amp;sourceID=14","3.6")</f>
        <v>3.6</v>
      </c>
      <c r="G2890" s="4" t="str">
        <f>HYPERLINK("http://141.218.60.56/~jnz1568/getInfo.php?workbook=16_08.xlsx&amp;sheet=U0&amp;row=2890&amp;col=7&amp;number=0.00663&amp;sourceID=14","0.00663")</f>
        <v>0.00663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HYPERLINK("http://141.218.60.56/~jnz1568/getInfo.php?workbook=16_08.xlsx&amp;sheet=U0&amp;row=2891&amp;col=6&amp;number=3.7&amp;sourceID=14","3.7")</f>
        <v>3.7</v>
      </c>
      <c r="G2891" s="4" t="str">
        <f>HYPERLINK("http://141.218.60.56/~jnz1568/getInfo.php?workbook=16_08.xlsx&amp;sheet=U0&amp;row=2891&amp;col=7&amp;number=0.00663&amp;sourceID=14","0.00663")</f>
        <v>0.00663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HYPERLINK("http://141.218.60.56/~jnz1568/getInfo.php?workbook=16_08.xlsx&amp;sheet=U0&amp;row=2892&amp;col=6&amp;number=3.8&amp;sourceID=14","3.8")</f>
        <v>3.8</v>
      </c>
      <c r="G2892" s="4" t="str">
        <f>HYPERLINK("http://141.218.60.56/~jnz1568/getInfo.php?workbook=16_08.xlsx&amp;sheet=U0&amp;row=2892&amp;col=7&amp;number=0.00663&amp;sourceID=14","0.00663")</f>
        <v>0.00663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HYPERLINK("http://141.218.60.56/~jnz1568/getInfo.php?workbook=16_08.xlsx&amp;sheet=U0&amp;row=2893&amp;col=6&amp;number=3.9&amp;sourceID=14","3.9")</f>
        <v>3.9</v>
      </c>
      <c r="G2893" s="4" t="str">
        <f>HYPERLINK("http://141.218.60.56/~jnz1568/getInfo.php?workbook=16_08.xlsx&amp;sheet=U0&amp;row=2893&amp;col=7&amp;number=0.00662&amp;sourceID=14","0.00662")</f>
        <v>0.00662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HYPERLINK("http://141.218.60.56/~jnz1568/getInfo.php?workbook=16_08.xlsx&amp;sheet=U0&amp;row=2894&amp;col=6&amp;number=4&amp;sourceID=14","4")</f>
        <v>4</v>
      </c>
      <c r="G2894" s="4" t="str">
        <f>HYPERLINK("http://141.218.60.56/~jnz1568/getInfo.php?workbook=16_08.xlsx&amp;sheet=U0&amp;row=2894&amp;col=7&amp;number=0.00662&amp;sourceID=14","0.00662")</f>
        <v>0.00662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HYPERLINK("http://141.218.60.56/~jnz1568/getInfo.php?workbook=16_08.xlsx&amp;sheet=U0&amp;row=2895&amp;col=6&amp;number=4.1&amp;sourceID=14","4.1")</f>
        <v>4.1</v>
      </c>
      <c r="G2895" s="4" t="str">
        <f>HYPERLINK("http://141.218.60.56/~jnz1568/getInfo.php?workbook=16_08.xlsx&amp;sheet=U0&amp;row=2895&amp;col=7&amp;number=0.00662&amp;sourceID=14","0.00662")</f>
        <v>0.00662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HYPERLINK("http://141.218.60.56/~jnz1568/getInfo.php?workbook=16_08.xlsx&amp;sheet=U0&amp;row=2896&amp;col=6&amp;number=4.2&amp;sourceID=14","4.2")</f>
        <v>4.2</v>
      </c>
      <c r="G2896" s="4" t="str">
        <f>HYPERLINK("http://141.218.60.56/~jnz1568/getInfo.php?workbook=16_08.xlsx&amp;sheet=U0&amp;row=2896&amp;col=7&amp;number=0.00661&amp;sourceID=14","0.00661")</f>
        <v>0.00661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HYPERLINK("http://141.218.60.56/~jnz1568/getInfo.php?workbook=16_08.xlsx&amp;sheet=U0&amp;row=2897&amp;col=6&amp;number=4.3&amp;sourceID=14","4.3")</f>
        <v>4.3</v>
      </c>
      <c r="G2897" s="4" t="str">
        <f>HYPERLINK("http://141.218.60.56/~jnz1568/getInfo.php?workbook=16_08.xlsx&amp;sheet=U0&amp;row=2897&amp;col=7&amp;number=0.0066&amp;sourceID=14","0.0066")</f>
        <v>0.0066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HYPERLINK("http://141.218.60.56/~jnz1568/getInfo.php?workbook=16_08.xlsx&amp;sheet=U0&amp;row=2898&amp;col=6&amp;number=4.4&amp;sourceID=14","4.4")</f>
        <v>4.4</v>
      </c>
      <c r="G2898" s="4" t="str">
        <f>HYPERLINK("http://141.218.60.56/~jnz1568/getInfo.php?workbook=16_08.xlsx&amp;sheet=U0&amp;row=2898&amp;col=7&amp;number=0.00659&amp;sourceID=14","0.00659")</f>
        <v>0.00659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HYPERLINK("http://141.218.60.56/~jnz1568/getInfo.php?workbook=16_08.xlsx&amp;sheet=U0&amp;row=2899&amp;col=6&amp;number=4.5&amp;sourceID=14","4.5")</f>
        <v>4.5</v>
      </c>
      <c r="G2899" s="4" t="str">
        <f>HYPERLINK("http://141.218.60.56/~jnz1568/getInfo.php?workbook=16_08.xlsx&amp;sheet=U0&amp;row=2899&amp;col=7&amp;number=0.00658&amp;sourceID=14","0.00658")</f>
        <v>0.00658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HYPERLINK("http://141.218.60.56/~jnz1568/getInfo.php?workbook=16_08.xlsx&amp;sheet=U0&amp;row=2900&amp;col=6&amp;number=4.6&amp;sourceID=14","4.6")</f>
        <v>4.6</v>
      </c>
      <c r="G2900" s="4" t="str">
        <f>HYPERLINK("http://141.218.60.56/~jnz1568/getInfo.php?workbook=16_08.xlsx&amp;sheet=U0&amp;row=2900&amp;col=7&amp;number=0.00657&amp;sourceID=14","0.00657")</f>
        <v>0.00657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HYPERLINK("http://141.218.60.56/~jnz1568/getInfo.php?workbook=16_08.xlsx&amp;sheet=U0&amp;row=2901&amp;col=6&amp;number=4.7&amp;sourceID=14","4.7")</f>
        <v>4.7</v>
      </c>
      <c r="G2901" s="4" t="str">
        <f>HYPERLINK("http://141.218.60.56/~jnz1568/getInfo.php?workbook=16_08.xlsx&amp;sheet=U0&amp;row=2901&amp;col=7&amp;number=0.00655&amp;sourceID=14","0.00655")</f>
        <v>0.00655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HYPERLINK("http://141.218.60.56/~jnz1568/getInfo.php?workbook=16_08.xlsx&amp;sheet=U0&amp;row=2902&amp;col=6&amp;number=4.8&amp;sourceID=14","4.8")</f>
        <v>4.8</v>
      </c>
      <c r="G2902" s="4" t="str">
        <f>HYPERLINK("http://141.218.60.56/~jnz1568/getInfo.php?workbook=16_08.xlsx&amp;sheet=U0&amp;row=2902&amp;col=7&amp;number=0.00653&amp;sourceID=14","0.00653")</f>
        <v>0.00653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HYPERLINK("http://141.218.60.56/~jnz1568/getInfo.php?workbook=16_08.xlsx&amp;sheet=U0&amp;row=2903&amp;col=6&amp;number=4.9&amp;sourceID=14","4.9")</f>
        <v>4.9</v>
      </c>
      <c r="G2903" s="4" t="str">
        <f>HYPERLINK("http://141.218.60.56/~jnz1568/getInfo.php?workbook=16_08.xlsx&amp;sheet=U0&amp;row=2903&amp;col=7&amp;number=0.00651&amp;sourceID=14","0.00651")</f>
        <v>0.00651</v>
      </c>
    </row>
    <row r="2904" spans="1:7">
      <c r="A2904" s="3">
        <v>16</v>
      </c>
      <c r="B2904" s="3">
        <v>8</v>
      </c>
      <c r="C2904" s="3">
        <v>2</v>
      </c>
      <c r="D2904" s="3">
        <v>63</v>
      </c>
      <c r="E2904" s="3">
        <v>1</v>
      </c>
      <c r="F2904" s="4" t="str">
        <f>HYPERLINK("http://141.218.60.56/~jnz1568/getInfo.php?workbook=16_08.xlsx&amp;sheet=U0&amp;row=2904&amp;col=6&amp;number=3&amp;sourceID=14","3")</f>
        <v>3</v>
      </c>
      <c r="G2904" s="4" t="str">
        <f>HYPERLINK("http://141.218.60.56/~jnz1568/getInfo.php?workbook=16_08.xlsx&amp;sheet=U0&amp;row=2904&amp;col=7&amp;number=0.0135&amp;sourceID=14","0.0135")</f>
        <v>0.0135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HYPERLINK("http://141.218.60.56/~jnz1568/getInfo.php?workbook=16_08.xlsx&amp;sheet=U0&amp;row=2905&amp;col=6&amp;number=3.1&amp;sourceID=14","3.1")</f>
        <v>3.1</v>
      </c>
      <c r="G2905" s="4" t="str">
        <f>HYPERLINK("http://141.218.60.56/~jnz1568/getInfo.php?workbook=16_08.xlsx&amp;sheet=U0&amp;row=2905&amp;col=7&amp;number=0.0135&amp;sourceID=14","0.0135")</f>
        <v>0.0135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HYPERLINK("http://141.218.60.56/~jnz1568/getInfo.php?workbook=16_08.xlsx&amp;sheet=U0&amp;row=2906&amp;col=6&amp;number=3.2&amp;sourceID=14","3.2")</f>
        <v>3.2</v>
      </c>
      <c r="G2906" s="4" t="str">
        <f>HYPERLINK("http://141.218.60.56/~jnz1568/getInfo.php?workbook=16_08.xlsx&amp;sheet=U0&amp;row=2906&amp;col=7&amp;number=0.0135&amp;sourceID=14","0.0135")</f>
        <v>0.0135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HYPERLINK("http://141.218.60.56/~jnz1568/getInfo.php?workbook=16_08.xlsx&amp;sheet=U0&amp;row=2907&amp;col=6&amp;number=3.3&amp;sourceID=14","3.3")</f>
        <v>3.3</v>
      </c>
      <c r="G2907" s="4" t="str">
        <f>HYPERLINK("http://141.218.60.56/~jnz1568/getInfo.php?workbook=16_08.xlsx&amp;sheet=U0&amp;row=2907&amp;col=7&amp;number=0.0135&amp;sourceID=14","0.0135")</f>
        <v>0.0135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HYPERLINK("http://141.218.60.56/~jnz1568/getInfo.php?workbook=16_08.xlsx&amp;sheet=U0&amp;row=2908&amp;col=6&amp;number=3.4&amp;sourceID=14","3.4")</f>
        <v>3.4</v>
      </c>
      <c r="G2908" s="4" t="str">
        <f>HYPERLINK("http://141.218.60.56/~jnz1568/getInfo.php?workbook=16_08.xlsx&amp;sheet=U0&amp;row=2908&amp;col=7&amp;number=0.0135&amp;sourceID=14","0.0135")</f>
        <v>0.0135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HYPERLINK("http://141.218.60.56/~jnz1568/getInfo.php?workbook=16_08.xlsx&amp;sheet=U0&amp;row=2909&amp;col=6&amp;number=3.5&amp;sourceID=14","3.5")</f>
        <v>3.5</v>
      </c>
      <c r="G2909" s="4" t="str">
        <f>HYPERLINK("http://141.218.60.56/~jnz1568/getInfo.php?workbook=16_08.xlsx&amp;sheet=U0&amp;row=2909&amp;col=7&amp;number=0.0135&amp;sourceID=14","0.0135")</f>
        <v>0.0135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HYPERLINK("http://141.218.60.56/~jnz1568/getInfo.php?workbook=16_08.xlsx&amp;sheet=U0&amp;row=2910&amp;col=6&amp;number=3.6&amp;sourceID=14","3.6")</f>
        <v>3.6</v>
      </c>
      <c r="G2910" s="4" t="str">
        <f>HYPERLINK("http://141.218.60.56/~jnz1568/getInfo.php?workbook=16_08.xlsx&amp;sheet=U0&amp;row=2910&amp;col=7&amp;number=0.0135&amp;sourceID=14","0.0135")</f>
        <v>0.0135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HYPERLINK("http://141.218.60.56/~jnz1568/getInfo.php?workbook=16_08.xlsx&amp;sheet=U0&amp;row=2911&amp;col=6&amp;number=3.7&amp;sourceID=14","3.7")</f>
        <v>3.7</v>
      </c>
      <c r="G2911" s="4" t="str">
        <f>HYPERLINK("http://141.218.60.56/~jnz1568/getInfo.php?workbook=16_08.xlsx&amp;sheet=U0&amp;row=2911&amp;col=7&amp;number=0.0135&amp;sourceID=14","0.0135")</f>
        <v>0.0135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HYPERLINK("http://141.218.60.56/~jnz1568/getInfo.php?workbook=16_08.xlsx&amp;sheet=U0&amp;row=2912&amp;col=6&amp;number=3.8&amp;sourceID=14","3.8")</f>
        <v>3.8</v>
      </c>
      <c r="G2912" s="4" t="str">
        <f>HYPERLINK("http://141.218.60.56/~jnz1568/getInfo.php?workbook=16_08.xlsx&amp;sheet=U0&amp;row=2912&amp;col=7&amp;number=0.0135&amp;sourceID=14","0.0135")</f>
        <v>0.0135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HYPERLINK("http://141.218.60.56/~jnz1568/getInfo.php?workbook=16_08.xlsx&amp;sheet=U0&amp;row=2913&amp;col=6&amp;number=3.9&amp;sourceID=14","3.9")</f>
        <v>3.9</v>
      </c>
      <c r="G2913" s="4" t="str">
        <f>HYPERLINK("http://141.218.60.56/~jnz1568/getInfo.php?workbook=16_08.xlsx&amp;sheet=U0&amp;row=2913&amp;col=7&amp;number=0.0135&amp;sourceID=14","0.0135")</f>
        <v>0.0135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HYPERLINK("http://141.218.60.56/~jnz1568/getInfo.php?workbook=16_08.xlsx&amp;sheet=U0&amp;row=2914&amp;col=6&amp;number=4&amp;sourceID=14","4")</f>
        <v>4</v>
      </c>
      <c r="G2914" s="4" t="str">
        <f>HYPERLINK("http://141.218.60.56/~jnz1568/getInfo.php?workbook=16_08.xlsx&amp;sheet=U0&amp;row=2914&amp;col=7&amp;number=0.0134&amp;sourceID=14","0.0134")</f>
        <v>0.0134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HYPERLINK("http://141.218.60.56/~jnz1568/getInfo.php?workbook=16_08.xlsx&amp;sheet=U0&amp;row=2915&amp;col=6&amp;number=4.1&amp;sourceID=14","4.1")</f>
        <v>4.1</v>
      </c>
      <c r="G2915" s="4" t="str">
        <f>HYPERLINK("http://141.218.60.56/~jnz1568/getInfo.php?workbook=16_08.xlsx&amp;sheet=U0&amp;row=2915&amp;col=7&amp;number=0.0134&amp;sourceID=14","0.0134")</f>
        <v>0.0134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HYPERLINK("http://141.218.60.56/~jnz1568/getInfo.php?workbook=16_08.xlsx&amp;sheet=U0&amp;row=2916&amp;col=6&amp;number=4.2&amp;sourceID=14","4.2")</f>
        <v>4.2</v>
      </c>
      <c r="G2916" s="4" t="str">
        <f>HYPERLINK("http://141.218.60.56/~jnz1568/getInfo.php?workbook=16_08.xlsx&amp;sheet=U0&amp;row=2916&amp;col=7&amp;number=0.0134&amp;sourceID=14","0.0134")</f>
        <v>0.0134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HYPERLINK("http://141.218.60.56/~jnz1568/getInfo.php?workbook=16_08.xlsx&amp;sheet=U0&amp;row=2917&amp;col=6&amp;number=4.3&amp;sourceID=14","4.3")</f>
        <v>4.3</v>
      </c>
      <c r="G2917" s="4" t="str">
        <f>HYPERLINK("http://141.218.60.56/~jnz1568/getInfo.php?workbook=16_08.xlsx&amp;sheet=U0&amp;row=2917&amp;col=7&amp;number=0.0134&amp;sourceID=14","0.0134")</f>
        <v>0.0134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HYPERLINK("http://141.218.60.56/~jnz1568/getInfo.php?workbook=16_08.xlsx&amp;sheet=U0&amp;row=2918&amp;col=6&amp;number=4.4&amp;sourceID=14","4.4")</f>
        <v>4.4</v>
      </c>
      <c r="G2918" s="4" t="str">
        <f>HYPERLINK("http://141.218.60.56/~jnz1568/getInfo.php?workbook=16_08.xlsx&amp;sheet=U0&amp;row=2918&amp;col=7&amp;number=0.0133&amp;sourceID=14","0.0133")</f>
        <v>0.0133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HYPERLINK("http://141.218.60.56/~jnz1568/getInfo.php?workbook=16_08.xlsx&amp;sheet=U0&amp;row=2919&amp;col=6&amp;number=4.5&amp;sourceID=14","4.5")</f>
        <v>4.5</v>
      </c>
      <c r="G2919" s="4" t="str">
        <f>HYPERLINK("http://141.218.60.56/~jnz1568/getInfo.php?workbook=16_08.xlsx&amp;sheet=U0&amp;row=2919&amp;col=7&amp;number=0.0133&amp;sourceID=14","0.0133")</f>
        <v>0.0133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HYPERLINK("http://141.218.60.56/~jnz1568/getInfo.php?workbook=16_08.xlsx&amp;sheet=U0&amp;row=2920&amp;col=6&amp;number=4.6&amp;sourceID=14","4.6")</f>
        <v>4.6</v>
      </c>
      <c r="G2920" s="4" t="str">
        <f>HYPERLINK("http://141.218.60.56/~jnz1568/getInfo.php?workbook=16_08.xlsx&amp;sheet=U0&amp;row=2920&amp;col=7&amp;number=0.0132&amp;sourceID=14","0.0132")</f>
        <v>0.0132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HYPERLINK("http://141.218.60.56/~jnz1568/getInfo.php?workbook=16_08.xlsx&amp;sheet=U0&amp;row=2921&amp;col=6&amp;number=4.7&amp;sourceID=14","4.7")</f>
        <v>4.7</v>
      </c>
      <c r="G2921" s="4" t="str">
        <f>HYPERLINK("http://141.218.60.56/~jnz1568/getInfo.php?workbook=16_08.xlsx&amp;sheet=U0&amp;row=2921&amp;col=7&amp;number=0.0132&amp;sourceID=14","0.0132")</f>
        <v>0.0132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HYPERLINK("http://141.218.60.56/~jnz1568/getInfo.php?workbook=16_08.xlsx&amp;sheet=U0&amp;row=2922&amp;col=6&amp;number=4.8&amp;sourceID=14","4.8")</f>
        <v>4.8</v>
      </c>
      <c r="G2922" s="4" t="str">
        <f>HYPERLINK("http://141.218.60.56/~jnz1568/getInfo.php?workbook=16_08.xlsx&amp;sheet=U0&amp;row=2922&amp;col=7&amp;number=0.0131&amp;sourceID=14","0.0131")</f>
        <v>0.0131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HYPERLINK("http://141.218.60.56/~jnz1568/getInfo.php?workbook=16_08.xlsx&amp;sheet=U0&amp;row=2923&amp;col=6&amp;number=4.9&amp;sourceID=14","4.9")</f>
        <v>4.9</v>
      </c>
      <c r="G2923" s="4" t="str">
        <f>HYPERLINK("http://141.218.60.56/~jnz1568/getInfo.php?workbook=16_08.xlsx&amp;sheet=U0&amp;row=2923&amp;col=7&amp;number=0.013&amp;sourceID=14","0.013")</f>
        <v>0.013</v>
      </c>
    </row>
    <row r="2924" spans="1:7">
      <c r="A2924" s="3">
        <v>16</v>
      </c>
      <c r="B2924" s="3">
        <v>8</v>
      </c>
      <c r="C2924" s="3">
        <v>2</v>
      </c>
      <c r="D2924" s="3">
        <v>64</v>
      </c>
      <c r="E2924" s="3">
        <v>1</v>
      </c>
      <c r="F2924" s="4" t="str">
        <f>HYPERLINK("http://141.218.60.56/~jnz1568/getInfo.php?workbook=16_08.xlsx&amp;sheet=U0&amp;row=2924&amp;col=6&amp;number=3&amp;sourceID=14","3")</f>
        <v>3</v>
      </c>
      <c r="G2924" s="4" t="str">
        <f>HYPERLINK("http://141.218.60.56/~jnz1568/getInfo.php?workbook=16_08.xlsx&amp;sheet=U0&amp;row=2924&amp;col=7&amp;number=0.0142&amp;sourceID=14","0.0142")</f>
        <v>0.0142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HYPERLINK("http://141.218.60.56/~jnz1568/getInfo.php?workbook=16_08.xlsx&amp;sheet=U0&amp;row=2925&amp;col=6&amp;number=3.1&amp;sourceID=14","3.1")</f>
        <v>3.1</v>
      </c>
      <c r="G2925" s="4" t="str">
        <f>HYPERLINK("http://141.218.60.56/~jnz1568/getInfo.php?workbook=16_08.xlsx&amp;sheet=U0&amp;row=2925&amp;col=7&amp;number=0.0142&amp;sourceID=14","0.0142")</f>
        <v>0.0142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HYPERLINK("http://141.218.60.56/~jnz1568/getInfo.php?workbook=16_08.xlsx&amp;sheet=U0&amp;row=2926&amp;col=6&amp;number=3.2&amp;sourceID=14","3.2")</f>
        <v>3.2</v>
      </c>
      <c r="G2926" s="4" t="str">
        <f>HYPERLINK("http://141.218.60.56/~jnz1568/getInfo.php?workbook=16_08.xlsx&amp;sheet=U0&amp;row=2926&amp;col=7&amp;number=0.0142&amp;sourceID=14","0.0142")</f>
        <v>0.0142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HYPERLINK("http://141.218.60.56/~jnz1568/getInfo.php?workbook=16_08.xlsx&amp;sheet=U0&amp;row=2927&amp;col=6&amp;number=3.3&amp;sourceID=14","3.3")</f>
        <v>3.3</v>
      </c>
      <c r="G2927" s="4" t="str">
        <f>HYPERLINK("http://141.218.60.56/~jnz1568/getInfo.php?workbook=16_08.xlsx&amp;sheet=U0&amp;row=2927&amp;col=7&amp;number=0.0142&amp;sourceID=14","0.0142")</f>
        <v>0.0142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HYPERLINK("http://141.218.60.56/~jnz1568/getInfo.php?workbook=16_08.xlsx&amp;sheet=U0&amp;row=2928&amp;col=6&amp;number=3.4&amp;sourceID=14","3.4")</f>
        <v>3.4</v>
      </c>
      <c r="G2928" s="4" t="str">
        <f>HYPERLINK("http://141.218.60.56/~jnz1568/getInfo.php?workbook=16_08.xlsx&amp;sheet=U0&amp;row=2928&amp;col=7&amp;number=0.0142&amp;sourceID=14","0.0142")</f>
        <v>0.0142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HYPERLINK("http://141.218.60.56/~jnz1568/getInfo.php?workbook=16_08.xlsx&amp;sheet=U0&amp;row=2929&amp;col=6&amp;number=3.5&amp;sourceID=14","3.5")</f>
        <v>3.5</v>
      </c>
      <c r="G2929" s="4" t="str">
        <f>HYPERLINK("http://141.218.60.56/~jnz1568/getInfo.php?workbook=16_08.xlsx&amp;sheet=U0&amp;row=2929&amp;col=7&amp;number=0.0142&amp;sourceID=14","0.0142")</f>
        <v>0.0142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HYPERLINK("http://141.218.60.56/~jnz1568/getInfo.php?workbook=16_08.xlsx&amp;sheet=U0&amp;row=2930&amp;col=6&amp;number=3.6&amp;sourceID=14","3.6")</f>
        <v>3.6</v>
      </c>
      <c r="G2930" s="4" t="str">
        <f>HYPERLINK("http://141.218.60.56/~jnz1568/getInfo.php?workbook=16_08.xlsx&amp;sheet=U0&amp;row=2930&amp;col=7&amp;number=0.0142&amp;sourceID=14","0.0142")</f>
        <v>0.0142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HYPERLINK("http://141.218.60.56/~jnz1568/getInfo.php?workbook=16_08.xlsx&amp;sheet=U0&amp;row=2931&amp;col=6&amp;number=3.7&amp;sourceID=14","3.7")</f>
        <v>3.7</v>
      </c>
      <c r="G2931" s="4" t="str">
        <f>HYPERLINK("http://141.218.60.56/~jnz1568/getInfo.php?workbook=16_08.xlsx&amp;sheet=U0&amp;row=2931&amp;col=7&amp;number=0.0143&amp;sourceID=14","0.0143")</f>
        <v>0.0143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HYPERLINK("http://141.218.60.56/~jnz1568/getInfo.php?workbook=16_08.xlsx&amp;sheet=U0&amp;row=2932&amp;col=6&amp;number=3.8&amp;sourceID=14","3.8")</f>
        <v>3.8</v>
      </c>
      <c r="G2932" s="4" t="str">
        <f>HYPERLINK("http://141.218.60.56/~jnz1568/getInfo.php?workbook=16_08.xlsx&amp;sheet=U0&amp;row=2932&amp;col=7&amp;number=0.0143&amp;sourceID=14","0.0143")</f>
        <v>0.0143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HYPERLINK("http://141.218.60.56/~jnz1568/getInfo.php?workbook=16_08.xlsx&amp;sheet=U0&amp;row=2933&amp;col=6&amp;number=3.9&amp;sourceID=14","3.9")</f>
        <v>3.9</v>
      </c>
      <c r="G2933" s="4" t="str">
        <f>HYPERLINK("http://141.218.60.56/~jnz1568/getInfo.php?workbook=16_08.xlsx&amp;sheet=U0&amp;row=2933&amp;col=7&amp;number=0.0143&amp;sourceID=14","0.0143")</f>
        <v>0.0143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HYPERLINK("http://141.218.60.56/~jnz1568/getInfo.php?workbook=16_08.xlsx&amp;sheet=U0&amp;row=2934&amp;col=6&amp;number=4&amp;sourceID=14","4")</f>
        <v>4</v>
      </c>
      <c r="G2934" s="4" t="str">
        <f>HYPERLINK("http://141.218.60.56/~jnz1568/getInfo.php?workbook=16_08.xlsx&amp;sheet=U0&amp;row=2934&amp;col=7&amp;number=0.0143&amp;sourceID=14","0.0143")</f>
        <v>0.0143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HYPERLINK("http://141.218.60.56/~jnz1568/getInfo.php?workbook=16_08.xlsx&amp;sheet=U0&amp;row=2935&amp;col=6&amp;number=4.1&amp;sourceID=14","4.1")</f>
        <v>4.1</v>
      </c>
      <c r="G2935" s="4" t="str">
        <f>HYPERLINK("http://141.218.60.56/~jnz1568/getInfo.php?workbook=16_08.xlsx&amp;sheet=U0&amp;row=2935&amp;col=7&amp;number=0.0143&amp;sourceID=14","0.0143")</f>
        <v>0.0143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HYPERLINK("http://141.218.60.56/~jnz1568/getInfo.php?workbook=16_08.xlsx&amp;sheet=U0&amp;row=2936&amp;col=6&amp;number=4.2&amp;sourceID=14","4.2")</f>
        <v>4.2</v>
      </c>
      <c r="G2936" s="4" t="str">
        <f>HYPERLINK("http://141.218.60.56/~jnz1568/getInfo.php?workbook=16_08.xlsx&amp;sheet=U0&amp;row=2936&amp;col=7&amp;number=0.0143&amp;sourceID=14","0.0143")</f>
        <v>0.0143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HYPERLINK("http://141.218.60.56/~jnz1568/getInfo.php?workbook=16_08.xlsx&amp;sheet=U0&amp;row=2937&amp;col=6&amp;number=4.3&amp;sourceID=14","4.3")</f>
        <v>4.3</v>
      </c>
      <c r="G2937" s="4" t="str">
        <f>HYPERLINK("http://141.218.60.56/~jnz1568/getInfo.php?workbook=16_08.xlsx&amp;sheet=U0&amp;row=2937&amp;col=7&amp;number=0.0143&amp;sourceID=14","0.0143")</f>
        <v>0.0143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HYPERLINK("http://141.218.60.56/~jnz1568/getInfo.php?workbook=16_08.xlsx&amp;sheet=U0&amp;row=2938&amp;col=6&amp;number=4.4&amp;sourceID=14","4.4")</f>
        <v>4.4</v>
      </c>
      <c r="G2938" s="4" t="str">
        <f>HYPERLINK("http://141.218.60.56/~jnz1568/getInfo.php?workbook=16_08.xlsx&amp;sheet=U0&amp;row=2938&amp;col=7&amp;number=0.0143&amp;sourceID=14","0.0143")</f>
        <v>0.0143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HYPERLINK("http://141.218.60.56/~jnz1568/getInfo.php?workbook=16_08.xlsx&amp;sheet=U0&amp;row=2939&amp;col=6&amp;number=4.5&amp;sourceID=14","4.5")</f>
        <v>4.5</v>
      </c>
      <c r="G2939" s="4" t="str">
        <f>HYPERLINK("http://141.218.60.56/~jnz1568/getInfo.php?workbook=16_08.xlsx&amp;sheet=U0&amp;row=2939&amp;col=7&amp;number=0.0143&amp;sourceID=14","0.0143")</f>
        <v>0.0143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HYPERLINK("http://141.218.60.56/~jnz1568/getInfo.php?workbook=16_08.xlsx&amp;sheet=U0&amp;row=2940&amp;col=6&amp;number=4.6&amp;sourceID=14","4.6")</f>
        <v>4.6</v>
      </c>
      <c r="G2940" s="4" t="str">
        <f>HYPERLINK("http://141.218.60.56/~jnz1568/getInfo.php?workbook=16_08.xlsx&amp;sheet=U0&amp;row=2940&amp;col=7&amp;number=0.0143&amp;sourceID=14","0.0143")</f>
        <v>0.0143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HYPERLINK("http://141.218.60.56/~jnz1568/getInfo.php?workbook=16_08.xlsx&amp;sheet=U0&amp;row=2941&amp;col=6&amp;number=4.7&amp;sourceID=14","4.7")</f>
        <v>4.7</v>
      </c>
      <c r="G2941" s="4" t="str">
        <f>HYPERLINK("http://141.218.60.56/~jnz1568/getInfo.php?workbook=16_08.xlsx&amp;sheet=U0&amp;row=2941&amp;col=7&amp;number=0.0143&amp;sourceID=14","0.0143")</f>
        <v>0.0143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HYPERLINK("http://141.218.60.56/~jnz1568/getInfo.php?workbook=16_08.xlsx&amp;sheet=U0&amp;row=2942&amp;col=6&amp;number=4.8&amp;sourceID=14","4.8")</f>
        <v>4.8</v>
      </c>
      <c r="G2942" s="4" t="str">
        <f>HYPERLINK("http://141.218.60.56/~jnz1568/getInfo.php?workbook=16_08.xlsx&amp;sheet=U0&amp;row=2942&amp;col=7&amp;number=0.0144&amp;sourceID=14","0.0144")</f>
        <v>0.0144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HYPERLINK("http://141.218.60.56/~jnz1568/getInfo.php?workbook=16_08.xlsx&amp;sheet=U0&amp;row=2943&amp;col=6&amp;number=4.9&amp;sourceID=14","4.9")</f>
        <v>4.9</v>
      </c>
      <c r="G2943" s="4" t="str">
        <f>HYPERLINK("http://141.218.60.56/~jnz1568/getInfo.php?workbook=16_08.xlsx&amp;sheet=U0&amp;row=2943&amp;col=7&amp;number=0.0144&amp;sourceID=14","0.0144")</f>
        <v>0.0144</v>
      </c>
    </row>
    <row r="2944" spans="1:7">
      <c r="A2944" s="3">
        <v>16</v>
      </c>
      <c r="B2944" s="3">
        <v>8</v>
      </c>
      <c r="C2944" s="3">
        <v>2</v>
      </c>
      <c r="D2944" s="3">
        <v>65</v>
      </c>
      <c r="E2944" s="3">
        <v>1</v>
      </c>
      <c r="F2944" s="4" t="str">
        <f>HYPERLINK("http://141.218.60.56/~jnz1568/getInfo.php?workbook=16_08.xlsx&amp;sheet=U0&amp;row=2944&amp;col=6&amp;number=3&amp;sourceID=14","3")</f>
        <v>3</v>
      </c>
      <c r="G2944" s="4" t="str">
        <f>HYPERLINK("http://141.218.60.56/~jnz1568/getInfo.php?workbook=16_08.xlsx&amp;sheet=U0&amp;row=2944&amp;col=7&amp;number=0.092&amp;sourceID=14","0.092")</f>
        <v>0.092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HYPERLINK("http://141.218.60.56/~jnz1568/getInfo.php?workbook=16_08.xlsx&amp;sheet=U0&amp;row=2945&amp;col=6&amp;number=3.1&amp;sourceID=14","3.1")</f>
        <v>3.1</v>
      </c>
      <c r="G2945" s="4" t="str">
        <f>HYPERLINK("http://141.218.60.56/~jnz1568/getInfo.php?workbook=16_08.xlsx&amp;sheet=U0&amp;row=2945&amp;col=7&amp;number=0.092&amp;sourceID=14","0.092")</f>
        <v>0.092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HYPERLINK("http://141.218.60.56/~jnz1568/getInfo.php?workbook=16_08.xlsx&amp;sheet=U0&amp;row=2946&amp;col=6&amp;number=3.2&amp;sourceID=14","3.2")</f>
        <v>3.2</v>
      </c>
      <c r="G2946" s="4" t="str">
        <f>HYPERLINK("http://141.218.60.56/~jnz1568/getInfo.php?workbook=16_08.xlsx&amp;sheet=U0&amp;row=2946&amp;col=7&amp;number=0.092&amp;sourceID=14","0.092")</f>
        <v>0.092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HYPERLINK("http://141.218.60.56/~jnz1568/getInfo.php?workbook=16_08.xlsx&amp;sheet=U0&amp;row=2947&amp;col=6&amp;number=3.3&amp;sourceID=14","3.3")</f>
        <v>3.3</v>
      </c>
      <c r="G2947" s="4" t="str">
        <f>HYPERLINK("http://141.218.60.56/~jnz1568/getInfo.php?workbook=16_08.xlsx&amp;sheet=U0&amp;row=2947&amp;col=7&amp;number=0.092&amp;sourceID=14","0.092")</f>
        <v>0.092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HYPERLINK("http://141.218.60.56/~jnz1568/getInfo.php?workbook=16_08.xlsx&amp;sheet=U0&amp;row=2948&amp;col=6&amp;number=3.4&amp;sourceID=14","3.4")</f>
        <v>3.4</v>
      </c>
      <c r="G2948" s="4" t="str">
        <f>HYPERLINK("http://141.218.60.56/~jnz1568/getInfo.php?workbook=16_08.xlsx&amp;sheet=U0&amp;row=2948&amp;col=7&amp;number=0.092&amp;sourceID=14","0.092")</f>
        <v>0.092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HYPERLINK("http://141.218.60.56/~jnz1568/getInfo.php?workbook=16_08.xlsx&amp;sheet=U0&amp;row=2949&amp;col=6&amp;number=3.5&amp;sourceID=14","3.5")</f>
        <v>3.5</v>
      </c>
      <c r="G2949" s="4" t="str">
        <f>HYPERLINK("http://141.218.60.56/~jnz1568/getInfo.php?workbook=16_08.xlsx&amp;sheet=U0&amp;row=2949&amp;col=7&amp;number=0.092&amp;sourceID=14","0.092")</f>
        <v>0.092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HYPERLINK("http://141.218.60.56/~jnz1568/getInfo.php?workbook=16_08.xlsx&amp;sheet=U0&amp;row=2950&amp;col=6&amp;number=3.6&amp;sourceID=14","3.6")</f>
        <v>3.6</v>
      </c>
      <c r="G2950" s="4" t="str">
        <f>HYPERLINK("http://141.218.60.56/~jnz1568/getInfo.php?workbook=16_08.xlsx&amp;sheet=U0&amp;row=2950&amp;col=7&amp;number=0.0921&amp;sourceID=14","0.0921")</f>
        <v>0.0921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HYPERLINK("http://141.218.60.56/~jnz1568/getInfo.php?workbook=16_08.xlsx&amp;sheet=U0&amp;row=2951&amp;col=6&amp;number=3.7&amp;sourceID=14","3.7")</f>
        <v>3.7</v>
      </c>
      <c r="G2951" s="4" t="str">
        <f>HYPERLINK("http://141.218.60.56/~jnz1568/getInfo.php?workbook=16_08.xlsx&amp;sheet=U0&amp;row=2951&amp;col=7&amp;number=0.0921&amp;sourceID=14","0.0921")</f>
        <v>0.0921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HYPERLINK("http://141.218.60.56/~jnz1568/getInfo.php?workbook=16_08.xlsx&amp;sheet=U0&amp;row=2952&amp;col=6&amp;number=3.8&amp;sourceID=14","3.8")</f>
        <v>3.8</v>
      </c>
      <c r="G2952" s="4" t="str">
        <f>HYPERLINK("http://141.218.60.56/~jnz1568/getInfo.php?workbook=16_08.xlsx&amp;sheet=U0&amp;row=2952&amp;col=7&amp;number=0.0922&amp;sourceID=14","0.0922")</f>
        <v>0.0922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HYPERLINK("http://141.218.60.56/~jnz1568/getInfo.php?workbook=16_08.xlsx&amp;sheet=U0&amp;row=2953&amp;col=6&amp;number=3.9&amp;sourceID=14","3.9")</f>
        <v>3.9</v>
      </c>
      <c r="G2953" s="4" t="str">
        <f>HYPERLINK("http://141.218.60.56/~jnz1568/getInfo.php?workbook=16_08.xlsx&amp;sheet=U0&amp;row=2953&amp;col=7&amp;number=0.0922&amp;sourceID=14","0.0922")</f>
        <v>0.0922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HYPERLINK("http://141.218.60.56/~jnz1568/getInfo.php?workbook=16_08.xlsx&amp;sheet=U0&amp;row=2954&amp;col=6&amp;number=4&amp;sourceID=14","4")</f>
        <v>4</v>
      </c>
      <c r="G2954" s="4" t="str">
        <f>HYPERLINK("http://141.218.60.56/~jnz1568/getInfo.php?workbook=16_08.xlsx&amp;sheet=U0&amp;row=2954&amp;col=7&amp;number=0.0923&amp;sourceID=14","0.0923")</f>
        <v>0.0923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HYPERLINK("http://141.218.60.56/~jnz1568/getInfo.php?workbook=16_08.xlsx&amp;sheet=U0&amp;row=2955&amp;col=6&amp;number=4.1&amp;sourceID=14","4.1")</f>
        <v>4.1</v>
      </c>
      <c r="G2955" s="4" t="str">
        <f>HYPERLINK("http://141.218.60.56/~jnz1568/getInfo.php?workbook=16_08.xlsx&amp;sheet=U0&amp;row=2955&amp;col=7&amp;number=0.0924&amp;sourceID=14","0.0924")</f>
        <v>0.0924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HYPERLINK("http://141.218.60.56/~jnz1568/getInfo.php?workbook=16_08.xlsx&amp;sheet=U0&amp;row=2956&amp;col=6&amp;number=4.2&amp;sourceID=14","4.2")</f>
        <v>4.2</v>
      </c>
      <c r="G2956" s="4" t="str">
        <f>HYPERLINK("http://141.218.60.56/~jnz1568/getInfo.php?workbook=16_08.xlsx&amp;sheet=U0&amp;row=2956&amp;col=7&amp;number=0.0926&amp;sourceID=14","0.0926")</f>
        <v>0.0926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HYPERLINK("http://141.218.60.56/~jnz1568/getInfo.php?workbook=16_08.xlsx&amp;sheet=U0&amp;row=2957&amp;col=6&amp;number=4.3&amp;sourceID=14","4.3")</f>
        <v>4.3</v>
      </c>
      <c r="G2957" s="4" t="str">
        <f>HYPERLINK("http://141.218.60.56/~jnz1568/getInfo.php?workbook=16_08.xlsx&amp;sheet=U0&amp;row=2957&amp;col=7&amp;number=0.0927&amp;sourceID=14","0.0927")</f>
        <v>0.0927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HYPERLINK("http://141.218.60.56/~jnz1568/getInfo.php?workbook=16_08.xlsx&amp;sheet=U0&amp;row=2958&amp;col=6&amp;number=4.4&amp;sourceID=14","4.4")</f>
        <v>4.4</v>
      </c>
      <c r="G2958" s="4" t="str">
        <f>HYPERLINK("http://141.218.60.56/~jnz1568/getInfo.php?workbook=16_08.xlsx&amp;sheet=U0&amp;row=2958&amp;col=7&amp;number=0.0929&amp;sourceID=14","0.0929")</f>
        <v>0.0929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HYPERLINK("http://141.218.60.56/~jnz1568/getInfo.php?workbook=16_08.xlsx&amp;sheet=U0&amp;row=2959&amp;col=6&amp;number=4.5&amp;sourceID=14","4.5")</f>
        <v>4.5</v>
      </c>
      <c r="G2959" s="4" t="str">
        <f>HYPERLINK("http://141.218.60.56/~jnz1568/getInfo.php?workbook=16_08.xlsx&amp;sheet=U0&amp;row=2959&amp;col=7&amp;number=0.0932&amp;sourceID=14","0.0932")</f>
        <v>0.0932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HYPERLINK("http://141.218.60.56/~jnz1568/getInfo.php?workbook=16_08.xlsx&amp;sheet=U0&amp;row=2960&amp;col=6&amp;number=4.6&amp;sourceID=14","4.6")</f>
        <v>4.6</v>
      </c>
      <c r="G2960" s="4" t="str">
        <f>HYPERLINK("http://141.218.60.56/~jnz1568/getInfo.php?workbook=16_08.xlsx&amp;sheet=U0&amp;row=2960&amp;col=7&amp;number=0.0935&amp;sourceID=14","0.0935")</f>
        <v>0.0935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HYPERLINK("http://141.218.60.56/~jnz1568/getInfo.php?workbook=16_08.xlsx&amp;sheet=U0&amp;row=2961&amp;col=6&amp;number=4.7&amp;sourceID=14","4.7")</f>
        <v>4.7</v>
      </c>
      <c r="G2961" s="4" t="str">
        <f>HYPERLINK("http://141.218.60.56/~jnz1568/getInfo.php?workbook=16_08.xlsx&amp;sheet=U0&amp;row=2961&amp;col=7&amp;number=0.0939&amp;sourceID=14","0.0939")</f>
        <v>0.0939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HYPERLINK("http://141.218.60.56/~jnz1568/getInfo.php?workbook=16_08.xlsx&amp;sheet=U0&amp;row=2962&amp;col=6&amp;number=4.8&amp;sourceID=14","4.8")</f>
        <v>4.8</v>
      </c>
      <c r="G2962" s="4" t="str">
        <f>HYPERLINK("http://141.218.60.56/~jnz1568/getInfo.php?workbook=16_08.xlsx&amp;sheet=U0&amp;row=2962&amp;col=7&amp;number=0.0945&amp;sourceID=14","0.0945")</f>
        <v>0.0945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HYPERLINK("http://141.218.60.56/~jnz1568/getInfo.php?workbook=16_08.xlsx&amp;sheet=U0&amp;row=2963&amp;col=6&amp;number=4.9&amp;sourceID=14","4.9")</f>
        <v>4.9</v>
      </c>
      <c r="G2963" s="4" t="str">
        <f>HYPERLINK("http://141.218.60.56/~jnz1568/getInfo.php?workbook=16_08.xlsx&amp;sheet=U0&amp;row=2963&amp;col=7&amp;number=0.0951&amp;sourceID=14","0.0951")</f>
        <v>0.0951</v>
      </c>
    </row>
    <row r="2964" spans="1:7">
      <c r="A2964" s="3">
        <v>16</v>
      </c>
      <c r="B2964" s="3">
        <v>8</v>
      </c>
      <c r="C2964" s="3">
        <v>2</v>
      </c>
      <c r="D2964" s="3">
        <v>66</v>
      </c>
      <c r="E2964" s="3">
        <v>1</v>
      </c>
      <c r="F2964" s="4" t="str">
        <f>HYPERLINK("http://141.218.60.56/~jnz1568/getInfo.php?workbook=16_08.xlsx&amp;sheet=U0&amp;row=2964&amp;col=6&amp;number=3&amp;sourceID=14","3")</f>
        <v>3</v>
      </c>
      <c r="G2964" s="4" t="str">
        <f>HYPERLINK("http://141.218.60.56/~jnz1568/getInfo.php?workbook=16_08.xlsx&amp;sheet=U0&amp;row=2964&amp;col=7&amp;number=0.00105&amp;sourceID=14","0.00105")</f>
        <v>0.00105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HYPERLINK("http://141.218.60.56/~jnz1568/getInfo.php?workbook=16_08.xlsx&amp;sheet=U0&amp;row=2965&amp;col=6&amp;number=3.1&amp;sourceID=14","3.1")</f>
        <v>3.1</v>
      </c>
      <c r="G2965" s="4" t="str">
        <f>HYPERLINK("http://141.218.60.56/~jnz1568/getInfo.php?workbook=16_08.xlsx&amp;sheet=U0&amp;row=2965&amp;col=7&amp;number=0.00105&amp;sourceID=14","0.00105")</f>
        <v>0.00105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HYPERLINK("http://141.218.60.56/~jnz1568/getInfo.php?workbook=16_08.xlsx&amp;sheet=U0&amp;row=2966&amp;col=6&amp;number=3.2&amp;sourceID=14","3.2")</f>
        <v>3.2</v>
      </c>
      <c r="G2966" s="4" t="str">
        <f>HYPERLINK("http://141.218.60.56/~jnz1568/getInfo.php?workbook=16_08.xlsx&amp;sheet=U0&amp;row=2966&amp;col=7&amp;number=0.00105&amp;sourceID=14","0.00105")</f>
        <v>0.00105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HYPERLINK("http://141.218.60.56/~jnz1568/getInfo.php?workbook=16_08.xlsx&amp;sheet=U0&amp;row=2967&amp;col=6&amp;number=3.3&amp;sourceID=14","3.3")</f>
        <v>3.3</v>
      </c>
      <c r="G2967" s="4" t="str">
        <f>HYPERLINK("http://141.218.60.56/~jnz1568/getInfo.php?workbook=16_08.xlsx&amp;sheet=U0&amp;row=2967&amp;col=7&amp;number=0.00105&amp;sourceID=14","0.00105")</f>
        <v>0.00105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HYPERLINK("http://141.218.60.56/~jnz1568/getInfo.php?workbook=16_08.xlsx&amp;sheet=U0&amp;row=2968&amp;col=6&amp;number=3.4&amp;sourceID=14","3.4")</f>
        <v>3.4</v>
      </c>
      <c r="G2968" s="4" t="str">
        <f>HYPERLINK("http://141.218.60.56/~jnz1568/getInfo.php?workbook=16_08.xlsx&amp;sheet=U0&amp;row=2968&amp;col=7&amp;number=0.00105&amp;sourceID=14","0.00105")</f>
        <v>0.00105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HYPERLINK("http://141.218.60.56/~jnz1568/getInfo.php?workbook=16_08.xlsx&amp;sheet=U0&amp;row=2969&amp;col=6&amp;number=3.5&amp;sourceID=14","3.5")</f>
        <v>3.5</v>
      </c>
      <c r="G2969" s="4" t="str">
        <f>HYPERLINK("http://141.218.60.56/~jnz1568/getInfo.php?workbook=16_08.xlsx&amp;sheet=U0&amp;row=2969&amp;col=7&amp;number=0.00105&amp;sourceID=14","0.00105")</f>
        <v>0.00105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HYPERLINK("http://141.218.60.56/~jnz1568/getInfo.php?workbook=16_08.xlsx&amp;sheet=U0&amp;row=2970&amp;col=6&amp;number=3.6&amp;sourceID=14","3.6")</f>
        <v>3.6</v>
      </c>
      <c r="G2970" s="4" t="str">
        <f>HYPERLINK("http://141.218.60.56/~jnz1568/getInfo.php?workbook=16_08.xlsx&amp;sheet=U0&amp;row=2970&amp;col=7&amp;number=0.00105&amp;sourceID=14","0.00105")</f>
        <v>0.00105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HYPERLINK("http://141.218.60.56/~jnz1568/getInfo.php?workbook=16_08.xlsx&amp;sheet=U0&amp;row=2971&amp;col=6&amp;number=3.7&amp;sourceID=14","3.7")</f>
        <v>3.7</v>
      </c>
      <c r="G2971" s="4" t="str">
        <f>HYPERLINK("http://141.218.60.56/~jnz1568/getInfo.php?workbook=16_08.xlsx&amp;sheet=U0&amp;row=2971&amp;col=7&amp;number=0.00105&amp;sourceID=14","0.00105")</f>
        <v>0.00105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HYPERLINK("http://141.218.60.56/~jnz1568/getInfo.php?workbook=16_08.xlsx&amp;sheet=U0&amp;row=2972&amp;col=6&amp;number=3.8&amp;sourceID=14","3.8")</f>
        <v>3.8</v>
      </c>
      <c r="G2972" s="4" t="str">
        <f>HYPERLINK("http://141.218.60.56/~jnz1568/getInfo.php?workbook=16_08.xlsx&amp;sheet=U0&amp;row=2972&amp;col=7&amp;number=0.00105&amp;sourceID=14","0.00105")</f>
        <v>0.00105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HYPERLINK("http://141.218.60.56/~jnz1568/getInfo.php?workbook=16_08.xlsx&amp;sheet=U0&amp;row=2973&amp;col=6&amp;number=3.9&amp;sourceID=14","3.9")</f>
        <v>3.9</v>
      </c>
      <c r="G2973" s="4" t="str">
        <f>HYPERLINK("http://141.218.60.56/~jnz1568/getInfo.php?workbook=16_08.xlsx&amp;sheet=U0&amp;row=2973&amp;col=7&amp;number=0.00105&amp;sourceID=14","0.00105")</f>
        <v>0.00105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HYPERLINK("http://141.218.60.56/~jnz1568/getInfo.php?workbook=16_08.xlsx&amp;sheet=U0&amp;row=2974&amp;col=6&amp;number=4&amp;sourceID=14","4")</f>
        <v>4</v>
      </c>
      <c r="G2974" s="4" t="str">
        <f>HYPERLINK("http://141.218.60.56/~jnz1568/getInfo.php?workbook=16_08.xlsx&amp;sheet=U0&amp;row=2974&amp;col=7&amp;number=0.00105&amp;sourceID=14","0.00105")</f>
        <v>0.00105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HYPERLINK("http://141.218.60.56/~jnz1568/getInfo.php?workbook=16_08.xlsx&amp;sheet=U0&amp;row=2975&amp;col=6&amp;number=4.1&amp;sourceID=14","4.1")</f>
        <v>4.1</v>
      </c>
      <c r="G2975" s="4" t="str">
        <f>HYPERLINK("http://141.218.60.56/~jnz1568/getInfo.php?workbook=16_08.xlsx&amp;sheet=U0&amp;row=2975&amp;col=7&amp;number=0.00105&amp;sourceID=14","0.00105")</f>
        <v>0.00105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HYPERLINK("http://141.218.60.56/~jnz1568/getInfo.php?workbook=16_08.xlsx&amp;sheet=U0&amp;row=2976&amp;col=6&amp;number=4.2&amp;sourceID=14","4.2")</f>
        <v>4.2</v>
      </c>
      <c r="G2976" s="4" t="str">
        <f>HYPERLINK("http://141.218.60.56/~jnz1568/getInfo.php?workbook=16_08.xlsx&amp;sheet=U0&amp;row=2976&amp;col=7&amp;number=0.00105&amp;sourceID=14","0.00105")</f>
        <v>0.00105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HYPERLINK("http://141.218.60.56/~jnz1568/getInfo.php?workbook=16_08.xlsx&amp;sheet=U0&amp;row=2977&amp;col=6&amp;number=4.3&amp;sourceID=14","4.3")</f>
        <v>4.3</v>
      </c>
      <c r="G2977" s="4" t="str">
        <f>HYPERLINK("http://141.218.60.56/~jnz1568/getInfo.php?workbook=16_08.xlsx&amp;sheet=U0&amp;row=2977&amp;col=7&amp;number=0.00105&amp;sourceID=14","0.00105")</f>
        <v>0.00105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HYPERLINK("http://141.218.60.56/~jnz1568/getInfo.php?workbook=16_08.xlsx&amp;sheet=U0&amp;row=2978&amp;col=6&amp;number=4.4&amp;sourceID=14","4.4")</f>
        <v>4.4</v>
      </c>
      <c r="G2978" s="4" t="str">
        <f>HYPERLINK("http://141.218.60.56/~jnz1568/getInfo.php?workbook=16_08.xlsx&amp;sheet=U0&amp;row=2978&amp;col=7&amp;number=0.00105&amp;sourceID=14","0.00105")</f>
        <v>0.00105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HYPERLINK("http://141.218.60.56/~jnz1568/getInfo.php?workbook=16_08.xlsx&amp;sheet=U0&amp;row=2979&amp;col=6&amp;number=4.5&amp;sourceID=14","4.5")</f>
        <v>4.5</v>
      </c>
      <c r="G2979" s="4" t="str">
        <f>HYPERLINK("http://141.218.60.56/~jnz1568/getInfo.php?workbook=16_08.xlsx&amp;sheet=U0&amp;row=2979&amp;col=7&amp;number=0.00104&amp;sourceID=14","0.00104")</f>
        <v>0.00104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HYPERLINK("http://141.218.60.56/~jnz1568/getInfo.php?workbook=16_08.xlsx&amp;sheet=U0&amp;row=2980&amp;col=6&amp;number=4.6&amp;sourceID=14","4.6")</f>
        <v>4.6</v>
      </c>
      <c r="G2980" s="4" t="str">
        <f>HYPERLINK("http://141.218.60.56/~jnz1568/getInfo.php?workbook=16_08.xlsx&amp;sheet=U0&amp;row=2980&amp;col=7&amp;number=0.00104&amp;sourceID=14","0.00104")</f>
        <v>0.00104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HYPERLINK("http://141.218.60.56/~jnz1568/getInfo.php?workbook=16_08.xlsx&amp;sheet=U0&amp;row=2981&amp;col=6&amp;number=4.7&amp;sourceID=14","4.7")</f>
        <v>4.7</v>
      </c>
      <c r="G2981" s="4" t="str">
        <f>HYPERLINK("http://141.218.60.56/~jnz1568/getInfo.php?workbook=16_08.xlsx&amp;sheet=U0&amp;row=2981&amp;col=7&amp;number=0.00104&amp;sourceID=14","0.00104")</f>
        <v>0.00104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HYPERLINK("http://141.218.60.56/~jnz1568/getInfo.php?workbook=16_08.xlsx&amp;sheet=U0&amp;row=2982&amp;col=6&amp;number=4.8&amp;sourceID=14","4.8")</f>
        <v>4.8</v>
      </c>
      <c r="G2982" s="4" t="str">
        <f>HYPERLINK("http://141.218.60.56/~jnz1568/getInfo.php?workbook=16_08.xlsx&amp;sheet=U0&amp;row=2982&amp;col=7&amp;number=0.00103&amp;sourceID=14","0.00103")</f>
        <v>0.00103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HYPERLINK("http://141.218.60.56/~jnz1568/getInfo.php?workbook=16_08.xlsx&amp;sheet=U0&amp;row=2983&amp;col=6&amp;number=4.9&amp;sourceID=14","4.9")</f>
        <v>4.9</v>
      </c>
      <c r="G2983" s="4" t="str">
        <f>HYPERLINK("http://141.218.60.56/~jnz1568/getInfo.php?workbook=16_08.xlsx&amp;sheet=U0&amp;row=2983&amp;col=7&amp;number=0.00103&amp;sourceID=14","0.00103")</f>
        <v>0.00103</v>
      </c>
    </row>
    <row r="2984" spans="1:7">
      <c r="A2984" s="3">
        <v>16</v>
      </c>
      <c r="B2984" s="3">
        <v>8</v>
      </c>
      <c r="C2984" s="3">
        <v>2</v>
      </c>
      <c r="D2984" s="3">
        <v>67</v>
      </c>
      <c r="E2984" s="3">
        <v>1</v>
      </c>
      <c r="F2984" s="4" t="str">
        <f>HYPERLINK("http://141.218.60.56/~jnz1568/getInfo.php?workbook=16_08.xlsx&amp;sheet=U0&amp;row=2984&amp;col=6&amp;number=3&amp;sourceID=14","3")</f>
        <v>3</v>
      </c>
      <c r="G2984" s="4" t="str">
        <f>HYPERLINK("http://141.218.60.56/~jnz1568/getInfo.php?workbook=16_08.xlsx&amp;sheet=U0&amp;row=2984&amp;col=7&amp;number=0.00551&amp;sourceID=14","0.00551")</f>
        <v>0.00551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HYPERLINK("http://141.218.60.56/~jnz1568/getInfo.php?workbook=16_08.xlsx&amp;sheet=U0&amp;row=2985&amp;col=6&amp;number=3.1&amp;sourceID=14","3.1")</f>
        <v>3.1</v>
      </c>
      <c r="G2985" s="4" t="str">
        <f>HYPERLINK("http://141.218.60.56/~jnz1568/getInfo.php?workbook=16_08.xlsx&amp;sheet=U0&amp;row=2985&amp;col=7&amp;number=0.00551&amp;sourceID=14","0.00551")</f>
        <v>0.00551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HYPERLINK("http://141.218.60.56/~jnz1568/getInfo.php?workbook=16_08.xlsx&amp;sheet=U0&amp;row=2986&amp;col=6&amp;number=3.2&amp;sourceID=14","3.2")</f>
        <v>3.2</v>
      </c>
      <c r="G2986" s="4" t="str">
        <f>HYPERLINK("http://141.218.60.56/~jnz1568/getInfo.php?workbook=16_08.xlsx&amp;sheet=U0&amp;row=2986&amp;col=7&amp;number=0.0055&amp;sourceID=14","0.0055")</f>
        <v>0.0055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HYPERLINK("http://141.218.60.56/~jnz1568/getInfo.php?workbook=16_08.xlsx&amp;sheet=U0&amp;row=2987&amp;col=6&amp;number=3.3&amp;sourceID=14","3.3")</f>
        <v>3.3</v>
      </c>
      <c r="G2987" s="4" t="str">
        <f>HYPERLINK("http://141.218.60.56/~jnz1568/getInfo.php?workbook=16_08.xlsx&amp;sheet=U0&amp;row=2987&amp;col=7&amp;number=0.0055&amp;sourceID=14","0.0055")</f>
        <v>0.0055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HYPERLINK("http://141.218.60.56/~jnz1568/getInfo.php?workbook=16_08.xlsx&amp;sheet=U0&amp;row=2988&amp;col=6&amp;number=3.4&amp;sourceID=14","3.4")</f>
        <v>3.4</v>
      </c>
      <c r="G2988" s="4" t="str">
        <f>HYPERLINK("http://141.218.60.56/~jnz1568/getInfo.php?workbook=16_08.xlsx&amp;sheet=U0&amp;row=2988&amp;col=7&amp;number=0.0055&amp;sourceID=14","0.0055")</f>
        <v>0.0055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HYPERLINK("http://141.218.60.56/~jnz1568/getInfo.php?workbook=16_08.xlsx&amp;sheet=U0&amp;row=2989&amp;col=6&amp;number=3.5&amp;sourceID=14","3.5")</f>
        <v>3.5</v>
      </c>
      <c r="G2989" s="4" t="str">
        <f>HYPERLINK("http://141.218.60.56/~jnz1568/getInfo.php?workbook=16_08.xlsx&amp;sheet=U0&amp;row=2989&amp;col=7&amp;number=0.0055&amp;sourceID=14","0.0055")</f>
        <v>0.0055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HYPERLINK("http://141.218.60.56/~jnz1568/getInfo.php?workbook=16_08.xlsx&amp;sheet=U0&amp;row=2990&amp;col=6&amp;number=3.6&amp;sourceID=14","3.6")</f>
        <v>3.6</v>
      </c>
      <c r="G2990" s="4" t="str">
        <f>HYPERLINK("http://141.218.60.56/~jnz1568/getInfo.php?workbook=16_08.xlsx&amp;sheet=U0&amp;row=2990&amp;col=7&amp;number=0.0055&amp;sourceID=14","0.0055")</f>
        <v>0.0055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HYPERLINK("http://141.218.60.56/~jnz1568/getInfo.php?workbook=16_08.xlsx&amp;sheet=U0&amp;row=2991&amp;col=6&amp;number=3.7&amp;sourceID=14","3.7")</f>
        <v>3.7</v>
      </c>
      <c r="G2991" s="4" t="str">
        <f>HYPERLINK("http://141.218.60.56/~jnz1568/getInfo.php?workbook=16_08.xlsx&amp;sheet=U0&amp;row=2991&amp;col=7&amp;number=0.0055&amp;sourceID=14","0.0055")</f>
        <v>0.0055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HYPERLINK("http://141.218.60.56/~jnz1568/getInfo.php?workbook=16_08.xlsx&amp;sheet=U0&amp;row=2992&amp;col=6&amp;number=3.8&amp;sourceID=14","3.8")</f>
        <v>3.8</v>
      </c>
      <c r="G2992" s="4" t="str">
        <f>HYPERLINK("http://141.218.60.56/~jnz1568/getInfo.php?workbook=16_08.xlsx&amp;sheet=U0&amp;row=2992&amp;col=7&amp;number=0.0055&amp;sourceID=14","0.0055")</f>
        <v>0.0055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HYPERLINK("http://141.218.60.56/~jnz1568/getInfo.php?workbook=16_08.xlsx&amp;sheet=U0&amp;row=2993&amp;col=6&amp;number=3.9&amp;sourceID=14","3.9")</f>
        <v>3.9</v>
      </c>
      <c r="G2993" s="4" t="str">
        <f>HYPERLINK("http://141.218.60.56/~jnz1568/getInfo.php?workbook=16_08.xlsx&amp;sheet=U0&amp;row=2993&amp;col=7&amp;number=0.0055&amp;sourceID=14","0.0055")</f>
        <v>0.0055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HYPERLINK("http://141.218.60.56/~jnz1568/getInfo.php?workbook=16_08.xlsx&amp;sheet=U0&amp;row=2994&amp;col=6&amp;number=4&amp;sourceID=14","4")</f>
        <v>4</v>
      </c>
      <c r="G2994" s="4" t="str">
        <f>HYPERLINK("http://141.218.60.56/~jnz1568/getInfo.php?workbook=16_08.xlsx&amp;sheet=U0&amp;row=2994&amp;col=7&amp;number=0.0055&amp;sourceID=14","0.0055")</f>
        <v>0.0055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HYPERLINK("http://141.218.60.56/~jnz1568/getInfo.php?workbook=16_08.xlsx&amp;sheet=U0&amp;row=2995&amp;col=6&amp;number=4.1&amp;sourceID=14","4.1")</f>
        <v>4.1</v>
      </c>
      <c r="G2995" s="4" t="str">
        <f>HYPERLINK("http://141.218.60.56/~jnz1568/getInfo.php?workbook=16_08.xlsx&amp;sheet=U0&amp;row=2995&amp;col=7&amp;number=0.0055&amp;sourceID=14","0.0055")</f>
        <v>0.0055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HYPERLINK("http://141.218.60.56/~jnz1568/getInfo.php?workbook=16_08.xlsx&amp;sheet=U0&amp;row=2996&amp;col=6&amp;number=4.2&amp;sourceID=14","4.2")</f>
        <v>4.2</v>
      </c>
      <c r="G2996" s="4" t="str">
        <f>HYPERLINK("http://141.218.60.56/~jnz1568/getInfo.php?workbook=16_08.xlsx&amp;sheet=U0&amp;row=2996&amp;col=7&amp;number=0.00549&amp;sourceID=14","0.00549")</f>
        <v>0.00549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HYPERLINK("http://141.218.60.56/~jnz1568/getInfo.php?workbook=16_08.xlsx&amp;sheet=U0&amp;row=2997&amp;col=6&amp;number=4.3&amp;sourceID=14","4.3")</f>
        <v>4.3</v>
      </c>
      <c r="G2997" s="4" t="str">
        <f>HYPERLINK("http://141.218.60.56/~jnz1568/getInfo.php?workbook=16_08.xlsx&amp;sheet=U0&amp;row=2997&amp;col=7&amp;number=0.00549&amp;sourceID=14","0.00549")</f>
        <v>0.00549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HYPERLINK("http://141.218.60.56/~jnz1568/getInfo.php?workbook=16_08.xlsx&amp;sheet=U0&amp;row=2998&amp;col=6&amp;number=4.4&amp;sourceID=14","4.4")</f>
        <v>4.4</v>
      </c>
      <c r="G2998" s="4" t="str">
        <f>HYPERLINK("http://141.218.60.56/~jnz1568/getInfo.php?workbook=16_08.xlsx&amp;sheet=U0&amp;row=2998&amp;col=7&amp;number=0.00549&amp;sourceID=14","0.00549")</f>
        <v>0.00549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HYPERLINK("http://141.218.60.56/~jnz1568/getInfo.php?workbook=16_08.xlsx&amp;sheet=U0&amp;row=2999&amp;col=6&amp;number=4.5&amp;sourceID=14","4.5")</f>
        <v>4.5</v>
      </c>
      <c r="G2999" s="4" t="str">
        <f>HYPERLINK("http://141.218.60.56/~jnz1568/getInfo.php?workbook=16_08.xlsx&amp;sheet=U0&amp;row=2999&amp;col=7&amp;number=0.00548&amp;sourceID=14","0.00548")</f>
        <v>0.00548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HYPERLINK("http://141.218.60.56/~jnz1568/getInfo.php?workbook=16_08.xlsx&amp;sheet=U0&amp;row=3000&amp;col=6&amp;number=4.6&amp;sourceID=14","4.6")</f>
        <v>4.6</v>
      </c>
      <c r="G3000" s="4" t="str">
        <f>HYPERLINK("http://141.218.60.56/~jnz1568/getInfo.php?workbook=16_08.xlsx&amp;sheet=U0&amp;row=3000&amp;col=7&amp;number=0.00548&amp;sourceID=14","0.00548")</f>
        <v>0.00548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HYPERLINK("http://141.218.60.56/~jnz1568/getInfo.php?workbook=16_08.xlsx&amp;sheet=U0&amp;row=3001&amp;col=6&amp;number=4.7&amp;sourceID=14","4.7")</f>
        <v>4.7</v>
      </c>
      <c r="G3001" s="4" t="str">
        <f>HYPERLINK("http://141.218.60.56/~jnz1568/getInfo.php?workbook=16_08.xlsx&amp;sheet=U0&amp;row=3001&amp;col=7&amp;number=0.00547&amp;sourceID=14","0.00547")</f>
        <v>0.00547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HYPERLINK("http://141.218.60.56/~jnz1568/getInfo.php?workbook=16_08.xlsx&amp;sheet=U0&amp;row=3002&amp;col=6&amp;number=4.8&amp;sourceID=14","4.8")</f>
        <v>4.8</v>
      </c>
      <c r="G3002" s="4" t="str">
        <f>HYPERLINK("http://141.218.60.56/~jnz1568/getInfo.php?workbook=16_08.xlsx&amp;sheet=U0&amp;row=3002&amp;col=7&amp;number=0.00546&amp;sourceID=14","0.00546")</f>
        <v>0.00546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HYPERLINK("http://141.218.60.56/~jnz1568/getInfo.php?workbook=16_08.xlsx&amp;sheet=U0&amp;row=3003&amp;col=6&amp;number=4.9&amp;sourceID=14","4.9")</f>
        <v>4.9</v>
      </c>
      <c r="G3003" s="4" t="str">
        <f>HYPERLINK("http://141.218.60.56/~jnz1568/getInfo.php?workbook=16_08.xlsx&amp;sheet=U0&amp;row=3003&amp;col=7&amp;number=0.00545&amp;sourceID=14","0.00545")</f>
        <v>0.00545</v>
      </c>
    </row>
    <row r="3004" spans="1:7">
      <c r="A3004" s="3">
        <v>16</v>
      </c>
      <c r="B3004" s="3">
        <v>8</v>
      </c>
      <c r="C3004" s="3">
        <v>2</v>
      </c>
      <c r="D3004" s="3">
        <v>68</v>
      </c>
      <c r="E3004" s="3">
        <v>1</v>
      </c>
      <c r="F3004" s="4" t="str">
        <f>HYPERLINK("http://141.218.60.56/~jnz1568/getInfo.php?workbook=16_08.xlsx&amp;sheet=U0&amp;row=3004&amp;col=6&amp;number=3&amp;sourceID=14","3")</f>
        <v>3</v>
      </c>
      <c r="G3004" s="4" t="str">
        <f>HYPERLINK("http://141.218.60.56/~jnz1568/getInfo.php?workbook=16_08.xlsx&amp;sheet=U0&amp;row=3004&amp;col=7&amp;number=0.0162&amp;sourceID=14","0.0162")</f>
        <v>0.0162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HYPERLINK("http://141.218.60.56/~jnz1568/getInfo.php?workbook=16_08.xlsx&amp;sheet=U0&amp;row=3005&amp;col=6&amp;number=3.1&amp;sourceID=14","3.1")</f>
        <v>3.1</v>
      </c>
      <c r="G3005" s="4" t="str">
        <f>HYPERLINK("http://141.218.60.56/~jnz1568/getInfo.php?workbook=16_08.xlsx&amp;sheet=U0&amp;row=3005&amp;col=7&amp;number=0.0162&amp;sourceID=14","0.0162")</f>
        <v>0.0162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HYPERLINK("http://141.218.60.56/~jnz1568/getInfo.php?workbook=16_08.xlsx&amp;sheet=U0&amp;row=3006&amp;col=6&amp;number=3.2&amp;sourceID=14","3.2")</f>
        <v>3.2</v>
      </c>
      <c r="G3006" s="4" t="str">
        <f>HYPERLINK("http://141.218.60.56/~jnz1568/getInfo.php?workbook=16_08.xlsx&amp;sheet=U0&amp;row=3006&amp;col=7&amp;number=0.0162&amp;sourceID=14","0.0162")</f>
        <v>0.0162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HYPERLINK("http://141.218.60.56/~jnz1568/getInfo.php?workbook=16_08.xlsx&amp;sheet=U0&amp;row=3007&amp;col=6&amp;number=3.3&amp;sourceID=14","3.3")</f>
        <v>3.3</v>
      </c>
      <c r="G3007" s="4" t="str">
        <f>HYPERLINK("http://141.218.60.56/~jnz1568/getInfo.php?workbook=16_08.xlsx&amp;sheet=U0&amp;row=3007&amp;col=7&amp;number=0.0162&amp;sourceID=14","0.0162")</f>
        <v>0.0162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HYPERLINK("http://141.218.60.56/~jnz1568/getInfo.php?workbook=16_08.xlsx&amp;sheet=U0&amp;row=3008&amp;col=6&amp;number=3.4&amp;sourceID=14","3.4")</f>
        <v>3.4</v>
      </c>
      <c r="G3008" s="4" t="str">
        <f>HYPERLINK("http://141.218.60.56/~jnz1568/getInfo.php?workbook=16_08.xlsx&amp;sheet=U0&amp;row=3008&amp;col=7&amp;number=0.0162&amp;sourceID=14","0.0162")</f>
        <v>0.0162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HYPERLINK("http://141.218.60.56/~jnz1568/getInfo.php?workbook=16_08.xlsx&amp;sheet=U0&amp;row=3009&amp;col=6&amp;number=3.5&amp;sourceID=14","3.5")</f>
        <v>3.5</v>
      </c>
      <c r="G3009" s="4" t="str">
        <f>HYPERLINK("http://141.218.60.56/~jnz1568/getInfo.php?workbook=16_08.xlsx&amp;sheet=U0&amp;row=3009&amp;col=7&amp;number=0.0162&amp;sourceID=14","0.0162")</f>
        <v>0.0162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HYPERLINK("http://141.218.60.56/~jnz1568/getInfo.php?workbook=16_08.xlsx&amp;sheet=U0&amp;row=3010&amp;col=6&amp;number=3.6&amp;sourceID=14","3.6")</f>
        <v>3.6</v>
      </c>
      <c r="G3010" s="4" t="str">
        <f>HYPERLINK("http://141.218.60.56/~jnz1568/getInfo.php?workbook=16_08.xlsx&amp;sheet=U0&amp;row=3010&amp;col=7&amp;number=0.0162&amp;sourceID=14","0.0162")</f>
        <v>0.0162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HYPERLINK("http://141.218.60.56/~jnz1568/getInfo.php?workbook=16_08.xlsx&amp;sheet=U0&amp;row=3011&amp;col=6&amp;number=3.7&amp;sourceID=14","3.7")</f>
        <v>3.7</v>
      </c>
      <c r="G3011" s="4" t="str">
        <f>HYPERLINK("http://141.218.60.56/~jnz1568/getInfo.php?workbook=16_08.xlsx&amp;sheet=U0&amp;row=3011&amp;col=7&amp;number=0.0162&amp;sourceID=14","0.0162")</f>
        <v>0.0162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HYPERLINK("http://141.218.60.56/~jnz1568/getInfo.php?workbook=16_08.xlsx&amp;sheet=U0&amp;row=3012&amp;col=6&amp;number=3.8&amp;sourceID=14","3.8")</f>
        <v>3.8</v>
      </c>
      <c r="G3012" s="4" t="str">
        <f>HYPERLINK("http://141.218.60.56/~jnz1568/getInfo.php?workbook=16_08.xlsx&amp;sheet=U0&amp;row=3012&amp;col=7&amp;number=0.0163&amp;sourceID=14","0.0163")</f>
        <v>0.0163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HYPERLINK("http://141.218.60.56/~jnz1568/getInfo.php?workbook=16_08.xlsx&amp;sheet=U0&amp;row=3013&amp;col=6&amp;number=3.9&amp;sourceID=14","3.9")</f>
        <v>3.9</v>
      </c>
      <c r="G3013" s="4" t="str">
        <f>HYPERLINK("http://141.218.60.56/~jnz1568/getInfo.php?workbook=16_08.xlsx&amp;sheet=U0&amp;row=3013&amp;col=7&amp;number=0.0163&amp;sourceID=14","0.0163")</f>
        <v>0.0163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HYPERLINK("http://141.218.60.56/~jnz1568/getInfo.php?workbook=16_08.xlsx&amp;sheet=U0&amp;row=3014&amp;col=6&amp;number=4&amp;sourceID=14","4")</f>
        <v>4</v>
      </c>
      <c r="G3014" s="4" t="str">
        <f>HYPERLINK("http://141.218.60.56/~jnz1568/getInfo.php?workbook=16_08.xlsx&amp;sheet=U0&amp;row=3014&amp;col=7&amp;number=0.0163&amp;sourceID=14","0.0163")</f>
        <v>0.0163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HYPERLINK("http://141.218.60.56/~jnz1568/getInfo.php?workbook=16_08.xlsx&amp;sheet=U0&amp;row=3015&amp;col=6&amp;number=4.1&amp;sourceID=14","4.1")</f>
        <v>4.1</v>
      </c>
      <c r="G3015" s="4" t="str">
        <f>HYPERLINK("http://141.218.60.56/~jnz1568/getInfo.php?workbook=16_08.xlsx&amp;sheet=U0&amp;row=3015&amp;col=7&amp;number=0.0163&amp;sourceID=14","0.0163")</f>
        <v>0.0163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HYPERLINK("http://141.218.60.56/~jnz1568/getInfo.php?workbook=16_08.xlsx&amp;sheet=U0&amp;row=3016&amp;col=6&amp;number=4.2&amp;sourceID=14","4.2")</f>
        <v>4.2</v>
      </c>
      <c r="G3016" s="4" t="str">
        <f>HYPERLINK("http://141.218.60.56/~jnz1568/getInfo.php?workbook=16_08.xlsx&amp;sheet=U0&amp;row=3016&amp;col=7&amp;number=0.0163&amp;sourceID=14","0.0163")</f>
        <v>0.0163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HYPERLINK("http://141.218.60.56/~jnz1568/getInfo.php?workbook=16_08.xlsx&amp;sheet=U0&amp;row=3017&amp;col=6&amp;number=4.3&amp;sourceID=14","4.3")</f>
        <v>4.3</v>
      </c>
      <c r="G3017" s="4" t="str">
        <f>HYPERLINK("http://141.218.60.56/~jnz1568/getInfo.php?workbook=16_08.xlsx&amp;sheet=U0&amp;row=3017&amp;col=7&amp;number=0.0163&amp;sourceID=14","0.0163")</f>
        <v>0.0163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HYPERLINK("http://141.218.60.56/~jnz1568/getInfo.php?workbook=16_08.xlsx&amp;sheet=U0&amp;row=3018&amp;col=6&amp;number=4.4&amp;sourceID=14","4.4")</f>
        <v>4.4</v>
      </c>
      <c r="G3018" s="4" t="str">
        <f>HYPERLINK("http://141.218.60.56/~jnz1568/getInfo.php?workbook=16_08.xlsx&amp;sheet=U0&amp;row=3018&amp;col=7&amp;number=0.0164&amp;sourceID=14","0.0164")</f>
        <v>0.0164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HYPERLINK("http://141.218.60.56/~jnz1568/getInfo.php?workbook=16_08.xlsx&amp;sheet=U0&amp;row=3019&amp;col=6&amp;number=4.5&amp;sourceID=14","4.5")</f>
        <v>4.5</v>
      </c>
      <c r="G3019" s="4" t="str">
        <f>HYPERLINK("http://141.218.60.56/~jnz1568/getInfo.php?workbook=16_08.xlsx&amp;sheet=U0&amp;row=3019&amp;col=7&amp;number=0.0164&amp;sourceID=14","0.0164")</f>
        <v>0.0164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HYPERLINK("http://141.218.60.56/~jnz1568/getInfo.php?workbook=16_08.xlsx&amp;sheet=U0&amp;row=3020&amp;col=6&amp;number=4.6&amp;sourceID=14","4.6")</f>
        <v>4.6</v>
      </c>
      <c r="G3020" s="4" t="str">
        <f>HYPERLINK("http://141.218.60.56/~jnz1568/getInfo.php?workbook=16_08.xlsx&amp;sheet=U0&amp;row=3020&amp;col=7&amp;number=0.0164&amp;sourceID=14","0.0164")</f>
        <v>0.0164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HYPERLINK("http://141.218.60.56/~jnz1568/getInfo.php?workbook=16_08.xlsx&amp;sheet=U0&amp;row=3021&amp;col=6&amp;number=4.7&amp;sourceID=14","4.7")</f>
        <v>4.7</v>
      </c>
      <c r="G3021" s="4" t="str">
        <f>HYPERLINK("http://141.218.60.56/~jnz1568/getInfo.php?workbook=16_08.xlsx&amp;sheet=U0&amp;row=3021&amp;col=7&amp;number=0.0165&amp;sourceID=14","0.0165")</f>
        <v>0.0165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HYPERLINK("http://141.218.60.56/~jnz1568/getInfo.php?workbook=16_08.xlsx&amp;sheet=U0&amp;row=3022&amp;col=6&amp;number=4.8&amp;sourceID=14","4.8")</f>
        <v>4.8</v>
      </c>
      <c r="G3022" s="4" t="str">
        <f>HYPERLINK("http://141.218.60.56/~jnz1568/getInfo.php?workbook=16_08.xlsx&amp;sheet=U0&amp;row=3022&amp;col=7&amp;number=0.0166&amp;sourceID=14","0.0166")</f>
        <v>0.0166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HYPERLINK("http://141.218.60.56/~jnz1568/getInfo.php?workbook=16_08.xlsx&amp;sheet=U0&amp;row=3023&amp;col=6&amp;number=4.9&amp;sourceID=14","4.9")</f>
        <v>4.9</v>
      </c>
      <c r="G3023" s="4" t="str">
        <f>HYPERLINK("http://141.218.60.56/~jnz1568/getInfo.php?workbook=16_08.xlsx&amp;sheet=U0&amp;row=3023&amp;col=7&amp;number=0.0166&amp;sourceID=14","0.0166")</f>
        <v>0.0166</v>
      </c>
    </row>
    <row r="3024" spans="1:7">
      <c r="A3024" s="3">
        <v>16</v>
      </c>
      <c r="B3024" s="3">
        <v>8</v>
      </c>
      <c r="C3024" s="3">
        <v>2</v>
      </c>
      <c r="D3024" s="3">
        <v>69</v>
      </c>
      <c r="E3024" s="3">
        <v>1</v>
      </c>
      <c r="F3024" s="4" t="str">
        <f>HYPERLINK("http://141.218.60.56/~jnz1568/getInfo.php?workbook=16_08.xlsx&amp;sheet=U0&amp;row=3024&amp;col=6&amp;number=3&amp;sourceID=14","3")</f>
        <v>3</v>
      </c>
      <c r="G3024" s="4" t="str">
        <f>HYPERLINK("http://141.218.60.56/~jnz1568/getInfo.php?workbook=16_08.xlsx&amp;sheet=U0&amp;row=3024&amp;col=7&amp;number=0.0396&amp;sourceID=14","0.0396")</f>
        <v>0.0396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HYPERLINK("http://141.218.60.56/~jnz1568/getInfo.php?workbook=16_08.xlsx&amp;sheet=U0&amp;row=3025&amp;col=6&amp;number=3.1&amp;sourceID=14","3.1")</f>
        <v>3.1</v>
      </c>
      <c r="G3025" s="4" t="str">
        <f>HYPERLINK("http://141.218.60.56/~jnz1568/getInfo.php?workbook=16_08.xlsx&amp;sheet=U0&amp;row=3025&amp;col=7&amp;number=0.0396&amp;sourceID=14","0.0396")</f>
        <v>0.0396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HYPERLINK("http://141.218.60.56/~jnz1568/getInfo.php?workbook=16_08.xlsx&amp;sheet=U0&amp;row=3026&amp;col=6&amp;number=3.2&amp;sourceID=14","3.2")</f>
        <v>3.2</v>
      </c>
      <c r="G3026" s="4" t="str">
        <f>HYPERLINK("http://141.218.60.56/~jnz1568/getInfo.php?workbook=16_08.xlsx&amp;sheet=U0&amp;row=3026&amp;col=7&amp;number=0.0396&amp;sourceID=14","0.0396")</f>
        <v>0.0396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HYPERLINK("http://141.218.60.56/~jnz1568/getInfo.php?workbook=16_08.xlsx&amp;sheet=U0&amp;row=3027&amp;col=6&amp;number=3.3&amp;sourceID=14","3.3")</f>
        <v>3.3</v>
      </c>
      <c r="G3027" s="4" t="str">
        <f>HYPERLINK("http://141.218.60.56/~jnz1568/getInfo.php?workbook=16_08.xlsx&amp;sheet=U0&amp;row=3027&amp;col=7&amp;number=0.0396&amp;sourceID=14","0.0396")</f>
        <v>0.0396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HYPERLINK("http://141.218.60.56/~jnz1568/getInfo.php?workbook=16_08.xlsx&amp;sheet=U0&amp;row=3028&amp;col=6&amp;number=3.4&amp;sourceID=14","3.4")</f>
        <v>3.4</v>
      </c>
      <c r="G3028" s="4" t="str">
        <f>HYPERLINK("http://141.218.60.56/~jnz1568/getInfo.php?workbook=16_08.xlsx&amp;sheet=U0&amp;row=3028&amp;col=7&amp;number=0.0396&amp;sourceID=14","0.0396")</f>
        <v>0.0396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HYPERLINK("http://141.218.60.56/~jnz1568/getInfo.php?workbook=16_08.xlsx&amp;sheet=U0&amp;row=3029&amp;col=6&amp;number=3.5&amp;sourceID=14","3.5")</f>
        <v>3.5</v>
      </c>
      <c r="G3029" s="4" t="str">
        <f>HYPERLINK("http://141.218.60.56/~jnz1568/getInfo.php?workbook=16_08.xlsx&amp;sheet=U0&amp;row=3029&amp;col=7&amp;number=0.0396&amp;sourceID=14","0.0396")</f>
        <v>0.0396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HYPERLINK("http://141.218.60.56/~jnz1568/getInfo.php?workbook=16_08.xlsx&amp;sheet=U0&amp;row=3030&amp;col=6&amp;number=3.6&amp;sourceID=14","3.6")</f>
        <v>3.6</v>
      </c>
      <c r="G3030" s="4" t="str">
        <f>HYPERLINK("http://141.218.60.56/~jnz1568/getInfo.php?workbook=16_08.xlsx&amp;sheet=U0&amp;row=3030&amp;col=7&amp;number=0.0396&amp;sourceID=14","0.0396")</f>
        <v>0.0396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HYPERLINK("http://141.218.60.56/~jnz1568/getInfo.php?workbook=16_08.xlsx&amp;sheet=U0&amp;row=3031&amp;col=6&amp;number=3.7&amp;sourceID=14","3.7")</f>
        <v>3.7</v>
      </c>
      <c r="G3031" s="4" t="str">
        <f>HYPERLINK("http://141.218.60.56/~jnz1568/getInfo.php?workbook=16_08.xlsx&amp;sheet=U0&amp;row=3031&amp;col=7&amp;number=0.0396&amp;sourceID=14","0.0396")</f>
        <v>0.0396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HYPERLINK("http://141.218.60.56/~jnz1568/getInfo.php?workbook=16_08.xlsx&amp;sheet=U0&amp;row=3032&amp;col=6&amp;number=3.8&amp;sourceID=14","3.8")</f>
        <v>3.8</v>
      </c>
      <c r="G3032" s="4" t="str">
        <f>HYPERLINK("http://141.218.60.56/~jnz1568/getInfo.php?workbook=16_08.xlsx&amp;sheet=U0&amp;row=3032&amp;col=7&amp;number=0.0396&amp;sourceID=14","0.0396")</f>
        <v>0.0396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HYPERLINK("http://141.218.60.56/~jnz1568/getInfo.php?workbook=16_08.xlsx&amp;sheet=U0&amp;row=3033&amp;col=6&amp;number=3.9&amp;sourceID=14","3.9")</f>
        <v>3.9</v>
      </c>
      <c r="G3033" s="4" t="str">
        <f>HYPERLINK("http://141.218.60.56/~jnz1568/getInfo.php?workbook=16_08.xlsx&amp;sheet=U0&amp;row=3033&amp;col=7&amp;number=0.0396&amp;sourceID=14","0.0396")</f>
        <v>0.0396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HYPERLINK("http://141.218.60.56/~jnz1568/getInfo.php?workbook=16_08.xlsx&amp;sheet=U0&amp;row=3034&amp;col=6&amp;number=4&amp;sourceID=14","4")</f>
        <v>4</v>
      </c>
      <c r="G3034" s="4" t="str">
        <f>HYPERLINK("http://141.218.60.56/~jnz1568/getInfo.php?workbook=16_08.xlsx&amp;sheet=U0&amp;row=3034&amp;col=7&amp;number=0.0397&amp;sourceID=14","0.0397")</f>
        <v>0.0397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HYPERLINK("http://141.218.60.56/~jnz1568/getInfo.php?workbook=16_08.xlsx&amp;sheet=U0&amp;row=3035&amp;col=6&amp;number=4.1&amp;sourceID=14","4.1")</f>
        <v>4.1</v>
      </c>
      <c r="G3035" s="4" t="str">
        <f>HYPERLINK("http://141.218.60.56/~jnz1568/getInfo.php?workbook=16_08.xlsx&amp;sheet=U0&amp;row=3035&amp;col=7&amp;number=0.0397&amp;sourceID=14","0.0397")</f>
        <v>0.0397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HYPERLINK("http://141.218.60.56/~jnz1568/getInfo.php?workbook=16_08.xlsx&amp;sheet=U0&amp;row=3036&amp;col=6&amp;number=4.2&amp;sourceID=14","4.2")</f>
        <v>4.2</v>
      </c>
      <c r="G3036" s="4" t="str">
        <f>HYPERLINK("http://141.218.60.56/~jnz1568/getInfo.php?workbook=16_08.xlsx&amp;sheet=U0&amp;row=3036&amp;col=7&amp;number=0.0397&amp;sourceID=14","0.0397")</f>
        <v>0.0397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HYPERLINK("http://141.218.60.56/~jnz1568/getInfo.php?workbook=16_08.xlsx&amp;sheet=U0&amp;row=3037&amp;col=6&amp;number=4.3&amp;sourceID=14","4.3")</f>
        <v>4.3</v>
      </c>
      <c r="G3037" s="4" t="str">
        <f>HYPERLINK("http://141.218.60.56/~jnz1568/getInfo.php?workbook=16_08.xlsx&amp;sheet=U0&amp;row=3037&amp;col=7&amp;number=0.0398&amp;sourceID=14","0.0398")</f>
        <v>0.0398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HYPERLINK("http://141.218.60.56/~jnz1568/getInfo.php?workbook=16_08.xlsx&amp;sheet=U0&amp;row=3038&amp;col=6&amp;number=4.4&amp;sourceID=14","4.4")</f>
        <v>4.4</v>
      </c>
      <c r="G3038" s="4" t="str">
        <f>HYPERLINK("http://141.218.60.56/~jnz1568/getInfo.php?workbook=16_08.xlsx&amp;sheet=U0&amp;row=3038&amp;col=7&amp;number=0.0399&amp;sourceID=14","0.0399")</f>
        <v>0.0399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HYPERLINK("http://141.218.60.56/~jnz1568/getInfo.php?workbook=16_08.xlsx&amp;sheet=U0&amp;row=3039&amp;col=6&amp;number=4.5&amp;sourceID=14","4.5")</f>
        <v>4.5</v>
      </c>
      <c r="G3039" s="4" t="str">
        <f>HYPERLINK("http://141.218.60.56/~jnz1568/getInfo.php?workbook=16_08.xlsx&amp;sheet=U0&amp;row=3039&amp;col=7&amp;number=0.04&amp;sourceID=14","0.04")</f>
        <v>0.04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HYPERLINK("http://141.218.60.56/~jnz1568/getInfo.php?workbook=16_08.xlsx&amp;sheet=U0&amp;row=3040&amp;col=6&amp;number=4.6&amp;sourceID=14","4.6")</f>
        <v>4.6</v>
      </c>
      <c r="G3040" s="4" t="str">
        <f>HYPERLINK("http://141.218.60.56/~jnz1568/getInfo.php?workbook=16_08.xlsx&amp;sheet=U0&amp;row=3040&amp;col=7&amp;number=0.0401&amp;sourceID=14","0.0401")</f>
        <v>0.0401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HYPERLINK("http://141.218.60.56/~jnz1568/getInfo.php?workbook=16_08.xlsx&amp;sheet=U0&amp;row=3041&amp;col=6&amp;number=4.7&amp;sourceID=14","4.7")</f>
        <v>4.7</v>
      </c>
      <c r="G3041" s="4" t="str">
        <f>HYPERLINK("http://141.218.60.56/~jnz1568/getInfo.php?workbook=16_08.xlsx&amp;sheet=U0&amp;row=3041&amp;col=7&amp;number=0.0402&amp;sourceID=14","0.0402")</f>
        <v>0.0402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HYPERLINK("http://141.218.60.56/~jnz1568/getInfo.php?workbook=16_08.xlsx&amp;sheet=U0&amp;row=3042&amp;col=6&amp;number=4.8&amp;sourceID=14","4.8")</f>
        <v>4.8</v>
      </c>
      <c r="G3042" s="4" t="str">
        <f>HYPERLINK("http://141.218.60.56/~jnz1568/getInfo.php?workbook=16_08.xlsx&amp;sheet=U0&amp;row=3042&amp;col=7&amp;number=0.0404&amp;sourceID=14","0.0404")</f>
        <v>0.0404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HYPERLINK("http://141.218.60.56/~jnz1568/getInfo.php?workbook=16_08.xlsx&amp;sheet=U0&amp;row=3043&amp;col=6&amp;number=4.9&amp;sourceID=14","4.9")</f>
        <v>4.9</v>
      </c>
      <c r="G3043" s="4" t="str">
        <f>HYPERLINK("http://141.218.60.56/~jnz1568/getInfo.php?workbook=16_08.xlsx&amp;sheet=U0&amp;row=3043&amp;col=7&amp;number=0.0406&amp;sourceID=14","0.0406")</f>
        <v>0.0406</v>
      </c>
    </row>
    <row r="3044" spans="1:7">
      <c r="A3044" s="3">
        <v>16</v>
      </c>
      <c r="B3044" s="3">
        <v>8</v>
      </c>
      <c r="C3044" s="3">
        <v>2</v>
      </c>
      <c r="D3044" s="3">
        <v>70</v>
      </c>
      <c r="E3044" s="3">
        <v>1</v>
      </c>
      <c r="F3044" s="4" t="str">
        <f>HYPERLINK("http://141.218.60.56/~jnz1568/getInfo.php?workbook=16_08.xlsx&amp;sheet=U0&amp;row=3044&amp;col=6&amp;number=3&amp;sourceID=14","3")</f>
        <v>3</v>
      </c>
      <c r="G3044" s="4" t="str">
        <f>HYPERLINK("http://141.218.60.56/~jnz1568/getInfo.php?workbook=16_08.xlsx&amp;sheet=U0&amp;row=3044&amp;col=7&amp;number=0.03&amp;sourceID=14","0.03")</f>
        <v>0.03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HYPERLINK("http://141.218.60.56/~jnz1568/getInfo.php?workbook=16_08.xlsx&amp;sheet=U0&amp;row=3045&amp;col=6&amp;number=3.1&amp;sourceID=14","3.1")</f>
        <v>3.1</v>
      </c>
      <c r="G3045" s="4" t="str">
        <f>HYPERLINK("http://141.218.60.56/~jnz1568/getInfo.php?workbook=16_08.xlsx&amp;sheet=U0&amp;row=3045&amp;col=7&amp;number=0.03&amp;sourceID=14","0.03")</f>
        <v>0.03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HYPERLINK("http://141.218.60.56/~jnz1568/getInfo.php?workbook=16_08.xlsx&amp;sheet=U0&amp;row=3046&amp;col=6&amp;number=3.2&amp;sourceID=14","3.2")</f>
        <v>3.2</v>
      </c>
      <c r="G3046" s="4" t="str">
        <f>HYPERLINK("http://141.218.60.56/~jnz1568/getInfo.php?workbook=16_08.xlsx&amp;sheet=U0&amp;row=3046&amp;col=7&amp;number=0.03&amp;sourceID=14","0.03")</f>
        <v>0.03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HYPERLINK("http://141.218.60.56/~jnz1568/getInfo.php?workbook=16_08.xlsx&amp;sheet=U0&amp;row=3047&amp;col=6&amp;number=3.3&amp;sourceID=14","3.3")</f>
        <v>3.3</v>
      </c>
      <c r="G3047" s="4" t="str">
        <f>HYPERLINK("http://141.218.60.56/~jnz1568/getInfo.php?workbook=16_08.xlsx&amp;sheet=U0&amp;row=3047&amp;col=7&amp;number=0.03&amp;sourceID=14","0.03")</f>
        <v>0.03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HYPERLINK("http://141.218.60.56/~jnz1568/getInfo.php?workbook=16_08.xlsx&amp;sheet=U0&amp;row=3048&amp;col=6&amp;number=3.4&amp;sourceID=14","3.4")</f>
        <v>3.4</v>
      </c>
      <c r="G3048" s="4" t="str">
        <f>HYPERLINK("http://141.218.60.56/~jnz1568/getInfo.php?workbook=16_08.xlsx&amp;sheet=U0&amp;row=3048&amp;col=7&amp;number=0.0301&amp;sourceID=14","0.0301")</f>
        <v>0.0301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HYPERLINK("http://141.218.60.56/~jnz1568/getInfo.php?workbook=16_08.xlsx&amp;sheet=U0&amp;row=3049&amp;col=6&amp;number=3.5&amp;sourceID=14","3.5")</f>
        <v>3.5</v>
      </c>
      <c r="G3049" s="4" t="str">
        <f>HYPERLINK("http://141.218.60.56/~jnz1568/getInfo.php?workbook=16_08.xlsx&amp;sheet=U0&amp;row=3049&amp;col=7&amp;number=0.0301&amp;sourceID=14","0.0301")</f>
        <v>0.0301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HYPERLINK("http://141.218.60.56/~jnz1568/getInfo.php?workbook=16_08.xlsx&amp;sheet=U0&amp;row=3050&amp;col=6&amp;number=3.6&amp;sourceID=14","3.6")</f>
        <v>3.6</v>
      </c>
      <c r="G3050" s="4" t="str">
        <f>HYPERLINK("http://141.218.60.56/~jnz1568/getInfo.php?workbook=16_08.xlsx&amp;sheet=U0&amp;row=3050&amp;col=7&amp;number=0.0301&amp;sourceID=14","0.0301")</f>
        <v>0.0301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HYPERLINK("http://141.218.60.56/~jnz1568/getInfo.php?workbook=16_08.xlsx&amp;sheet=U0&amp;row=3051&amp;col=6&amp;number=3.7&amp;sourceID=14","3.7")</f>
        <v>3.7</v>
      </c>
      <c r="G3051" s="4" t="str">
        <f>HYPERLINK("http://141.218.60.56/~jnz1568/getInfo.php?workbook=16_08.xlsx&amp;sheet=U0&amp;row=3051&amp;col=7&amp;number=0.0301&amp;sourceID=14","0.0301")</f>
        <v>0.0301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HYPERLINK("http://141.218.60.56/~jnz1568/getInfo.php?workbook=16_08.xlsx&amp;sheet=U0&amp;row=3052&amp;col=6&amp;number=3.8&amp;sourceID=14","3.8")</f>
        <v>3.8</v>
      </c>
      <c r="G3052" s="4" t="str">
        <f>HYPERLINK("http://141.218.60.56/~jnz1568/getInfo.php?workbook=16_08.xlsx&amp;sheet=U0&amp;row=3052&amp;col=7&amp;number=0.0301&amp;sourceID=14","0.0301")</f>
        <v>0.0301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HYPERLINK("http://141.218.60.56/~jnz1568/getInfo.php?workbook=16_08.xlsx&amp;sheet=U0&amp;row=3053&amp;col=6&amp;number=3.9&amp;sourceID=14","3.9")</f>
        <v>3.9</v>
      </c>
      <c r="G3053" s="4" t="str">
        <f>HYPERLINK("http://141.218.60.56/~jnz1568/getInfo.php?workbook=16_08.xlsx&amp;sheet=U0&amp;row=3053&amp;col=7&amp;number=0.0301&amp;sourceID=14","0.0301")</f>
        <v>0.0301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HYPERLINK("http://141.218.60.56/~jnz1568/getInfo.php?workbook=16_08.xlsx&amp;sheet=U0&amp;row=3054&amp;col=6&amp;number=4&amp;sourceID=14","4")</f>
        <v>4</v>
      </c>
      <c r="G3054" s="4" t="str">
        <f>HYPERLINK("http://141.218.60.56/~jnz1568/getInfo.php?workbook=16_08.xlsx&amp;sheet=U0&amp;row=3054&amp;col=7&amp;number=0.0301&amp;sourceID=14","0.0301")</f>
        <v>0.0301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HYPERLINK("http://141.218.60.56/~jnz1568/getInfo.php?workbook=16_08.xlsx&amp;sheet=U0&amp;row=3055&amp;col=6&amp;number=4.1&amp;sourceID=14","4.1")</f>
        <v>4.1</v>
      </c>
      <c r="G3055" s="4" t="str">
        <f>HYPERLINK("http://141.218.60.56/~jnz1568/getInfo.php?workbook=16_08.xlsx&amp;sheet=U0&amp;row=3055&amp;col=7&amp;number=0.0301&amp;sourceID=14","0.0301")</f>
        <v>0.0301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HYPERLINK("http://141.218.60.56/~jnz1568/getInfo.php?workbook=16_08.xlsx&amp;sheet=U0&amp;row=3056&amp;col=6&amp;number=4.2&amp;sourceID=14","4.2")</f>
        <v>4.2</v>
      </c>
      <c r="G3056" s="4" t="str">
        <f>HYPERLINK("http://141.218.60.56/~jnz1568/getInfo.php?workbook=16_08.xlsx&amp;sheet=U0&amp;row=3056&amp;col=7&amp;number=0.0302&amp;sourceID=14","0.0302")</f>
        <v>0.0302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HYPERLINK("http://141.218.60.56/~jnz1568/getInfo.php?workbook=16_08.xlsx&amp;sheet=U0&amp;row=3057&amp;col=6&amp;number=4.3&amp;sourceID=14","4.3")</f>
        <v>4.3</v>
      </c>
      <c r="G3057" s="4" t="str">
        <f>HYPERLINK("http://141.218.60.56/~jnz1568/getInfo.php?workbook=16_08.xlsx&amp;sheet=U0&amp;row=3057&amp;col=7&amp;number=0.0302&amp;sourceID=14","0.0302")</f>
        <v>0.0302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HYPERLINK("http://141.218.60.56/~jnz1568/getInfo.php?workbook=16_08.xlsx&amp;sheet=U0&amp;row=3058&amp;col=6&amp;number=4.4&amp;sourceID=14","4.4")</f>
        <v>4.4</v>
      </c>
      <c r="G3058" s="4" t="str">
        <f>HYPERLINK("http://141.218.60.56/~jnz1568/getInfo.php?workbook=16_08.xlsx&amp;sheet=U0&amp;row=3058&amp;col=7&amp;number=0.0302&amp;sourceID=14","0.0302")</f>
        <v>0.0302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HYPERLINK("http://141.218.60.56/~jnz1568/getInfo.php?workbook=16_08.xlsx&amp;sheet=U0&amp;row=3059&amp;col=6&amp;number=4.5&amp;sourceID=14","4.5")</f>
        <v>4.5</v>
      </c>
      <c r="G3059" s="4" t="str">
        <f>HYPERLINK("http://141.218.60.56/~jnz1568/getInfo.php?workbook=16_08.xlsx&amp;sheet=U0&amp;row=3059&amp;col=7&amp;number=0.0303&amp;sourceID=14","0.0303")</f>
        <v>0.0303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HYPERLINK("http://141.218.60.56/~jnz1568/getInfo.php?workbook=16_08.xlsx&amp;sheet=U0&amp;row=3060&amp;col=6&amp;number=4.6&amp;sourceID=14","4.6")</f>
        <v>4.6</v>
      </c>
      <c r="G3060" s="4" t="str">
        <f>HYPERLINK("http://141.218.60.56/~jnz1568/getInfo.php?workbook=16_08.xlsx&amp;sheet=U0&amp;row=3060&amp;col=7&amp;number=0.0304&amp;sourceID=14","0.0304")</f>
        <v>0.0304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HYPERLINK("http://141.218.60.56/~jnz1568/getInfo.php?workbook=16_08.xlsx&amp;sheet=U0&amp;row=3061&amp;col=6&amp;number=4.7&amp;sourceID=14","4.7")</f>
        <v>4.7</v>
      </c>
      <c r="G3061" s="4" t="str">
        <f>HYPERLINK("http://141.218.60.56/~jnz1568/getInfo.php?workbook=16_08.xlsx&amp;sheet=U0&amp;row=3061&amp;col=7&amp;number=0.0305&amp;sourceID=14","0.0305")</f>
        <v>0.0305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HYPERLINK("http://141.218.60.56/~jnz1568/getInfo.php?workbook=16_08.xlsx&amp;sheet=U0&amp;row=3062&amp;col=6&amp;number=4.8&amp;sourceID=14","4.8")</f>
        <v>4.8</v>
      </c>
      <c r="G3062" s="4" t="str">
        <f>HYPERLINK("http://141.218.60.56/~jnz1568/getInfo.php?workbook=16_08.xlsx&amp;sheet=U0&amp;row=3062&amp;col=7&amp;number=0.0306&amp;sourceID=14","0.0306")</f>
        <v>0.0306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HYPERLINK("http://141.218.60.56/~jnz1568/getInfo.php?workbook=16_08.xlsx&amp;sheet=U0&amp;row=3063&amp;col=6&amp;number=4.9&amp;sourceID=14","4.9")</f>
        <v>4.9</v>
      </c>
      <c r="G3063" s="4" t="str">
        <f>HYPERLINK("http://141.218.60.56/~jnz1568/getInfo.php?workbook=16_08.xlsx&amp;sheet=U0&amp;row=3063&amp;col=7&amp;number=0.0307&amp;sourceID=14","0.0307")</f>
        <v>0.0307</v>
      </c>
    </row>
    <row r="3064" spans="1:7">
      <c r="A3064" s="3">
        <v>16</v>
      </c>
      <c r="B3064" s="3">
        <v>8</v>
      </c>
      <c r="C3064" s="3">
        <v>2</v>
      </c>
      <c r="D3064" s="3">
        <v>71</v>
      </c>
      <c r="E3064" s="3">
        <v>1</v>
      </c>
      <c r="F3064" s="4" t="str">
        <f>HYPERLINK("http://141.218.60.56/~jnz1568/getInfo.php?workbook=16_08.xlsx&amp;sheet=U0&amp;row=3064&amp;col=6&amp;number=3&amp;sourceID=14","3")</f>
        <v>3</v>
      </c>
      <c r="G3064" s="4" t="str">
        <f>HYPERLINK("http://141.218.60.56/~jnz1568/getInfo.php?workbook=16_08.xlsx&amp;sheet=U0&amp;row=3064&amp;col=7&amp;number=0.0303&amp;sourceID=14","0.0303")</f>
        <v>0.0303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HYPERLINK("http://141.218.60.56/~jnz1568/getInfo.php?workbook=16_08.xlsx&amp;sheet=U0&amp;row=3065&amp;col=6&amp;number=3.1&amp;sourceID=14","3.1")</f>
        <v>3.1</v>
      </c>
      <c r="G3065" s="4" t="str">
        <f>HYPERLINK("http://141.218.60.56/~jnz1568/getInfo.php?workbook=16_08.xlsx&amp;sheet=U0&amp;row=3065&amp;col=7&amp;number=0.0303&amp;sourceID=14","0.0303")</f>
        <v>0.0303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HYPERLINK("http://141.218.60.56/~jnz1568/getInfo.php?workbook=16_08.xlsx&amp;sheet=U0&amp;row=3066&amp;col=6&amp;number=3.2&amp;sourceID=14","3.2")</f>
        <v>3.2</v>
      </c>
      <c r="G3066" s="4" t="str">
        <f>HYPERLINK("http://141.218.60.56/~jnz1568/getInfo.php?workbook=16_08.xlsx&amp;sheet=U0&amp;row=3066&amp;col=7&amp;number=0.0303&amp;sourceID=14","0.0303")</f>
        <v>0.0303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HYPERLINK("http://141.218.60.56/~jnz1568/getInfo.php?workbook=16_08.xlsx&amp;sheet=U0&amp;row=3067&amp;col=6&amp;number=3.3&amp;sourceID=14","3.3")</f>
        <v>3.3</v>
      </c>
      <c r="G3067" s="4" t="str">
        <f>HYPERLINK("http://141.218.60.56/~jnz1568/getInfo.php?workbook=16_08.xlsx&amp;sheet=U0&amp;row=3067&amp;col=7&amp;number=0.0303&amp;sourceID=14","0.0303")</f>
        <v>0.0303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HYPERLINK("http://141.218.60.56/~jnz1568/getInfo.php?workbook=16_08.xlsx&amp;sheet=U0&amp;row=3068&amp;col=6&amp;number=3.4&amp;sourceID=14","3.4")</f>
        <v>3.4</v>
      </c>
      <c r="G3068" s="4" t="str">
        <f>HYPERLINK("http://141.218.60.56/~jnz1568/getInfo.php?workbook=16_08.xlsx&amp;sheet=U0&amp;row=3068&amp;col=7&amp;number=0.0303&amp;sourceID=14","0.0303")</f>
        <v>0.0303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HYPERLINK("http://141.218.60.56/~jnz1568/getInfo.php?workbook=16_08.xlsx&amp;sheet=U0&amp;row=3069&amp;col=6&amp;number=3.5&amp;sourceID=14","3.5")</f>
        <v>3.5</v>
      </c>
      <c r="G3069" s="4" t="str">
        <f>HYPERLINK("http://141.218.60.56/~jnz1568/getInfo.php?workbook=16_08.xlsx&amp;sheet=U0&amp;row=3069&amp;col=7&amp;number=0.0303&amp;sourceID=14","0.0303")</f>
        <v>0.0303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HYPERLINK("http://141.218.60.56/~jnz1568/getInfo.php?workbook=16_08.xlsx&amp;sheet=U0&amp;row=3070&amp;col=6&amp;number=3.6&amp;sourceID=14","3.6")</f>
        <v>3.6</v>
      </c>
      <c r="G3070" s="4" t="str">
        <f>HYPERLINK("http://141.218.60.56/~jnz1568/getInfo.php?workbook=16_08.xlsx&amp;sheet=U0&amp;row=3070&amp;col=7&amp;number=0.0303&amp;sourceID=14","0.0303")</f>
        <v>0.0303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HYPERLINK("http://141.218.60.56/~jnz1568/getInfo.php?workbook=16_08.xlsx&amp;sheet=U0&amp;row=3071&amp;col=6&amp;number=3.7&amp;sourceID=14","3.7")</f>
        <v>3.7</v>
      </c>
      <c r="G3071" s="4" t="str">
        <f>HYPERLINK("http://141.218.60.56/~jnz1568/getInfo.php?workbook=16_08.xlsx&amp;sheet=U0&amp;row=3071&amp;col=7&amp;number=0.0303&amp;sourceID=14","0.0303")</f>
        <v>0.0303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HYPERLINK("http://141.218.60.56/~jnz1568/getInfo.php?workbook=16_08.xlsx&amp;sheet=U0&amp;row=3072&amp;col=6&amp;number=3.8&amp;sourceID=14","3.8")</f>
        <v>3.8</v>
      </c>
      <c r="G3072" s="4" t="str">
        <f>HYPERLINK("http://141.218.60.56/~jnz1568/getInfo.php?workbook=16_08.xlsx&amp;sheet=U0&amp;row=3072&amp;col=7&amp;number=0.0303&amp;sourceID=14","0.0303")</f>
        <v>0.0303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HYPERLINK("http://141.218.60.56/~jnz1568/getInfo.php?workbook=16_08.xlsx&amp;sheet=U0&amp;row=3073&amp;col=6&amp;number=3.9&amp;sourceID=14","3.9")</f>
        <v>3.9</v>
      </c>
      <c r="G3073" s="4" t="str">
        <f>HYPERLINK("http://141.218.60.56/~jnz1568/getInfo.php?workbook=16_08.xlsx&amp;sheet=U0&amp;row=3073&amp;col=7&amp;number=0.0304&amp;sourceID=14","0.0304")</f>
        <v>0.0304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HYPERLINK("http://141.218.60.56/~jnz1568/getInfo.php?workbook=16_08.xlsx&amp;sheet=U0&amp;row=3074&amp;col=6&amp;number=4&amp;sourceID=14","4")</f>
        <v>4</v>
      </c>
      <c r="G3074" s="4" t="str">
        <f>HYPERLINK("http://141.218.60.56/~jnz1568/getInfo.php?workbook=16_08.xlsx&amp;sheet=U0&amp;row=3074&amp;col=7&amp;number=0.0304&amp;sourceID=14","0.0304")</f>
        <v>0.0304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HYPERLINK("http://141.218.60.56/~jnz1568/getInfo.php?workbook=16_08.xlsx&amp;sheet=U0&amp;row=3075&amp;col=6&amp;number=4.1&amp;sourceID=14","4.1")</f>
        <v>4.1</v>
      </c>
      <c r="G3075" s="4" t="str">
        <f>HYPERLINK("http://141.218.60.56/~jnz1568/getInfo.php?workbook=16_08.xlsx&amp;sheet=U0&amp;row=3075&amp;col=7&amp;number=0.0304&amp;sourceID=14","0.0304")</f>
        <v>0.0304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HYPERLINK("http://141.218.60.56/~jnz1568/getInfo.php?workbook=16_08.xlsx&amp;sheet=U0&amp;row=3076&amp;col=6&amp;number=4.2&amp;sourceID=14","4.2")</f>
        <v>4.2</v>
      </c>
      <c r="G3076" s="4" t="str">
        <f>HYPERLINK("http://141.218.60.56/~jnz1568/getInfo.php?workbook=16_08.xlsx&amp;sheet=U0&amp;row=3076&amp;col=7&amp;number=0.0305&amp;sourceID=14","0.0305")</f>
        <v>0.0305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HYPERLINK("http://141.218.60.56/~jnz1568/getInfo.php?workbook=16_08.xlsx&amp;sheet=U0&amp;row=3077&amp;col=6&amp;number=4.3&amp;sourceID=14","4.3")</f>
        <v>4.3</v>
      </c>
      <c r="G3077" s="4" t="str">
        <f>HYPERLINK("http://141.218.60.56/~jnz1568/getInfo.php?workbook=16_08.xlsx&amp;sheet=U0&amp;row=3077&amp;col=7&amp;number=0.0305&amp;sourceID=14","0.0305")</f>
        <v>0.0305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HYPERLINK("http://141.218.60.56/~jnz1568/getInfo.php?workbook=16_08.xlsx&amp;sheet=U0&amp;row=3078&amp;col=6&amp;number=4.4&amp;sourceID=14","4.4")</f>
        <v>4.4</v>
      </c>
      <c r="G3078" s="4" t="str">
        <f>HYPERLINK("http://141.218.60.56/~jnz1568/getInfo.php?workbook=16_08.xlsx&amp;sheet=U0&amp;row=3078&amp;col=7&amp;number=0.0306&amp;sourceID=14","0.0306")</f>
        <v>0.0306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HYPERLINK("http://141.218.60.56/~jnz1568/getInfo.php?workbook=16_08.xlsx&amp;sheet=U0&amp;row=3079&amp;col=6&amp;number=4.5&amp;sourceID=14","4.5")</f>
        <v>4.5</v>
      </c>
      <c r="G3079" s="4" t="str">
        <f>HYPERLINK("http://141.218.60.56/~jnz1568/getInfo.php?workbook=16_08.xlsx&amp;sheet=U0&amp;row=3079&amp;col=7&amp;number=0.0307&amp;sourceID=14","0.0307")</f>
        <v>0.0307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HYPERLINK("http://141.218.60.56/~jnz1568/getInfo.php?workbook=16_08.xlsx&amp;sheet=U0&amp;row=3080&amp;col=6&amp;number=4.6&amp;sourceID=14","4.6")</f>
        <v>4.6</v>
      </c>
      <c r="G3080" s="4" t="str">
        <f>HYPERLINK("http://141.218.60.56/~jnz1568/getInfo.php?workbook=16_08.xlsx&amp;sheet=U0&amp;row=3080&amp;col=7&amp;number=0.0308&amp;sourceID=14","0.0308")</f>
        <v>0.0308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HYPERLINK("http://141.218.60.56/~jnz1568/getInfo.php?workbook=16_08.xlsx&amp;sheet=U0&amp;row=3081&amp;col=6&amp;number=4.7&amp;sourceID=14","4.7")</f>
        <v>4.7</v>
      </c>
      <c r="G3081" s="4" t="str">
        <f>HYPERLINK("http://141.218.60.56/~jnz1568/getInfo.php?workbook=16_08.xlsx&amp;sheet=U0&amp;row=3081&amp;col=7&amp;number=0.0309&amp;sourceID=14","0.0309")</f>
        <v>0.0309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HYPERLINK("http://141.218.60.56/~jnz1568/getInfo.php?workbook=16_08.xlsx&amp;sheet=U0&amp;row=3082&amp;col=6&amp;number=4.8&amp;sourceID=14","4.8")</f>
        <v>4.8</v>
      </c>
      <c r="G3082" s="4" t="str">
        <f>HYPERLINK("http://141.218.60.56/~jnz1568/getInfo.php?workbook=16_08.xlsx&amp;sheet=U0&amp;row=3082&amp;col=7&amp;number=0.0311&amp;sourceID=14","0.0311")</f>
        <v>0.0311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HYPERLINK("http://141.218.60.56/~jnz1568/getInfo.php?workbook=16_08.xlsx&amp;sheet=U0&amp;row=3083&amp;col=6&amp;number=4.9&amp;sourceID=14","4.9")</f>
        <v>4.9</v>
      </c>
      <c r="G3083" s="4" t="str">
        <f>HYPERLINK("http://141.218.60.56/~jnz1568/getInfo.php?workbook=16_08.xlsx&amp;sheet=U0&amp;row=3083&amp;col=7&amp;number=0.0313&amp;sourceID=14","0.0313")</f>
        <v>0.0313</v>
      </c>
    </row>
    <row r="3084" spans="1:7">
      <c r="A3084" s="3">
        <v>16</v>
      </c>
      <c r="B3084" s="3">
        <v>8</v>
      </c>
      <c r="C3084" s="3">
        <v>2</v>
      </c>
      <c r="D3084" s="3">
        <v>72</v>
      </c>
      <c r="E3084" s="3">
        <v>1</v>
      </c>
      <c r="F3084" s="4" t="str">
        <f>HYPERLINK("http://141.218.60.56/~jnz1568/getInfo.php?workbook=16_08.xlsx&amp;sheet=U0&amp;row=3084&amp;col=6&amp;number=3&amp;sourceID=14","3")</f>
        <v>3</v>
      </c>
      <c r="G3084" s="4" t="str">
        <f>HYPERLINK("http://141.218.60.56/~jnz1568/getInfo.php?workbook=16_08.xlsx&amp;sheet=U0&amp;row=3084&amp;col=7&amp;number=0.0129&amp;sourceID=14","0.0129")</f>
        <v>0.0129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HYPERLINK("http://141.218.60.56/~jnz1568/getInfo.php?workbook=16_08.xlsx&amp;sheet=U0&amp;row=3085&amp;col=6&amp;number=3.1&amp;sourceID=14","3.1")</f>
        <v>3.1</v>
      </c>
      <c r="G3085" s="4" t="str">
        <f>HYPERLINK("http://141.218.60.56/~jnz1568/getInfo.php?workbook=16_08.xlsx&amp;sheet=U0&amp;row=3085&amp;col=7&amp;number=0.0129&amp;sourceID=14","0.0129")</f>
        <v>0.0129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HYPERLINK("http://141.218.60.56/~jnz1568/getInfo.php?workbook=16_08.xlsx&amp;sheet=U0&amp;row=3086&amp;col=6&amp;number=3.2&amp;sourceID=14","3.2")</f>
        <v>3.2</v>
      </c>
      <c r="G3086" s="4" t="str">
        <f>HYPERLINK("http://141.218.60.56/~jnz1568/getInfo.php?workbook=16_08.xlsx&amp;sheet=U0&amp;row=3086&amp;col=7&amp;number=0.0129&amp;sourceID=14","0.0129")</f>
        <v>0.0129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HYPERLINK("http://141.218.60.56/~jnz1568/getInfo.php?workbook=16_08.xlsx&amp;sheet=U0&amp;row=3087&amp;col=6&amp;number=3.3&amp;sourceID=14","3.3")</f>
        <v>3.3</v>
      </c>
      <c r="G3087" s="4" t="str">
        <f>HYPERLINK("http://141.218.60.56/~jnz1568/getInfo.php?workbook=16_08.xlsx&amp;sheet=U0&amp;row=3087&amp;col=7&amp;number=0.0129&amp;sourceID=14","0.0129")</f>
        <v>0.0129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HYPERLINK("http://141.218.60.56/~jnz1568/getInfo.php?workbook=16_08.xlsx&amp;sheet=U0&amp;row=3088&amp;col=6&amp;number=3.4&amp;sourceID=14","3.4")</f>
        <v>3.4</v>
      </c>
      <c r="G3088" s="4" t="str">
        <f>HYPERLINK("http://141.218.60.56/~jnz1568/getInfo.php?workbook=16_08.xlsx&amp;sheet=U0&amp;row=3088&amp;col=7&amp;number=0.0129&amp;sourceID=14","0.0129")</f>
        <v>0.0129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HYPERLINK("http://141.218.60.56/~jnz1568/getInfo.php?workbook=16_08.xlsx&amp;sheet=U0&amp;row=3089&amp;col=6&amp;number=3.5&amp;sourceID=14","3.5")</f>
        <v>3.5</v>
      </c>
      <c r="G3089" s="4" t="str">
        <f>HYPERLINK("http://141.218.60.56/~jnz1568/getInfo.php?workbook=16_08.xlsx&amp;sheet=U0&amp;row=3089&amp;col=7&amp;number=0.0129&amp;sourceID=14","0.0129")</f>
        <v>0.0129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HYPERLINK("http://141.218.60.56/~jnz1568/getInfo.php?workbook=16_08.xlsx&amp;sheet=U0&amp;row=3090&amp;col=6&amp;number=3.6&amp;sourceID=14","3.6")</f>
        <v>3.6</v>
      </c>
      <c r="G3090" s="4" t="str">
        <f>HYPERLINK("http://141.218.60.56/~jnz1568/getInfo.php?workbook=16_08.xlsx&amp;sheet=U0&amp;row=3090&amp;col=7&amp;number=0.0129&amp;sourceID=14","0.0129")</f>
        <v>0.0129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HYPERLINK("http://141.218.60.56/~jnz1568/getInfo.php?workbook=16_08.xlsx&amp;sheet=U0&amp;row=3091&amp;col=6&amp;number=3.7&amp;sourceID=14","3.7")</f>
        <v>3.7</v>
      </c>
      <c r="G3091" s="4" t="str">
        <f>HYPERLINK("http://141.218.60.56/~jnz1568/getInfo.php?workbook=16_08.xlsx&amp;sheet=U0&amp;row=3091&amp;col=7&amp;number=0.0129&amp;sourceID=14","0.0129")</f>
        <v>0.0129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HYPERLINK("http://141.218.60.56/~jnz1568/getInfo.php?workbook=16_08.xlsx&amp;sheet=U0&amp;row=3092&amp;col=6&amp;number=3.8&amp;sourceID=14","3.8")</f>
        <v>3.8</v>
      </c>
      <c r="G3092" s="4" t="str">
        <f>HYPERLINK("http://141.218.60.56/~jnz1568/getInfo.php?workbook=16_08.xlsx&amp;sheet=U0&amp;row=3092&amp;col=7&amp;number=0.0129&amp;sourceID=14","0.0129")</f>
        <v>0.0129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HYPERLINK("http://141.218.60.56/~jnz1568/getInfo.php?workbook=16_08.xlsx&amp;sheet=U0&amp;row=3093&amp;col=6&amp;number=3.9&amp;sourceID=14","3.9")</f>
        <v>3.9</v>
      </c>
      <c r="G3093" s="4" t="str">
        <f>HYPERLINK("http://141.218.60.56/~jnz1568/getInfo.php?workbook=16_08.xlsx&amp;sheet=U0&amp;row=3093&amp;col=7&amp;number=0.0128&amp;sourceID=14","0.0128")</f>
        <v>0.0128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HYPERLINK("http://141.218.60.56/~jnz1568/getInfo.php?workbook=16_08.xlsx&amp;sheet=U0&amp;row=3094&amp;col=6&amp;number=4&amp;sourceID=14","4")</f>
        <v>4</v>
      </c>
      <c r="G3094" s="4" t="str">
        <f>HYPERLINK("http://141.218.60.56/~jnz1568/getInfo.php?workbook=16_08.xlsx&amp;sheet=U0&amp;row=3094&amp;col=7&amp;number=0.0128&amp;sourceID=14","0.0128")</f>
        <v>0.0128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HYPERLINK("http://141.218.60.56/~jnz1568/getInfo.php?workbook=16_08.xlsx&amp;sheet=U0&amp;row=3095&amp;col=6&amp;number=4.1&amp;sourceID=14","4.1")</f>
        <v>4.1</v>
      </c>
      <c r="G3095" s="4" t="str">
        <f>HYPERLINK("http://141.218.60.56/~jnz1568/getInfo.php?workbook=16_08.xlsx&amp;sheet=U0&amp;row=3095&amp;col=7&amp;number=0.0128&amp;sourceID=14","0.0128")</f>
        <v>0.0128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HYPERLINK("http://141.218.60.56/~jnz1568/getInfo.php?workbook=16_08.xlsx&amp;sheet=U0&amp;row=3096&amp;col=6&amp;number=4.2&amp;sourceID=14","4.2")</f>
        <v>4.2</v>
      </c>
      <c r="G3096" s="4" t="str">
        <f>HYPERLINK("http://141.218.60.56/~jnz1568/getInfo.php?workbook=16_08.xlsx&amp;sheet=U0&amp;row=3096&amp;col=7&amp;number=0.0128&amp;sourceID=14","0.0128")</f>
        <v>0.0128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HYPERLINK("http://141.218.60.56/~jnz1568/getInfo.php?workbook=16_08.xlsx&amp;sheet=U0&amp;row=3097&amp;col=6&amp;number=4.3&amp;sourceID=14","4.3")</f>
        <v>4.3</v>
      </c>
      <c r="G3097" s="4" t="str">
        <f>HYPERLINK("http://141.218.60.56/~jnz1568/getInfo.php?workbook=16_08.xlsx&amp;sheet=U0&amp;row=3097&amp;col=7&amp;number=0.0128&amp;sourceID=14","0.0128")</f>
        <v>0.0128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HYPERLINK("http://141.218.60.56/~jnz1568/getInfo.php?workbook=16_08.xlsx&amp;sheet=U0&amp;row=3098&amp;col=6&amp;number=4.4&amp;sourceID=14","4.4")</f>
        <v>4.4</v>
      </c>
      <c r="G3098" s="4" t="str">
        <f>HYPERLINK("http://141.218.60.56/~jnz1568/getInfo.php?workbook=16_08.xlsx&amp;sheet=U0&amp;row=3098&amp;col=7&amp;number=0.0128&amp;sourceID=14","0.0128")</f>
        <v>0.0128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HYPERLINK("http://141.218.60.56/~jnz1568/getInfo.php?workbook=16_08.xlsx&amp;sheet=U0&amp;row=3099&amp;col=6&amp;number=4.5&amp;sourceID=14","4.5")</f>
        <v>4.5</v>
      </c>
      <c r="G3099" s="4" t="str">
        <f>HYPERLINK("http://141.218.60.56/~jnz1568/getInfo.php?workbook=16_08.xlsx&amp;sheet=U0&amp;row=3099&amp;col=7&amp;number=0.0128&amp;sourceID=14","0.0128")</f>
        <v>0.0128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HYPERLINK("http://141.218.60.56/~jnz1568/getInfo.php?workbook=16_08.xlsx&amp;sheet=U0&amp;row=3100&amp;col=6&amp;number=4.6&amp;sourceID=14","4.6")</f>
        <v>4.6</v>
      </c>
      <c r="G3100" s="4" t="str">
        <f>HYPERLINK("http://141.218.60.56/~jnz1568/getInfo.php?workbook=16_08.xlsx&amp;sheet=U0&amp;row=3100&amp;col=7&amp;number=0.0128&amp;sourceID=14","0.0128")</f>
        <v>0.0128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HYPERLINK("http://141.218.60.56/~jnz1568/getInfo.php?workbook=16_08.xlsx&amp;sheet=U0&amp;row=3101&amp;col=6&amp;number=4.7&amp;sourceID=14","4.7")</f>
        <v>4.7</v>
      </c>
      <c r="G3101" s="4" t="str">
        <f>HYPERLINK("http://141.218.60.56/~jnz1568/getInfo.php?workbook=16_08.xlsx&amp;sheet=U0&amp;row=3101&amp;col=7&amp;number=0.0127&amp;sourceID=14","0.0127")</f>
        <v>0.0127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HYPERLINK("http://141.218.60.56/~jnz1568/getInfo.php?workbook=16_08.xlsx&amp;sheet=U0&amp;row=3102&amp;col=6&amp;number=4.8&amp;sourceID=14","4.8")</f>
        <v>4.8</v>
      </c>
      <c r="G3102" s="4" t="str">
        <f>HYPERLINK("http://141.218.60.56/~jnz1568/getInfo.php?workbook=16_08.xlsx&amp;sheet=U0&amp;row=3102&amp;col=7&amp;number=0.0127&amp;sourceID=14","0.0127")</f>
        <v>0.0127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HYPERLINK("http://141.218.60.56/~jnz1568/getInfo.php?workbook=16_08.xlsx&amp;sheet=U0&amp;row=3103&amp;col=6&amp;number=4.9&amp;sourceID=14","4.9")</f>
        <v>4.9</v>
      </c>
      <c r="G3103" s="4" t="str">
        <f>HYPERLINK("http://141.218.60.56/~jnz1568/getInfo.php?workbook=16_08.xlsx&amp;sheet=U0&amp;row=3103&amp;col=7&amp;number=0.0126&amp;sourceID=14","0.0126")</f>
        <v>0.0126</v>
      </c>
    </row>
    <row r="3104" spans="1:7">
      <c r="A3104" s="3">
        <v>16</v>
      </c>
      <c r="B3104" s="3">
        <v>8</v>
      </c>
      <c r="C3104" s="3">
        <v>2</v>
      </c>
      <c r="D3104" s="3">
        <v>73</v>
      </c>
      <c r="E3104" s="3">
        <v>1</v>
      </c>
      <c r="F3104" s="4" t="str">
        <f>HYPERLINK("http://141.218.60.56/~jnz1568/getInfo.php?workbook=16_08.xlsx&amp;sheet=U0&amp;row=3104&amp;col=6&amp;number=3&amp;sourceID=14","3")</f>
        <v>3</v>
      </c>
      <c r="G3104" s="4" t="str">
        <f>HYPERLINK("http://141.218.60.56/~jnz1568/getInfo.php?workbook=16_08.xlsx&amp;sheet=U0&amp;row=3104&amp;col=7&amp;number=0.0403&amp;sourceID=14","0.0403")</f>
        <v>0.0403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HYPERLINK("http://141.218.60.56/~jnz1568/getInfo.php?workbook=16_08.xlsx&amp;sheet=U0&amp;row=3105&amp;col=6&amp;number=3.1&amp;sourceID=14","3.1")</f>
        <v>3.1</v>
      </c>
      <c r="G3105" s="4" t="str">
        <f>HYPERLINK("http://141.218.60.56/~jnz1568/getInfo.php?workbook=16_08.xlsx&amp;sheet=U0&amp;row=3105&amp;col=7&amp;number=0.0403&amp;sourceID=14","0.0403")</f>
        <v>0.0403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HYPERLINK("http://141.218.60.56/~jnz1568/getInfo.php?workbook=16_08.xlsx&amp;sheet=U0&amp;row=3106&amp;col=6&amp;number=3.2&amp;sourceID=14","3.2")</f>
        <v>3.2</v>
      </c>
      <c r="G3106" s="4" t="str">
        <f>HYPERLINK("http://141.218.60.56/~jnz1568/getInfo.php?workbook=16_08.xlsx&amp;sheet=U0&amp;row=3106&amp;col=7&amp;number=0.0403&amp;sourceID=14","0.0403")</f>
        <v>0.0403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HYPERLINK("http://141.218.60.56/~jnz1568/getInfo.php?workbook=16_08.xlsx&amp;sheet=U0&amp;row=3107&amp;col=6&amp;number=3.3&amp;sourceID=14","3.3")</f>
        <v>3.3</v>
      </c>
      <c r="G3107" s="4" t="str">
        <f>HYPERLINK("http://141.218.60.56/~jnz1568/getInfo.php?workbook=16_08.xlsx&amp;sheet=U0&amp;row=3107&amp;col=7&amp;number=0.0403&amp;sourceID=14","0.0403")</f>
        <v>0.0403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HYPERLINK("http://141.218.60.56/~jnz1568/getInfo.php?workbook=16_08.xlsx&amp;sheet=U0&amp;row=3108&amp;col=6&amp;number=3.4&amp;sourceID=14","3.4")</f>
        <v>3.4</v>
      </c>
      <c r="G3108" s="4" t="str">
        <f>HYPERLINK("http://141.218.60.56/~jnz1568/getInfo.php?workbook=16_08.xlsx&amp;sheet=U0&amp;row=3108&amp;col=7&amp;number=0.0403&amp;sourceID=14","0.0403")</f>
        <v>0.0403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HYPERLINK("http://141.218.60.56/~jnz1568/getInfo.php?workbook=16_08.xlsx&amp;sheet=U0&amp;row=3109&amp;col=6&amp;number=3.5&amp;sourceID=14","3.5")</f>
        <v>3.5</v>
      </c>
      <c r="G3109" s="4" t="str">
        <f>HYPERLINK("http://141.218.60.56/~jnz1568/getInfo.php?workbook=16_08.xlsx&amp;sheet=U0&amp;row=3109&amp;col=7&amp;number=0.0404&amp;sourceID=14","0.0404")</f>
        <v>0.0404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HYPERLINK("http://141.218.60.56/~jnz1568/getInfo.php?workbook=16_08.xlsx&amp;sheet=U0&amp;row=3110&amp;col=6&amp;number=3.6&amp;sourceID=14","3.6")</f>
        <v>3.6</v>
      </c>
      <c r="G3110" s="4" t="str">
        <f>HYPERLINK("http://141.218.60.56/~jnz1568/getInfo.php?workbook=16_08.xlsx&amp;sheet=U0&amp;row=3110&amp;col=7&amp;number=0.0404&amp;sourceID=14","0.0404")</f>
        <v>0.0404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HYPERLINK("http://141.218.60.56/~jnz1568/getInfo.php?workbook=16_08.xlsx&amp;sheet=U0&amp;row=3111&amp;col=6&amp;number=3.7&amp;sourceID=14","3.7")</f>
        <v>3.7</v>
      </c>
      <c r="G3111" s="4" t="str">
        <f>HYPERLINK("http://141.218.60.56/~jnz1568/getInfo.php?workbook=16_08.xlsx&amp;sheet=U0&amp;row=3111&amp;col=7&amp;number=0.0404&amp;sourceID=14","0.0404")</f>
        <v>0.0404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HYPERLINK("http://141.218.60.56/~jnz1568/getInfo.php?workbook=16_08.xlsx&amp;sheet=U0&amp;row=3112&amp;col=6&amp;number=3.8&amp;sourceID=14","3.8")</f>
        <v>3.8</v>
      </c>
      <c r="G3112" s="4" t="str">
        <f>HYPERLINK("http://141.218.60.56/~jnz1568/getInfo.php?workbook=16_08.xlsx&amp;sheet=U0&amp;row=3112&amp;col=7&amp;number=0.0404&amp;sourceID=14","0.0404")</f>
        <v>0.0404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HYPERLINK("http://141.218.60.56/~jnz1568/getInfo.php?workbook=16_08.xlsx&amp;sheet=U0&amp;row=3113&amp;col=6&amp;number=3.9&amp;sourceID=14","3.9")</f>
        <v>3.9</v>
      </c>
      <c r="G3113" s="4" t="str">
        <f>HYPERLINK("http://141.218.60.56/~jnz1568/getInfo.php?workbook=16_08.xlsx&amp;sheet=U0&amp;row=3113&amp;col=7&amp;number=0.0404&amp;sourceID=14","0.0404")</f>
        <v>0.0404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HYPERLINK("http://141.218.60.56/~jnz1568/getInfo.php?workbook=16_08.xlsx&amp;sheet=U0&amp;row=3114&amp;col=6&amp;number=4&amp;sourceID=14","4")</f>
        <v>4</v>
      </c>
      <c r="G3114" s="4" t="str">
        <f>HYPERLINK("http://141.218.60.56/~jnz1568/getInfo.php?workbook=16_08.xlsx&amp;sheet=U0&amp;row=3114&amp;col=7&amp;number=0.0405&amp;sourceID=14","0.0405")</f>
        <v>0.0405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HYPERLINK("http://141.218.60.56/~jnz1568/getInfo.php?workbook=16_08.xlsx&amp;sheet=U0&amp;row=3115&amp;col=6&amp;number=4.1&amp;sourceID=14","4.1")</f>
        <v>4.1</v>
      </c>
      <c r="G3115" s="4" t="str">
        <f>HYPERLINK("http://141.218.60.56/~jnz1568/getInfo.php?workbook=16_08.xlsx&amp;sheet=U0&amp;row=3115&amp;col=7&amp;number=0.0405&amp;sourceID=14","0.0405")</f>
        <v>0.0405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HYPERLINK("http://141.218.60.56/~jnz1568/getInfo.php?workbook=16_08.xlsx&amp;sheet=U0&amp;row=3116&amp;col=6&amp;number=4.2&amp;sourceID=14","4.2")</f>
        <v>4.2</v>
      </c>
      <c r="G3116" s="4" t="str">
        <f>HYPERLINK("http://141.218.60.56/~jnz1568/getInfo.php?workbook=16_08.xlsx&amp;sheet=U0&amp;row=3116&amp;col=7&amp;number=0.0405&amp;sourceID=14","0.0405")</f>
        <v>0.0405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HYPERLINK("http://141.218.60.56/~jnz1568/getInfo.php?workbook=16_08.xlsx&amp;sheet=U0&amp;row=3117&amp;col=6&amp;number=4.3&amp;sourceID=14","4.3")</f>
        <v>4.3</v>
      </c>
      <c r="G3117" s="4" t="str">
        <f>HYPERLINK("http://141.218.60.56/~jnz1568/getInfo.php?workbook=16_08.xlsx&amp;sheet=U0&amp;row=3117&amp;col=7&amp;number=0.0406&amp;sourceID=14","0.0406")</f>
        <v>0.0406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HYPERLINK("http://141.218.60.56/~jnz1568/getInfo.php?workbook=16_08.xlsx&amp;sheet=U0&amp;row=3118&amp;col=6&amp;number=4.4&amp;sourceID=14","4.4")</f>
        <v>4.4</v>
      </c>
      <c r="G3118" s="4" t="str">
        <f>HYPERLINK("http://141.218.60.56/~jnz1568/getInfo.php?workbook=16_08.xlsx&amp;sheet=U0&amp;row=3118&amp;col=7&amp;number=0.0407&amp;sourceID=14","0.0407")</f>
        <v>0.0407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HYPERLINK("http://141.218.60.56/~jnz1568/getInfo.php?workbook=16_08.xlsx&amp;sheet=U0&amp;row=3119&amp;col=6&amp;number=4.5&amp;sourceID=14","4.5")</f>
        <v>4.5</v>
      </c>
      <c r="G3119" s="4" t="str">
        <f>HYPERLINK("http://141.218.60.56/~jnz1568/getInfo.php?workbook=16_08.xlsx&amp;sheet=U0&amp;row=3119&amp;col=7&amp;number=0.0408&amp;sourceID=14","0.0408")</f>
        <v>0.0408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HYPERLINK("http://141.218.60.56/~jnz1568/getInfo.php?workbook=16_08.xlsx&amp;sheet=U0&amp;row=3120&amp;col=6&amp;number=4.6&amp;sourceID=14","4.6")</f>
        <v>4.6</v>
      </c>
      <c r="G3120" s="4" t="str">
        <f>HYPERLINK("http://141.218.60.56/~jnz1568/getInfo.php?workbook=16_08.xlsx&amp;sheet=U0&amp;row=3120&amp;col=7&amp;number=0.0409&amp;sourceID=14","0.0409")</f>
        <v>0.0409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HYPERLINK("http://141.218.60.56/~jnz1568/getInfo.php?workbook=16_08.xlsx&amp;sheet=U0&amp;row=3121&amp;col=6&amp;number=4.7&amp;sourceID=14","4.7")</f>
        <v>4.7</v>
      </c>
      <c r="G3121" s="4" t="str">
        <f>HYPERLINK("http://141.218.60.56/~jnz1568/getInfo.php?workbook=16_08.xlsx&amp;sheet=U0&amp;row=3121&amp;col=7&amp;number=0.041&amp;sourceID=14","0.041")</f>
        <v>0.041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HYPERLINK("http://141.218.60.56/~jnz1568/getInfo.php?workbook=16_08.xlsx&amp;sheet=U0&amp;row=3122&amp;col=6&amp;number=4.8&amp;sourceID=14","4.8")</f>
        <v>4.8</v>
      </c>
      <c r="G3122" s="4" t="str">
        <f>HYPERLINK("http://141.218.60.56/~jnz1568/getInfo.php?workbook=16_08.xlsx&amp;sheet=U0&amp;row=3122&amp;col=7&amp;number=0.0412&amp;sourceID=14","0.0412")</f>
        <v>0.0412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HYPERLINK("http://141.218.60.56/~jnz1568/getInfo.php?workbook=16_08.xlsx&amp;sheet=U0&amp;row=3123&amp;col=6&amp;number=4.9&amp;sourceID=14","4.9")</f>
        <v>4.9</v>
      </c>
      <c r="G3123" s="4" t="str">
        <f>HYPERLINK("http://141.218.60.56/~jnz1568/getInfo.php?workbook=16_08.xlsx&amp;sheet=U0&amp;row=3123&amp;col=7&amp;number=0.0414&amp;sourceID=14","0.0414")</f>
        <v>0.0414</v>
      </c>
    </row>
    <row r="3124" spans="1:7">
      <c r="A3124" s="3">
        <v>16</v>
      </c>
      <c r="B3124" s="3">
        <v>8</v>
      </c>
      <c r="C3124" s="3">
        <v>2</v>
      </c>
      <c r="D3124" s="3">
        <v>74</v>
      </c>
      <c r="E3124" s="3">
        <v>1</v>
      </c>
      <c r="F3124" s="4" t="str">
        <f>HYPERLINK("http://141.218.60.56/~jnz1568/getInfo.php?workbook=16_08.xlsx&amp;sheet=U0&amp;row=3124&amp;col=6&amp;number=3&amp;sourceID=14","3")</f>
        <v>3</v>
      </c>
      <c r="G3124" s="4" t="str">
        <f>HYPERLINK("http://141.218.60.56/~jnz1568/getInfo.php?workbook=16_08.xlsx&amp;sheet=U0&amp;row=3124&amp;col=7&amp;number=0.00477&amp;sourceID=14","0.00477")</f>
        <v>0.00477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HYPERLINK("http://141.218.60.56/~jnz1568/getInfo.php?workbook=16_08.xlsx&amp;sheet=U0&amp;row=3125&amp;col=6&amp;number=3.1&amp;sourceID=14","3.1")</f>
        <v>3.1</v>
      </c>
      <c r="G3125" s="4" t="str">
        <f>HYPERLINK("http://141.218.60.56/~jnz1568/getInfo.php?workbook=16_08.xlsx&amp;sheet=U0&amp;row=3125&amp;col=7&amp;number=0.00477&amp;sourceID=14","0.00477")</f>
        <v>0.00477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HYPERLINK("http://141.218.60.56/~jnz1568/getInfo.php?workbook=16_08.xlsx&amp;sheet=U0&amp;row=3126&amp;col=6&amp;number=3.2&amp;sourceID=14","3.2")</f>
        <v>3.2</v>
      </c>
      <c r="G3126" s="4" t="str">
        <f>HYPERLINK("http://141.218.60.56/~jnz1568/getInfo.php?workbook=16_08.xlsx&amp;sheet=U0&amp;row=3126&amp;col=7&amp;number=0.00477&amp;sourceID=14","0.00477")</f>
        <v>0.00477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HYPERLINK("http://141.218.60.56/~jnz1568/getInfo.php?workbook=16_08.xlsx&amp;sheet=U0&amp;row=3127&amp;col=6&amp;number=3.3&amp;sourceID=14","3.3")</f>
        <v>3.3</v>
      </c>
      <c r="G3127" s="4" t="str">
        <f>HYPERLINK("http://141.218.60.56/~jnz1568/getInfo.php?workbook=16_08.xlsx&amp;sheet=U0&amp;row=3127&amp;col=7&amp;number=0.00477&amp;sourceID=14","0.00477")</f>
        <v>0.00477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HYPERLINK("http://141.218.60.56/~jnz1568/getInfo.php?workbook=16_08.xlsx&amp;sheet=U0&amp;row=3128&amp;col=6&amp;number=3.4&amp;sourceID=14","3.4")</f>
        <v>3.4</v>
      </c>
      <c r="G3128" s="4" t="str">
        <f>HYPERLINK("http://141.218.60.56/~jnz1568/getInfo.php?workbook=16_08.xlsx&amp;sheet=U0&amp;row=3128&amp;col=7&amp;number=0.00477&amp;sourceID=14","0.00477")</f>
        <v>0.00477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HYPERLINK("http://141.218.60.56/~jnz1568/getInfo.php?workbook=16_08.xlsx&amp;sheet=U0&amp;row=3129&amp;col=6&amp;number=3.5&amp;sourceID=14","3.5")</f>
        <v>3.5</v>
      </c>
      <c r="G3129" s="4" t="str">
        <f>HYPERLINK("http://141.218.60.56/~jnz1568/getInfo.php?workbook=16_08.xlsx&amp;sheet=U0&amp;row=3129&amp;col=7&amp;number=0.00477&amp;sourceID=14","0.00477")</f>
        <v>0.00477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HYPERLINK("http://141.218.60.56/~jnz1568/getInfo.php?workbook=16_08.xlsx&amp;sheet=U0&amp;row=3130&amp;col=6&amp;number=3.6&amp;sourceID=14","3.6")</f>
        <v>3.6</v>
      </c>
      <c r="G3130" s="4" t="str">
        <f>HYPERLINK("http://141.218.60.56/~jnz1568/getInfo.php?workbook=16_08.xlsx&amp;sheet=U0&amp;row=3130&amp;col=7&amp;number=0.00477&amp;sourceID=14","0.00477")</f>
        <v>0.00477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HYPERLINK("http://141.218.60.56/~jnz1568/getInfo.php?workbook=16_08.xlsx&amp;sheet=U0&amp;row=3131&amp;col=6&amp;number=3.7&amp;sourceID=14","3.7")</f>
        <v>3.7</v>
      </c>
      <c r="G3131" s="4" t="str">
        <f>HYPERLINK("http://141.218.60.56/~jnz1568/getInfo.php?workbook=16_08.xlsx&amp;sheet=U0&amp;row=3131&amp;col=7&amp;number=0.00477&amp;sourceID=14","0.00477")</f>
        <v>0.00477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HYPERLINK("http://141.218.60.56/~jnz1568/getInfo.php?workbook=16_08.xlsx&amp;sheet=U0&amp;row=3132&amp;col=6&amp;number=3.8&amp;sourceID=14","3.8")</f>
        <v>3.8</v>
      </c>
      <c r="G3132" s="4" t="str">
        <f>HYPERLINK("http://141.218.60.56/~jnz1568/getInfo.php?workbook=16_08.xlsx&amp;sheet=U0&amp;row=3132&amp;col=7&amp;number=0.00476&amp;sourceID=14","0.00476")</f>
        <v>0.00476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HYPERLINK("http://141.218.60.56/~jnz1568/getInfo.php?workbook=16_08.xlsx&amp;sheet=U0&amp;row=3133&amp;col=6&amp;number=3.9&amp;sourceID=14","3.9")</f>
        <v>3.9</v>
      </c>
      <c r="G3133" s="4" t="str">
        <f>HYPERLINK("http://141.218.60.56/~jnz1568/getInfo.php?workbook=16_08.xlsx&amp;sheet=U0&amp;row=3133&amp;col=7&amp;number=0.00476&amp;sourceID=14","0.00476")</f>
        <v>0.00476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HYPERLINK("http://141.218.60.56/~jnz1568/getInfo.php?workbook=16_08.xlsx&amp;sheet=U0&amp;row=3134&amp;col=6&amp;number=4&amp;sourceID=14","4")</f>
        <v>4</v>
      </c>
      <c r="G3134" s="4" t="str">
        <f>HYPERLINK("http://141.218.60.56/~jnz1568/getInfo.php?workbook=16_08.xlsx&amp;sheet=U0&amp;row=3134&amp;col=7&amp;number=0.00476&amp;sourceID=14","0.00476")</f>
        <v>0.00476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HYPERLINK("http://141.218.60.56/~jnz1568/getInfo.php?workbook=16_08.xlsx&amp;sheet=U0&amp;row=3135&amp;col=6&amp;number=4.1&amp;sourceID=14","4.1")</f>
        <v>4.1</v>
      </c>
      <c r="G3135" s="4" t="str">
        <f>HYPERLINK("http://141.218.60.56/~jnz1568/getInfo.php?workbook=16_08.xlsx&amp;sheet=U0&amp;row=3135&amp;col=7&amp;number=0.00476&amp;sourceID=14","0.00476")</f>
        <v>0.00476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HYPERLINK("http://141.218.60.56/~jnz1568/getInfo.php?workbook=16_08.xlsx&amp;sheet=U0&amp;row=3136&amp;col=6&amp;number=4.2&amp;sourceID=14","4.2")</f>
        <v>4.2</v>
      </c>
      <c r="G3136" s="4" t="str">
        <f>HYPERLINK("http://141.218.60.56/~jnz1568/getInfo.php?workbook=16_08.xlsx&amp;sheet=U0&amp;row=3136&amp;col=7&amp;number=0.00475&amp;sourceID=14","0.00475")</f>
        <v>0.00475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HYPERLINK("http://141.218.60.56/~jnz1568/getInfo.php?workbook=16_08.xlsx&amp;sheet=U0&amp;row=3137&amp;col=6&amp;number=4.3&amp;sourceID=14","4.3")</f>
        <v>4.3</v>
      </c>
      <c r="G3137" s="4" t="str">
        <f>HYPERLINK("http://141.218.60.56/~jnz1568/getInfo.php?workbook=16_08.xlsx&amp;sheet=U0&amp;row=3137&amp;col=7&amp;number=0.00475&amp;sourceID=14","0.00475")</f>
        <v>0.00475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HYPERLINK("http://141.218.60.56/~jnz1568/getInfo.php?workbook=16_08.xlsx&amp;sheet=U0&amp;row=3138&amp;col=6&amp;number=4.4&amp;sourceID=14","4.4")</f>
        <v>4.4</v>
      </c>
      <c r="G3138" s="4" t="str">
        <f>HYPERLINK("http://141.218.60.56/~jnz1568/getInfo.php?workbook=16_08.xlsx&amp;sheet=U0&amp;row=3138&amp;col=7&amp;number=0.00474&amp;sourceID=14","0.00474")</f>
        <v>0.00474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HYPERLINK("http://141.218.60.56/~jnz1568/getInfo.php?workbook=16_08.xlsx&amp;sheet=U0&amp;row=3139&amp;col=6&amp;number=4.5&amp;sourceID=14","4.5")</f>
        <v>4.5</v>
      </c>
      <c r="G3139" s="4" t="str">
        <f>HYPERLINK("http://141.218.60.56/~jnz1568/getInfo.php?workbook=16_08.xlsx&amp;sheet=U0&amp;row=3139&amp;col=7&amp;number=0.00473&amp;sourceID=14","0.00473")</f>
        <v>0.00473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HYPERLINK("http://141.218.60.56/~jnz1568/getInfo.php?workbook=16_08.xlsx&amp;sheet=U0&amp;row=3140&amp;col=6&amp;number=4.6&amp;sourceID=14","4.6")</f>
        <v>4.6</v>
      </c>
      <c r="G3140" s="4" t="str">
        <f>HYPERLINK("http://141.218.60.56/~jnz1568/getInfo.php?workbook=16_08.xlsx&amp;sheet=U0&amp;row=3140&amp;col=7&amp;number=0.00472&amp;sourceID=14","0.00472")</f>
        <v>0.00472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HYPERLINK("http://141.218.60.56/~jnz1568/getInfo.php?workbook=16_08.xlsx&amp;sheet=U0&amp;row=3141&amp;col=6&amp;number=4.7&amp;sourceID=14","4.7")</f>
        <v>4.7</v>
      </c>
      <c r="G3141" s="4" t="str">
        <f>HYPERLINK("http://141.218.60.56/~jnz1568/getInfo.php?workbook=16_08.xlsx&amp;sheet=U0&amp;row=3141&amp;col=7&amp;number=0.00471&amp;sourceID=14","0.00471")</f>
        <v>0.00471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HYPERLINK("http://141.218.60.56/~jnz1568/getInfo.php?workbook=16_08.xlsx&amp;sheet=U0&amp;row=3142&amp;col=6&amp;number=4.8&amp;sourceID=14","4.8")</f>
        <v>4.8</v>
      </c>
      <c r="G3142" s="4" t="str">
        <f>HYPERLINK("http://141.218.60.56/~jnz1568/getInfo.php?workbook=16_08.xlsx&amp;sheet=U0&amp;row=3142&amp;col=7&amp;number=0.00469&amp;sourceID=14","0.00469")</f>
        <v>0.00469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HYPERLINK("http://141.218.60.56/~jnz1568/getInfo.php?workbook=16_08.xlsx&amp;sheet=U0&amp;row=3143&amp;col=6&amp;number=4.9&amp;sourceID=14","4.9")</f>
        <v>4.9</v>
      </c>
      <c r="G3143" s="4" t="str">
        <f>HYPERLINK("http://141.218.60.56/~jnz1568/getInfo.php?workbook=16_08.xlsx&amp;sheet=U0&amp;row=3143&amp;col=7&amp;number=0.00467&amp;sourceID=14","0.00467")</f>
        <v>0.00467</v>
      </c>
    </row>
    <row r="3144" spans="1:7">
      <c r="A3144" s="3">
        <v>16</v>
      </c>
      <c r="B3144" s="3">
        <v>8</v>
      </c>
      <c r="C3144" s="3">
        <v>2</v>
      </c>
      <c r="D3144" s="3">
        <v>75</v>
      </c>
      <c r="E3144" s="3">
        <v>1</v>
      </c>
      <c r="F3144" s="4" t="str">
        <f>HYPERLINK("http://141.218.60.56/~jnz1568/getInfo.php?workbook=16_08.xlsx&amp;sheet=U0&amp;row=3144&amp;col=6&amp;number=3&amp;sourceID=14","3")</f>
        <v>3</v>
      </c>
      <c r="G3144" s="4" t="str">
        <f>HYPERLINK("http://141.218.60.56/~jnz1568/getInfo.php?workbook=16_08.xlsx&amp;sheet=U0&amp;row=3144&amp;col=7&amp;number=0.00693&amp;sourceID=14","0.00693")</f>
        <v>0.00693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HYPERLINK("http://141.218.60.56/~jnz1568/getInfo.php?workbook=16_08.xlsx&amp;sheet=U0&amp;row=3145&amp;col=6&amp;number=3.1&amp;sourceID=14","3.1")</f>
        <v>3.1</v>
      </c>
      <c r="G3145" s="4" t="str">
        <f>HYPERLINK("http://141.218.60.56/~jnz1568/getInfo.php?workbook=16_08.xlsx&amp;sheet=U0&amp;row=3145&amp;col=7&amp;number=0.00693&amp;sourceID=14","0.00693")</f>
        <v>0.00693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HYPERLINK("http://141.218.60.56/~jnz1568/getInfo.php?workbook=16_08.xlsx&amp;sheet=U0&amp;row=3146&amp;col=6&amp;number=3.2&amp;sourceID=14","3.2")</f>
        <v>3.2</v>
      </c>
      <c r="G3146" s="4" t="str">
        <f>HYPERLINK("http://141.218.60.56/~jnz1568/getInfo.php?workbook=16_08.xlsx&amp;sheet=U0&amp;row=3146&amp;col=7&amp;number=0.00693&amp;sourceID=14","0.00693")</f>
        <v>0.00693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HYPERLINK("http://141.218.60.56/~jnz1568/getInfo.php?workbook=16_08.xlsx&amp;sheet=U0&amp;row=3147&amp;col=6&amp;number=3.3&amp;sourceID=14","3.3")</f>
        <v>3.3</v>
      </c>
      <c r="G3147" s="4" t="str">
        <f>HYPERLINK("http://141.218.60.56/~jnz1568/getInfo.php?workbook=16_08.xlsx&amp;sheet=U0&amp;row=3147&amp;col=7&amp;number=0.00693&amp;sourceID=14","0.00693")</f>
        <v>0.00693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HYPERLINK("http://141.218.60.56/~jnz1568/getInfo.php?workbook=16_08.xlsx&amp;sheet=U0&amp;row=3148&amp;col=6&amp;number=3.4&amp;sourceID=14","3.4")</f>
        <v>3.4</v>
      </c>
      <c r="G3148" s="4" t="str">
        <f>HYPERLINK("http://141.218.60.56/~jnz1568/getInfo.php?workbook=16_08.xlsx&amp;sheet=U0&amp;row=3148&amp;col=7&amp;number=0.00693&amp;sourceID=14","0.00693")</f>
        <v>0.00693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HYPERLINK("http://141.218.60.56/~jnz1568/getInfo.php?workbook=16_08.xlsx&amp;sheet=U0&amp;row=3149&amp;col=6&amp;number=3.5&amp;sourceID=14","3.5")</f>
        <v>3.5</v>
      </c>
      <c r="G3149" s="4" t="str">
        <f>HYPERLINK("http://141.218.60.56/~jnz1568/getInfo.php?workbook=16_08.xlsx&amp;sheet=U0&amp;row=3149&amp;col=7&amp;number=0.00693&amp;sourceID=14","0.00693")</f>
        <v>0.00693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HYPERLINK("http://141.218.60.56/~jnz1568/getInfo.php?workbook=16_08.xlsx&amp;sheet=U0&amp;row=3150&amp;col=6&amp;number=3.6&amp;sourceID=14","3.6")</f>
        <v>3.6</v>
      </c>
      <c r="G3150" s="4" t="str">
        <f>HYPERLINK("http://141.218.60.56/~jnz1568/getInfo.php?workbook=16_08.xlsx&amp;sheet=U0&amp;row=3150&amp;col=7&amp;number=0.00693&amp;sourceID=14","0.00693")</f>
        <v>0.00693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HYPERLINK("http://141.218.60.56/~jnz1568/getInfo.php?workbook=16_08.xlsx&amp;sheet=U0&amp;row=3151&amp;col=6&amp;number=3.7&amp;sourceID=14","3.7")</f>
        <v>3.7</v>
      </c>
      <c r="G3151" s="4" t="str">
        <f>HYPERLINK("http://141.218.60.56/~jnz1568/getInfo.php?workbook=16_08.xlsx&amp;sheet=U0&amp;row=3151&amp;col=7&amp;number=0.00693&amp;sourceID=14","0.00693")</f>
        <v>0.00693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HYPERLINK("http://141.218.60.56/~jnz1568/getInfo.php?workbook=16_08.xlsx&amp;sheet=U0&amp;row=3152&amp;col=6&amp;number=3.8&amp;sourceID=14","3.8")</f>
        <v>3.8</v>
      </c>
      <c r="G3152" s="4" t="str">
        <f>HYPERLINK("http://141.218.60.56/~jnz1568/getInfo.php?workbook=16_08.xlsx&amp;sheet=U0&amp;row=3152&amp;col=7&amp;number=0.00693&amp;sourceID=14","0.00693")</f>
        <v>0.00693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HYPERLINK("http://141.218.60.56/~jnz1568/getInfo.php?workbook=16_08.xlsx&amp;sheet=U0&amp;row=3153&amp;col=6&amp;number=3.9&amp;sourceID=14","3.9")</f>
        <v>3.9</v>
      </c>
      <c r="G3153" s="4" t="str">
        <f>HYPERLINK("http://141.218.60.56/~jnz1568/getInfo.php?workbook=16_08.xlsx&amp;sheet=U0&amp;row=3153&amp;col=7&amp;number=0.00693&amp;sourceID=14","0.00693")</f>
        <v>0.00693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HYPERLINK("http://141.218.60.56/~jnz1568/getInfo.php?workbook=16_08.xlsx&amp;sheet=U0&amp;row=3154&amp;col=6&amp;number=4&amp;sourceID=14","4")</f>
        <v>4</v>
      </c>
      <c r="G3154" s="4" t="str">
        <f>HYPERLINK("http://141.218.60.56/~jnz1568/getInfo.php?workbook=16_08.xlsx&amp;sheet=U0&amp;row=3154&amp;col=7&amp;number=0.00693&amp;sourceID=14","0.00693")</f>
        <v>0.00693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HYPERLINK("http://141.218.60.56/~jnz1568/getInfo.php?workbook=16_08.xlsx&amp;sheet=U0&amp;row=3155&amp;col=6&amp;number=4.1&amp;sourceID=14","4.1")</f>
        <v>4.1</v>
      </c>
      <c r="G3155" s="4" t="str">
        <f>HYPERLINK("http://141.218.60.56/~jnz1568/getInfo.php?workbook=16_08.xlsx&amp;sheet=U0&amp;row=3155&amp;col=7&amp;number=0.00692&amp;sourceID=14","0.00692")</f>
        <v>0.00692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HYPERLINK("http://141.218.60.56/~jnz1568/getInfo.php?workbook=16_08.xlsx&amp;sheet=U0&amp;row=3156&amp;col=6&amp;number=4.2&amp;sourceID=14","4.2")</f>
        <v>4.2</v>
      </c>
      <c r="G3156" s="4" t="str">
        <f>HYPERLINK("http://141.218.60.56/~jnz1568/getInfo.php?workbook=16_08.xlsx&amp;sheet=U0&amp;row=3156&amp;col=7&amp;number=0.00692&amp;sourceID=14","0.00692")</f>
        <v>0.00692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HYPERLINK("http://141.218.60.56/~jnz1568/getInfo.php?workbook=16_08.xlsx&amp;sheet=U0&amp;row=3157&amp;col=6&amp;number=4.3&amp;sourceID=14","4.3")</f>
        <v>4.3</v>
      </c>
      <c r="G3157" s="4" t="str">
        <f>HYPERLINK("http://141.218.60.56/~jnz1568/getInfo.php?workbook=16_08.xlsx&amp;sheet=U0&amp;row=3157&amp;col=7&amp;number=0.00692&amp;sourceID=14","0.00692")</f>
        <v>0.00692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HYPERLINK("http://141.218.60.56/~jnz1568/getInfo.php?workbook=16_08.xlsx&amp;sheet=U0&amp;row=3158&amp;col=6&amp;number=4.4&amp;sourceID=14","4.4")</f>
        <v>4.4</v>
      </c>
      <c r="G3158" s="4" t="str">
        <f>HYPERLINK("http://141.218.60.56/~jnz1568/getInfo.php?workbook=16_08.xlsx&amp;sheet=U0&amp;row=3158&amp;col=7&amp;number=0.00691&amp;sourceID=14","0.00691")</f>
        <v>0.00691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HYPERLINK("http://141.218.60.56/~jnz1568/getInfo.php?workbook=16_08.xlsx&amp;sheet=U0&amp;row=3159&amp;col=6&amp;number=4.5&amp;sourceID=14","4.5")</f>
        <v>4.5</v>
      </c>
      <c r="G3159" s="4" t="str">
        <f>HYPERLINK("http://141.218.60.56/~jnz1568/getInfo.php?workbook=16_08.xlsx&amp;sheet=U0&amp;row=3159&amp;col=7&amp;number=0.00691&amp;sourceID=14","0.00691")</f>
        <v>0.00691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HYPERLINK("http://141.218.60.56/~jnz1568/getInfo.php?workbook=16_08.xlsx&amp;sheet=U0&amp;row=3160&amp;col=6&amp;number=4.6&amp;sourceID=14","4.6")</f>
        <v>4.6</v>
      </c>
      <c r="G3160" s="4" t="str">
        <f>HYPERLINK("http://141.218.60.56/~jnz1568/getInfo.php?workbook=16_08.xlsx&amp;sheet=U0&amp;row=3160&amp;col=7&amp;number=0.0069&amp;sourceID=14","0.0069")</f>
        <v>0.0069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HYPERLINK("http://141.218.60.56/~jnz1568/getInfo.php?workbook=16_08.xlsx&amp;sheet=U0&amp;row=3161&amp;col=6&amp;number=4.7&amp;sourceID=14","4.7")</f>
        <v>4.7</v>
      </c>
      <c r="G3161" s="4" t="str">
        <f>HYPERLINK("http://141.218.60.56/~jnz1568/getInfo.php?workbook=16_08.xlsx&amp;sheet=U0&amp;row=3161&amp;col=7&amp;number=0.00689&amp;sourceID=14","0.00689")</f>
        <v>0.00689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HYPERLINK("http://141.218.60.56/~jnz1568/getInfo.php?workbook=16_08.xlsx&amp;sheet=U0&amp;row=3162&amp;col=6&amp;number=4.8&amp;sourceID=14","4.8")</f>
        <v>4.8</v>
      </c>
      <c r="G3162" s="4" t="str">
        <f>HYPERLINK("http://141.218.60.56/~jnz1568/getInfo.php?workbook=16_08.xlsx&amp;sheet=U0&amp;row=3162&amp;col=7&amp;number=0.00688&amp;sourceID=14","0.00688")</f>
        <v>0.00688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HYPERLINK("http://141.218.60.56/~jnz1568/getInfo.php?workbook=16_08.xlsx&amp;sheet=U0&amp;row=3163&amp;col=6&amp;number=4.9&amp;sourceID=14","4.9")</f>
        <v>4.9</v>
      </c>
      <c r="G3163" s="4" t="str">
        <f>HYPERLINK("http://141.218.60.56/~jnz1568/getInfo.php?workbook=16_08.xlsx&amp;sheet=U0&amp;row=3163&amp;col=7&amp;number=0.00686&amp;sourceID=14","0.00686")</f>
        <v>0.00686</v>
      </c>
    </row>
    <row r="3164" spans="1:7">
      <c r="A3164" s="3">
        <v>16</v>
      </c>
      <c r="B3164" s="3">
        <v>8</v>
      </c>
      <c r="C3164" s="3">
        <v>2</v>
      </c>
      <c r="D3164" s="3">
        <v>76</v>
      </c>
      <c r="E3164" s="3">
        <v>1</v>
      </c>
      <c r="F3164" s="4" t="str">
        <f>HYPERLINK("http://141.218.60.56/~jnz1568/getInfo.php?workbook=16_08.xlsx&amp;sheet=U0&amp;row=3164&amp;col=6&amp;number=3&amp;sourceID=14","3")</f>
        <v>3</v>
      </c>
      <c r="G3164" s="4" t="str">
        <f>HYPERLINK("http://141.218.60.56/~jnz1568/getInfo.php?workbook=16_08.xlsx&amp;sheet=U0&amp;row=3164&amp;col=7&amp;number=0.00847&amp;sourceID=14","0.00847")</f>
        <v>0.00847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HYPERLINK("http://141.218.60.56/~jnz1568/getInfo.php?workbook=16_08.xlsx&amp;sheet=U0&amp;row=3165&amp;col=6&amp;number=3.1&amp;sourceID=14","3.1")</f>
        <v>3.1</v>
      </c>
      <c r="G3165" s="4" t="str">
        <f>HYPERLINK("http://141.218.60.56/~jnz1568/getInfo.php?workbook=16_08.xlsx&amp;sheet=U0&amp;row=3165&amp;col=7&amp;number=0.00847&amp;sourceID=14","0.00847")</f>
        <v>0.00847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HYPERLINK("http://141.218.60.56/~jnz1568/getInfo.php?workbook=16_08.xlsx&amp;sheet=U0&amp;row=3166&amp;col=6&amp;number=3.2&amp;sourceID=14","3.2")</f>
        <v>3.2</v>
      </c>
      <c r="G3166" s="4" t="str">
        <f>HYPERLINK("http://141.218.60.56/~jnz1568/getInfo.php?workbook=16_08.xlsx&amp;sheet=U0&amp;row=3166&amp;col=7&amp;number=0.00847&amp;sourceID=14","0.00847")</f>
        <v>0.00847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HYPERLINK("http://141.218.60.56/~jnz1568/getInfo.php?workbook=16_08.xlsx&amp;sheet=U0&amp;row=3167&amp;col=6&amp;number=3.3&amp;sourceID=14","3.3")</f>
        <v>3.3</v>
      </c>
      <c r="G3167" s="4" t="str">
        <f>HYPERLINK("http://141.218.60.56/~jnz1568/getInfo.php?workbook=16_08.xlsx&amp;sheet=U0&amp;row=3167&amp;col=7&amp;number=0.00847&amp;sourceID=14","0.00847")</f>
        <v>0.00847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HYPERLINK("http://141.218.60.56/~jnz1568/getInfo.php?workbook=16_08.xlsx&amp;sheet=U0&amp;row=3168&amp;col=6&amp;number=3.4&amp;sourceID=14","3.4")</f>
        <v>3.4</v>
      </c>
      <c r="G3168" s="4" t="str">
        <f>HYPERLINK("http://141.218.60.56/~jnz1568/getInfo.php?workbook=16_08.xlsx&amp;sheet=U0&amp;row=3168&amp;col=7&amp;number=0.00847&amp;sourceID=14","0.00847")</f>
        <v>0.00847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HYPERLINK("http://141.218.60.56/~jnz1568/getInfo.php?workbook=16_08.xlsx&amp;sheet=U0&amp;row=3169&amp;col=6&amp;number=3.5&amp;sourceID=14","3.5")</f>
        <v>3.5</v>
      </c>
      <c r="G3169" s="4" t="str">
        <f>HYPERLINK("http://141.218.60.56/~jnz1568/getInfo.php?workbook=16_08.xlsx&amp;sheet=U0&amp;row=3169&amp;col=7&amp;number=0.00847&amp;sourceID=14","0.00847")</f>
        <v>0.00847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HYPERLINK("http://141.218.60.56/~jnz1568/getInfo.php?workbook=16_08.xlsx&amp;sheet=U0&amp;row=3170&amp;col=6&amp;number=3.6&amp;sourceID=14","3.6")</f>
        <v>3.6</v>
      </c>
      <c r="G3170" s="4" t="str">
        <f>HYPERLINK("http://141.218.60.56/~jnz1568/getInfo.php?workbook=16_08.xlsx&amp;sheet=U0&amp;row=3170&amp;col=7&amp;number=0.00847&amp;sourceID=14","0.00847")</f>
        <v>0.00847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HYPERLINK("http://141.218.60.56/~jnz1568/getInfo.php?workbook=16_08.xlsx&amp;sheet=U0&amp;row=3171&amp;col=6&amp;number=3.7&amp;sourceID=14","3.7")</f>
        <v>3.7</v>
      </c>
      <c r="G3171" s="4" t="str">
        <f>HYPERLINK("http://141.218.60.56/~jnz1568/getInfo.php?workbook=16_08.xlsx&amp;sheet=U0&amp;row=3171&amp;col=7&amp;number=0.00846&amp;sourceID=14","0.00846")</f>
        <v>0.00846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HYPERLINK("http://141.218.60.56/~jnz1568/getInfo.php?workbook=16_08.xlsx&amp;sheet=U0&amp;row=3172&amp;col=6&amp;number=3.8&amp;sourceID=14","3.8")</f>
        <v>3.8</v>
      </c>
      <c r="G3172" s="4" t="str">
        <f>HYPERLINK("http://141.218.60.56/~jnz1568/getInfo.php?workbook=16_08.xlsx&amp;sheet=U0&amp;row=3172&amp;col=7&amp;number=0.00846&amp;sourceID=14","0.00846")</f>
        <v>0.00846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HYPERLINK("http://141.218.60.56/~jnz1568/getInfo.php?workbook=16_08.xlsx&amp;sheet=U0&amp;row=3173&amp;col=6&amp;number=3.9&amp;sourceID=14","3.9")</f>
        <v>3.9</v>
      </c>
      <c r="G3173" s="4" t="str">
        <f>HYPERLINK("http://141.218.60.56/~jnz1568/getInfo.php?workbook=16_08.xlsx&amp;sheet=U0&amp;row=3173&amp;col=7&amp;number=0.00846&amp;sourceID=14","0.00846")</f>
        <v>0.00846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HYPERLINK("http://141.218.60.56/~jnz1568/getInfo.php?workbook=16_08.xlsx&amp;sheet=U0&amp;row=3174&amp;col=6&amp;number=4&amp;sourceID=14","4")</f>
        <v>4</v>
      </c>
      <c r="G3174" s="4" t="str">
        <f>HYPERLINK("http://141.218.60.56/~jnz1568/getInfo.php?workbook=16_08.xlsx&amp;sheet=U0&amp;row=3174&amp;col=7&amp;number=0.00845&amp;sourceID=14","0.00845")</f>
        <v>0.00845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HYPERLINK("http://141.218.60.56/~jnz1568/getInfo.php?workbook=16_08.xlsx&amp;sheet=U0&amp;row=3175&amp;col=6&amp;number=4.1&amp;sourceID=14","4.1")</f>
        <v>4.1</v>
      </c>
      <c r="G3175" s="4" t="str">
        <f>HYPERLINK("http://141.218.60.56/~jnz1568/getInfo.php?workbook=16_08.xlsx&amp;sheet=U0&amp;row=3175&amp;col=7&amp;number=0.00845&amp;sourceID=14","0.00845")</f>
        <v>0.00845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HYPERLINK("http://141.218.60.56/~jnz1568/getInfo.php?workbook=16_08.xlsx&amp;sheet=U0&amp;row=3176&amp;col=6&amp;number=4.2&amp;sourceID=14","4.2")</f>
        <v>4.2</v>
      </c>
      <c r="G3176" s="4" t="str">
        <f>HYPERLINK("http://141.218.60.56/~jnz1568/getInfo.php?workbook=16_08.xlsx&amp;sheet=U0&amp;row=3176&amp;col=7&amp;number=0.00844&amp;sourceID=14","0.00844")</f>
        <v>0.00844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HYPERLINK("http://141.218.60.56/~jnz1568/getInfo.php?workbook=16_08.xlsx&amp;sheet=U0&amp;row=3177&amp;col=6&amp;number=4.3&amp;sourceID=14","4.3")</f>
        <v>4.3</v>
      </c>
      <c r="G3177" s="4" t="str">
        <f>HYPERLINK("http://141.218.60.56/~jnz1568/getInfo.php?workbook=16_08.xlsx&amp;sheet=U0&amp;row=3177&amp;col=7&amp;number=0.00843&amp;sourceID=14","0.00843")</f>
        <v>0.00843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HYPERLINK("http://141.218.60.56/~jnz1568/getInfo.php?workbook=16_08.xlsx&amp;sheet=U0&amp;row=3178&amp;col=6&amp;number=4.4&amp;sourceID=14","4.4")</f>
        <v>4.4</v>
      </c>
      <c r="G3178" s="4" t="str">
        <f>HYPERLINK("http://141.218.60.56/~jnz1568/getInfo.php?workbook=16_08.xlsx&amp;sheet=U0&amp;row=3178&amp;col=7&amp;number=0.00842&amp;sourceID=14","0.00842")</f>
        <v>0.00842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HYPERLINK("http://141.218.60.56/~jnz1568/getInfo.php?workbook=16_08.xlsx&amp;sheet=U0&amp;row=3179&amp;col=6&amp;number=4.5&amp;sourceID=14","4.5")</f>
        <v>4.5</v>
      </c>
      <c r="G3179" s="4" t="str">
        <f>HYPERLINK("http://141.218.60.56/~jnz1568/getInfo.php?workbook=16_08.xlsx&amp;sheet=U0&amp;row=3179&amp;col=7&amp;number=0.00841&amp;sourceID=14","0.00841")</f>
        <v>0.00841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HYPERLINK("http://141.218.60.56/~jnz1568/getInfo.php?workbook=16_08.xlsx&amp;sheet=U0&amp;row=3180&amp;col=6&amp;number=4.6&amp;sourceID=14","4.6")</f>
        <v>4.6</v>
      </c>
      <c r="G3180" s="4" t="str">
        <f>HYPERLINK("http://141.218.60.56/~jnz1568/getInfo.php?workbook=16_08.xlsx&amp;sheet=U0&amp;row=3180&amp;col=7&amp;number=0.00839&amp;sourceID=14","0.00839")</f>
        <v>0.00839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HYPERLINK("http://141.218.60.56/~jnz1568/getInfo.php?workbook=16_08.xlsx&amp;sheet=U0&amp;row=3181&amp;col=6&amp;number=4.7&amp;sourceID=14","4.7")</f>
        <v>4.7</v>
      </c>
      <c r="G3181" s="4" t="str">
        <f>HYPERLINK("http://141.218.60.56/~jnz1568/getInfo.php?workbook=16_08.xlsx&amp;sheet=U0&amp;row=3181&amp;col=7&amp;number=0.00837&amp;sourceID=14","0.00837")</f>
        <v>0.00837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HYPERLINK("http://141.218.60.56/~jnz1568/getInfo.php?workbook=16_08.xlsx&amp;sheet=U0&amp;row=3182&amp;col=6&amp;number=4.8&amp;sourceID=14","4.8")</f>
        <v>4.8</v>
      </c>
      <c r="G3182" s="4" t="str">
        <f>HYPERLINK("http://141.218.60.56/~jnz1568/getInfo.php?workbook=16_08.xlsx&amp;sheet=U0&amp;row=3182&amp;col=7&amp;number=0.00834&amp;sourceID=14","0.00834")</f>
        <v>0.00834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HYPERLINK("http://141.218.60.56/~jnz1568/getInfo.php?workbook=16_08.xlsx&amp;sheet=U0&amp;row=3183&amp;col=6&amp;number=4.9&amp;sourceID=14","4.9")</f>
        <v>4.9</v>
      </c>
      <c r="G3183" s="4" t="str">
        <f>HYPERLINK("http://141.218.60.56/~jnz1568/getInfo.php?workbook=16_08.xlsx&amp;sheet=U0&amp;row=3183&amp;col=7&amp;number=0.0083&amp;sourceID=14","0.0083")</f>
        <v>0.0083</v>
      </c>
    </row>
    <row r="3184" spans="1:7">
      <c r="A3184" s="3">
        <v>16</v>
      </c>
      <c r="B3184" s="3">
        <v>8</v>
      </c>
      <c r="C3184" s="3">
        <v>2</v>
      </c>
      <c r="D3184" s="3">
        <v>77</v>
      </c>
      <c r="E3184" s="3">
        <v>1</v>
      </c>
      <c r="F3184" s="4" t="str">
        <f>HYPERLINK("http://141.218.60.56/~jnz1568/getInfo.php?workbook=16_08.xlsx&amp;sheet=U0&amp;row=3184&amp;col=6&amp;number=3&amp;sourceID=14","3")</f>
        <v>3</v>
      </c>
      <c r="G3184" s="4" t="str">
        <f>HYPERLINK("http://141.218.60.56/~jnz1568/getInfo.php?workbook=16_08.xlsx&amp;sheet=U0&amp;row=3184&amp;col=7&amp;number=0.00622&amp;sourceID=14","0.00622")</f>
        <v>0.00622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HYPERLINK("http://141.218.60.56/~jnz1568/getInfo.php?workbook=16_08.xlsx&amp;sheet=U0&amp;row=3185&amp;col=6&amp;number=3.1&amp;sourceID=14","3.1")</f>
        <v>3.1</v>
      </c>
      <c r="G3185" s="4" t="str">
        <f>HYPERLINK("http://141.218.60.56/~jnz1568/getInfo.php?workbook=16_08.xlsx&amp;sheet=U0&amp;row=3185&amp;col=7&amp;number=0.00622&amp;sourceID=14","0.00622")</f>
        <v>0.00622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HYPERLINK("http://141.218.60.56/~jnz1568/getInfo.php?workbook=16_08.xlsx&amp;sheet=U0&amp;row=3186&amp;col=6&amp;number=3.2&amp;sourceID=14","3.2")</f>
        <v>3.2</v>
      </c>
      <c r="G3186" s="4" t="str">
        <f>HYPERLINK("http://141.218.60.56/~jnz1568/getInfo.php?workbook=16_08.xlsx&amp;sheet=U0&amp;row=3186&amp;col=7&amp;number=0.00622&amp;sourceID=14","0.00622")</f>
        <v>0.00622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HYPERLINK("http://141.218.60.56/~jnz1568/getInfo.php?workbook=16_08.xlsx&amp;sheet=U0&amp;row=3187&amp;col=6&amp;number=3.3&amp;sourceID=14","3.3")</f>
        <v>3.3</v>
      </c>
      <c r="G3187" s="4" t="str">
        <f>HYPERLINK("http://141.218.60.56/~jnz1568/getInfo.php?workbook=16_08.xlsx&amp;sheet=U0&amp;row=3187&amp;col=7&amp;number=0.00622&amp;sourceID=14","0.00622")</f>
        <v>0.00622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HYPERLINK("http://141.218.60.56/~jnz1568/getInfo.php?workbook=16_08.xlsx&amp;sheet=U0&amp;row=3188&amp;col=6&amp;number=3.4&amp;sourceID=14","3.4")</f>
        <v>3.4</v>
      </c>
      <c r="G3188" s="4" t="str">
        <f>HYPERLINK("http://141.218.60.56/~jnz1568/getInfo.php?workbook=16_08.xlsx&amp;sheet=U0&amp;row=3188&amp;col=7&amp;number=0.00622&amp;sourceID=14","0.00622")</f>
        <v>0.00622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HYPERLINK("http://141.218.60.56/~jnz1568/getInfo.php?workbook=16_08.xlsx&amp;sheet=U0&amp;row=3189&amp;col=6&amp;number=3.5&amp;sourceID=14","3.5")</f>
        <v>3.5</v>
      </c>
      <c r="G3189" s="4" t="str">
        <f>HYPERLINK("http://141.218.60.56/~jnz1568/getInfo.php?workbook=16_08.xlsx&amp;sheet=U0&amp;row=3189&amp;col=7&amp;number=0.00622&amp;sourceID=14","0.00622")</f>
        <v>0.00622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HYPERLINK("http://141.218.60.56/~jnz1568/getInfo.php?workbook=16_08.xlsx&amp;sheet=U0&amp;row=3190&amp;col=6&amp;number=3.6&amp;sourceID=14","3.6")</f>
        <v>3.6</v>
      </c>
      <c r="G3190" s="4" t="str">
        <f>HYPERLINK("http://141.218.60.56/~jnz1568/getInfo.php?workbook=16_08.xlsx&amp;sheet=U0&amp;row=3190&amp;col=7&amp;number=0.00621&amp;sourceID=14","0.00621")</f>
        <v>0.00621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HYPERLINK("http://141.218.60.56/~jnz1568/getInfo.php?workbook=16_08.xlsx&amp;sheet=U0&amp;row=3191&amp;col=6&amp;number=3.7&amp;sourceID=14","3.7")</f>
        <v>3.7</v>
      </c>
      <c r="G3191" s="4" t="str">
        <f>HYPERLINK("http://141.218.60.56/~jnz1568/getInfo.php?workbook=16_08.xlsx&amp;sheet=U0&amp;row=3191&amp;col=7&amp;number=0.00621&amp;sourceID=14","0.00621")</f>
        <v>0.00621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HYPERLINK("http://141.218.60.56/~jnz1568/getInfo.php?workbook=16_08.xlsx&amp;sheet=U0&amp;row=3192&amp;col=6&amp;number=3.8&amp;sourceID=14","3.8")</f>
        <v>3.8</v>
      </c>
      <c r="G3192" s="4" t="str">
        <f>HYPERLINK("http://141.218.60.56/~jnz1568/getInfo.php?workbook=16_08.xlsx&amp;sheet=U0&amp;row=3192&amp;col=7&amp;number=0.00621&amp;sourceID=14","0.00621")</f>
        <v>0.00621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HYPERLINK("http://141.218.60.56/~jnz1568/getInfo.php?workbook=16_08.xlsx&amp;sheet=U0&amp;row=3193&amp;col=6&amp;number=3.9&amp;sourceID=14","3.9")</f>
        <v>3.9</v>
      </c>
      <c r="G3193" s="4" t="str">
        <f>HYPERLINK("http://141.218.60.56/~jnz1568/getInfo.php?workbook=16_08.xlsx&amp;sheet=U0&amp;row=3193&amp;col=7&amp;number=0.00621&amp;sourceID=14","0.00621")</f>
        <v>0.00621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HYPERLINK("http://141.218.60.56/~jnz1568/getInfo.php?workbook=16_08.xlsx&amp;sheet=U0&amp;row=3194&amp;col=6&amp;number=4&amp;sourceID=14","4")</f>
        <v>4</v>
      </c>
      <c r="G3194" s="4" t="str">
        <f>HYPERLINK("http://141.218.60.56/~jnz1568/getInfo.php?workbook=16_08.xlsx&amp;sheet=U0&amp;row=3194&amp;col=7&amp;number=0.00621&amp;sourceID=14","0.00621")</f>
        <v>0.00621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HYPERLINK("http://141.218.60.56/~jnz1568/getInfo.php?workbook=16_08.xlsx&amp;sheet=U0&amp;row=3195&amp;col=6&amp;number=4.1&amp;sourceID=14","4.1")</f>
        <v>4.1</v>
      </c>
      <c r="G3195" s="4" t="str">
        <f>HYPERLINK("http://141.218.60.56/~jnz1568/getInfo.php?workbook=16_08.xlsx&amp;sheet=U0&amp;row=3195&amp;col=7&amp;number=0.00621&amp;sourceID=14","0.00621")</f>
        <v>0.00621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HYPERLINK("http://141.218.60.56/~jnz1568/getInfo.php?workbook=16_08.xlsx&amp;sheet=U0&amp;row=3196&amp;col=6&amp;number=4.2&amp;sourceID=14","4.2")</f>
        <v>4.2</v>
      </c>
      <c r="G3196" s="4" t="str">
        <f>HYPERLINK("http://141.218.60.56/~jnz1568/getInfo.php?workbook=16_08.xlsx&amp;sheet=U0&amp;row=3196&amp;col=7&amp;number=0.00621&amp;sourceID=14","0.00621")</f>
        <v>0.00621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HYPERLINK("http://141.218.60.56/~jnz1568/getInfo.php?workbook=16_08.xlsx&amp;sheet=U0&amp;row=3197&amp;col=6&amp;number=4.3&amp;sourceID=14","4.3")</f>
        <v>4.3</v>
      </c>
      <c r="G3197" s="4" t="str">
        <f>HYPERLINK("http://141.218.60.56/~jnz1568/getInfo.php?workbook=16_08.xlsx&amp;sheet=U0&amp;row=3197&amp;col=7&amp;number=0.0062&amp;sourceID=14","0.0062")</f>
        <v>0.0062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HYPERLINK("http://141.218.60.56/~jnz1568/getInfo.php?workbook=16_08.xlsx&amp;sheet=U0&amp;row=3198&amp;col=6&amp;number=4.4&amp;sourceID=14","4.4")</f>
        <v>4.4</v>
      </c>
      <c r="G3198" s="4" t="str">
        <f>HYPERLINK("http://141.218.60.56/~jnz1568/getInfo.php?workbook=16_08.xlsx&amp;sheet=U0&amp;row=3198&amp;col=7&amp;number=0.0062&amp;sourceID=14","0.0062")</f>
        <v>0.0062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HYPERLINK("http://141.218.60.56/~jnz1568/getInfo.php?workbook=16_08.xlsx&amp;sheet=U0&amp;row=3199&amp;col=6&amp;number=4.5&amp;sourceID=14","4.5")</f>
        <v>4.5</v>
      </c>
      <c r="G3199" s="4" t="str">
        <f>HYPERLINK("http://141.218.60.56/~jnz1568/getInfo.php?workbook=16_08.xlsx&amp;sheet=U0&amp;row=3199&amp;col=7&amp;number=0.00619&amp;sourceID=14","0.00619")</f>
        <v>0.00619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HYPERLINK("http://141.218.60.56/~jnz1568/getInfo.php?workbook=16_08.xlsx&amp;sheet=U0&amp;row=3200&amp;col=6&amp;number=4.6&amp;sourceID=14","4.6")</f>
        <v>4.6</v>
      </c>
      <c r="G3200" s="4" t="str">
        <f>HYPERLINK("http://141.218.60.56/~jnz1568/getInfo.php?workbook=16_08.xlsx&amp;sheet=U0&amp;row=3200&amp;col=7&amp;number=0.00619&amp;sourceID=14","0.00619")</f>
        <v>0.00619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HYPERLINK("http://141.218.60.56/~jnz1568/getInfo.php?workbook=16_08.xlsx&amp;sheet=U0&amp;row=3201&amp;col=6&amp;number=4.7&amp;sourceID=14","4.7")</f>
        <v>4.7</v>
      </c>
      <c r="G3201" s="4" t="str">
        <f>HYPERLINK("http://141.218.60.56/~jnz1568/getInfo.php?workbook=16_08.xlsx&amp;sheet=U0&amp;row=3201&amp;col=7&amp;number=0.00618&amp;sourceID=14","0.00618")</f>
        <v>0.00618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HYPERLINK("http://141.218.60.56/~jnz1568/getInfo.php?workbook=16_08.xlsx&amp;sheet=U0&amp;row=3202&amp;col=6&amp;number=4.8&amp;sourceID=14","4.8")</f>
        <v>4.8</v>
      </c>
      <c r="G3202" s="4" t="str">
        <f>HYPERLINK("http://141.218.60.56/~jnz1568/getInfo.php?workbook=16_08.xlsx&amp;sheet=U0&amp;row=3202&amp;col=7&amp;number=0.00617&amp;sourceID=14","0.00617")</f>
        <v>0.00617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HYPERLINK("http://141.218.60.56/~jnz1568/getInfo.php?workbook=16_08.xlsx&amp;sheet=U0&amp;row=3203&amp;col=6&amp;number=4.9&amp;sourceID=14","4.9")</f>
        <v>4.9</v>
      </c>
      <c r="G3203" s="4" t="str">
        <f>HYPERLINK("http://141.218.60.56/~jnz1568/getInfo.php?workbook=16_08.xlsx&amp;sheet=U0&amp;row=3203&amp;col=7&amp;number=0.00616&amp;sourceID=14","0.00616")</f>
        <v>0.00616</v>
      </c>
    </row>
    <row r="3204" spans="1:7">
      <c r="A3204" s="3">
        <v>16</v>
      </c>
      <c r="B3204" s="3">
        <v>8</v>
      </c>
      <c r="C3204" s="3">
        <v>2</v>
      </c>
      <c r="D3204" s="3">
        <v>78</v>
      </c>
      <c r="E3204" s="3">
        <v>1</v>
      </c>
      <c r="F3204" s="4" t="str">
        <f>HYPERLINK("http://141.218.60.56/~jnz1568/getInfo.php?workbook=16_08.xlsx&amp;sheet=U0&amp;row=3204&amp;col=6&amp;number=3&amp;sourceID=14","3")</f>
        <v>3</v>
      </c>
      <c r="G3204" s="4" t="str">
        <f>HYPERLINK("http://141.218.60.56/~jnz1568/getInfo.php?workbook=16_08.xlsx&amp;sheet=U0&amp;row=3204&amp;col=7&amp;number=0.0129&amp;sourceID=14","0.0129")</f>
        <v>0.0129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HYPERLINK("http://141.218.60.56/~jnz1568/getInfo.php?workbook=16_08.xlsx&amp;sheet=U0&amp;row=3205&amp;col=6&amp;number=3.1&amp;sourceID=14","3.1")</f>
        <v>3.1</v>
      </c>
      <c r="G3205" s="4" t="str">
        <f>HYPERLINK("http://141.218.60.56/~jnz1568/getInfo.php?workbook=16_08.xlsx&amp;sheet=U0&amp;row=3205&amp;col=7&amp;number=0.0129&amp;sourceID=14","0.0129")</f>
        <v>0.0129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HYPERLINK("http://141.218.60.56/~jnz1568/getInfo.php?workbook=16_08.xlsx&amp;sheet=U0&amp;row=3206&amp;col=6&amp;number=3.2&amp;sourceID=14","3.2")</f>
        <v>3.2</v>
      </c>
      <c r="G3206" s="4" t="str">
        <f>HYPERLINK("http://141.218.60.56/~jnz1568/getInfo.php?workbook=16_08.xlsx&amp;sheet=U0&amp;row=3206&amp;col=7&amp;number=0.0129&amp;sourceID=14","0.0129")</f>
        <v>0.0129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HYPERLINK("http://141.218.60.56/~jnz1568/getInfo.php?workbook=16_08.xlsx&amp;sheet=U0&amp;row=3207&amp;col=6&amp;number=3.3&amp;sourceID=14","3.3")</f>
        <v>3.3</v>
      </c>
      <c r="G3207" s="4" t="str">
        <f>HYPERLINK("http://141.218.60.56/~jnz1568/getInfo.php?workbook=16_08.xlsx&amp;sheet=U0&amp;row=3207&amp;col=7&amp;number=0.013&amp;sourceID=14","0.013")</f>
        <v>0.013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HYPERLINK("http://141.218.60.56/~jnz1568/getInfo.php?workbook=16_08.xlsx&amp;sheet=U0&amp;row=3208&amp;col=6&amp;number=3.4&amp;sourceID=14","3.4")</f>
        <v>3.4</v>
      </c>
      <c r="G3208" s="4" t="str">
        <f>HYPERLINK("http://141.218.60.56/~jnz1568/getInfo.php?workbook=16_08.xlsx&amp;sheet=U0&amp;row=3208&amp;col=7&amp;number=0.013&amp;sourceID=14","0.013")</f>
        <v>0.013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HYPERLINK("http://141.218.60.56/~jnz1568/getInfo.php?workbook=16_08.xlsx&amp;sheet=U0&amp;row=3209&amp;col=6&amp;number=3.5&amp;sourceID=14","3.5")</f>
        <v>3.5</v>
      </c>
      <c r="G3209" s="4" t="str">
        <f>HYPERLINK("http://141.218.60.56/~jnz1568/getInfo.php?workbook=16_08.xlsx&amp;sheet=U0&amp;row=3209&amp;col=7&amp;number=0.013&amp;sourceID=14","0.013")</f>
        <v>0.013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HYPERLINK("http://141.218.60.56/~jnz1568/getInfo.php?workbook=16_08.xlsx&amp;sheet=U0&amp;row=3210&amp;col=6&amp;number=3.6&amp;sourceID=14","3.6")</f>
        <v>3.6</v>
      </c>
      <c r="G3210" s="4" t="str">
        <f>HYPERLINK("http://141.218.60.56/~jnz1568/getInfo.php?workbook=16_08.xlsx&amp;sheet=U0&amp;row=3210&amp;col=7&amp;number=0.013&amp;sourceID=14","0.013")</f>
        <v>0.013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HYPERLINK("http://141.218.60.56/~jnz1568/getInfo.php?workbook=16_08.xlsx&amp;sheet=U0&amp;row=3211&amp;col=6&amp;number=3.7&amp;sourceID=14","3.7")</f>
        <v>3.7</v>
      </c>
      <c r="G3211" s="4" t="str">
        <f>HYPERLINK("http://141.218.60.56/~jnz1568/getInfo.php?workbook=16_08.xlsx&amp;sheet=U0&amp;row=3211&amp;col=7&amp;number=0.013&amp;sourceID=14","0.013")</f>
        <v>0.013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HYPERLINK("http://141.218.60.56/~jnz1568/getInfo.php?workbook=16_08.xlsx&amp;sheet=U0&amp;row=3212&amp;col=6&amp;number=3.8&amp;sourceID=14","3.8")</f>
        <v>3.8</v>
      </c>
      <c r="G3212" s="4" t="str">
        <f>HYPERLINK("http://141.218.60.56/~jnz1568/getInfo.php?workbook=16_08.xlsx&amp;sheet=U0&amp;row=3212&amp;col=7&amp;number=0.013&amp;sourceID=14","0.013")</f>
        <v>0.013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HYPERLINK("http://141.218.60.56/~jnz1568/getInfo.php?workbook=16_08.xlsx&amp;sheet=U0&amp;row=3213&amp;col=6&amp;number=3.9&amp;sourceID=14","3.9")</f>
        <v>3.9</v>
      </c>
      <c r="G3213" s="4" t="str">
        <f>HYPERLINK("http://141.218.60.56/~jnz1568/getInfo.php?workbook=16_08.xlsx&amp;sheet=U0&amp;row=3213&amp;col=7&amp;number=0.013&amp;sourceID=14","0.013")</f>
        <v>0.013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HYPERLINK("http://141.218.60.56/~jnz1568/getInfo.php?workbook=16_08.xlsx&amp;sheet=U0&amp;row=3214&amp;col=6&amp;number=4&amp;sourceID=14","4")</f>
        <v>4</v>
      </c>
      <c r="G3214" s="4" t="str">
        <f>HYPERLINK("http://141.218.60.56/~jnz1568/getInfo.php?workbook=16_08.xlsx&amp;sheet=U0&amp;row=3214&amp;col=7&amp;number=0.013&amp;sourceID=14","0.013")</f>
        <v>0.013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HYPERLINK("http://141.218.60.56/~jnz1568/getInfo.php?workbook=16_08.xlsx&amp;sheet=U0&amp;row=3215&amp;col=6&amp;number=4.1&amp;sourceID=14","4.1")</f>
        <v>4.1</v>
      </c>
      <c r="G3215" s="4" t="str">
        <f>HYPERLINK("http://141.218.60.56/~jnz1568/getInfo.php?workbook=16_08.xlsx&amp;sheet=U0&amp;row=3215&amp;col=7&amp;number=0.013&amp;sourceID=14","0.013")</f>
        <v>0.013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HYPERLINK("http://141.218.60.56/~jnz1568/getInfo.php?workbook=16_08.xlsx&amp;sheet=U0&amp;row=3216&amp;col=6&amp;number=4.2&amp;sourceID=14","4.2")</f>
        <v>4.2</v>
      </c>
      <c r="G3216" s="4" t="str">
        <f>HYPERLINK("http://141.218.60.56/~jnz1568/getInfo.php?workbook=16_08.xlsx&amp;sheet=U0&amp;row=3216&amp;col=7&amp;number=0.013&amp;sourceID=14","0.013")</f>
        <v>0.013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HYPERLINK("http://141.218.60.56/~jnz1568/getInfo.php?workbook=16_08.xlsx&amp;sheet=U0&amp;row=3217&amp;col=6&amp;number=4.3&amp;sourceID=14","4.3")</f>
        <v>4.3</v>
      </c>
      <c r="G3217" s="4" t="str">
        <f>HYPERLINK("http://141.218.60.56/~jnz1568/getInfo.php?workbook=16_08.xlsx&amp;sheet=U0&amp;row=3217&amp;col=7&amp;number=0.013&amp;sourceID=14","0.013")</f>
        <v>0.013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HYPERLINK("http://141.218.60.56/~jnz1568/getInfo.php?workbook=16_08.xlsx&amp;sheet=U0&amp;row=3218&amp;col=6&amp;number=4.4&amp;sourceID=14","4.4")</f>
        <v>4.4</v>
      </c>
      <c r="G3218" s="4" t="str">
        <f>HYPERLINK("http://141.218.60.56/~jnz1568/getInfo.php?workbook=16_08.xlsx&amp;sheet=U0&amp;row=3218&amp;col=7&amp;number=0.0131&amp;sourceID=14","0.0131")</f>
        <v>0.0131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HYPERLINK("http://141.218.60.56/~jnz1568/getInfo.php?workbook=16_08.xlsx&amp;sheet=U0&amp;row=3219&amp;col=6&amp;number=4.5&amp;sourceID=14","4.5")</f>
        <v>4.5</v>
      </c>
      <c r="G3219" s="4" t="str">
        <f>HYPERLINK("http://141.218.60.56/~jnz1568/getInfo.php?workbook=16_08.xlsx&amp;sheet=U0&amp;row=3219&amp;col=7&amp;number=0.0131&amp;sourceID=14","0.0131")</f>
        <v>0.0131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HYPERLINK("http://141.218.60.56/~jnz1568/getInfo.php?workbook=16_08.xlsx&amp;sheet=U0&amp;row=3220&amp;col=6&amp;number=4.6&amp;sourceID=14","4.6")</f>
        <v>4.6</v>
      </c>
      <c r="G3220" s="4" t="str">
        <f>HYPERLINK("http://141.218.60.56/~jnz1568/getInfo.php?workbook=16_08.xlsx&amp;sheet=U0&amp;row=3220&amp;col=7&amp;number=0.0131&amp;sourceID=14","0.0131")</f>
        <v>0.0131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HYPERLINK("http://141.218.60.56/~jnz1568/getInfo.php?workbook=16_08.xlsx&amp;sheet=U0&amp;row=3221&amp;col=6&amp;number=4.7&amp;sourceID=14","4.7")</f>
        <v>4.7</v>
      </c>
      <c r="G3221" s="4" t="str">
        <f>HYPERLINK("http://141.218.60.56/~jnz1568/getInfo.php?workbook=16_08.xlsx&amp;sheet=U0&amp;row=3221&amp;col=7&amp;number=0.0132&amp;sourceID=14","0.0132")</f>
        <v>0.0132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HYPERLINK("http://141.218.60.56/~jnz1568/getInfo.php?workbook=16_08.xlsx&amp;sheet=U0&amp;row=3222&amp;col=6&amp;number=4.8&amp;sourceID=14","4.8")</f>
        <v>4.8</v>
      </c>
      <c r="G3222" s="4" t="str">
        <f>HYPERLINK("http://141.218.60.56/~jnz1568/getInfo.php?workbook=16_08.xlsx&amp;sheet=U0&amp;row=3222&amp;col=7&amp;number=0.0133&amp;sourceID=14","0.0133")</f>
        <v>0.0133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HYPERLINK("http://141.218.60.56/~jnz1568/getInfo.php?workbook=16_08.xlsx&amp;sheet=U0&amp;row=3223&amp;col=6&amp;number=4.9&amp;sourceID=14","4.9")</f>
        <v>4.9</v>
      </c>
      <c r="G3223" s="4" t="str">
        <f>HYPERLINK("http://141.218.60.56/~jnz1568/getInfo.php?workbook=16_08.xlsx&amp;sheet=U0&amp;row=3223&amp;col=7&amp;number=0.0133&amp;sourceID=14","0.0133")</f>
        <v>0.0133</v>
      </c>
    </row>
    <row r="3224" spans="1:7">
      <c r="A3224" s="3">
        <v>16</v>
      </c>
      <c r="B3224" s="3">
        <v>8</v>
      </c>
      <c r="C3224" s="3">
        <v>2</v>
      </c>
      <c r="D3224" s="3">
        <v>79</v>
      </c>
      <c r="E3224" s="3">
        <v>1</v>
      </c>
      <c r="F3224" s="4" t="str">
        <f>HYPERLINK("http://141.218.60.56/~jnz1568/getInfo.php?workbook=16_08.xlsx&amp;sheet=U0&amp;row=3224&amp;col=6&amp;number=3&amp;sourceID=14","3")</f>
        <v>3</v>
      </c>
      <c r="G3224" s="4" t="str">
        <f>HYPERLINK("http://141.218.60.56/~jnz1568/getInfo.php?workbook=16_08.xlsx&amp;sheet=U0&amp;row=3224&amp;col=7&amp;number=0.0152&amp;sourceID=14","0.0152")</f>
        <v>0.0152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HYPERLINK("http://141.218.60.56/~jnz1568/getInfo.php?workbook=16_08.xlsx&amp;sheet=U0&amp;row=3225&amp;col=6&amp;number=3.1&amp;sourceID=14","3.1")</f>
        <v>3.1</v>
      </c>
      <c r="G3225" s="4" t="str">
        <f>HYPERLINK("http://141.218.60.56/~jnz1568/getInfo.php?workbook=16_08.xlsx&amp;sheet=U0&amp;row=3225&amp;col=7&amp;number=0.0152&amp;sourceID=14","0.0152")</f>
        <v>0.0152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HYPERLINK("http://141.218.60.56/~jnz1568/getInfo.php?workbook=16_08.xlsx&amp;sheet=U0&amp;row=3226&amp;col=6&amp;number=3.2&amp;sourceID=14","3.2")</f>
        <v>3.2</v>
      </c>
      <c r="G3226" s="4" t="str">
        <f>HYPERLINK("http://141.218.60.56/~jnz1568/getInfo.php?workbook=16_08.xlsx&amp;sheet=U0&amp;row=3226&amp;col=7&amp;number=0.0152&amp;sourceID=14","0.0152")</f>
        <v>0.0152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HYPERLINK("http://141.218.60.56/~jnz1568/getInfo.php?workbook=16_08.xlsx&amp;sheet=U0&amp;row=3227&amp;col=6&amp;number=3.3&amp;sourceID=14","3.3")</f>
        <v>3.3</v>
      </c>
      <c r="G3227" s="4" t="str">
        <f>HYPERLINK("http://141.218.60.56/~jnz1568/getInfo.php?workbook=16_08.xlsx&amp;sheet=U0&amp;row=3227&amp;col=7&amp;number=0.0152&amp;sourceID=14","0.0152")</f>
        <v>0.0152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HYPERLINK("http://141.218.60.56/~jnz1568/getInfo.php?workbook=16_08.xlsx&amp;sheet=U0&amp;row=3228&amp;col=6&amp;number=3.4&amp;sourceID=14","3.4")</f>
        <v>3.4</v>
      </c>
      <c r="G3228" s="4" t="str">
        <f>HYPERLINK("http://141.218.60.56/~jnz1568/getInfo.php?workbook=16_08.xlsx&amp;sheet=U0&amp;row=3228&amp;col=7&amp;number=0.0152&amp;sourceID=14","0.0152")</f>
        <v>0.0152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HYPERLINK("http://141.218.60.56/~jnz1568/getInfo.php?workbook=16_08.xlsx&amp;sheet=U0&amp;row=3229&amp;col=6&amp;number=3.5&amp;sourceID=14","3.5")</f>
        <v>3.5</v>
      </c>
      <c r="G3229" s="4" t="str">
        <f>HYPERLINK("http://141.218.60.56/~jnz1568/getInfo.php?workbook=16_08.xlsx&amp;sheet=U0&amp;row=3229&amp;col=7&amp;number=0.0152&amp;sourceID=14","0.0152")</f>
        <v>0.0152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HYPERLINK("http://141.218.60.56/~jnz1568/getInfo.php?workbook=16_08.xlsx&amp;sheet=U0&amp;row=3230&amp;col=6&amp;number=3.6&amp;sourceID=14","3.6")</f>
        <v>3.6</v>
      </c>
      <c r="G3230" s="4" t="str">
        <f>HYPERLINK("http://141.218.60.56/~jnz1568/getInfo.php?workbook=16_08.xlsx&amp;sheet=U0&amp;row=3230&amp;col=7&amp;number=0.0152&amp;sourceID=14","0.0152")</f>
        <v>0.0152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HYPERLINK("http://141.218.60.56/~jnz1568/getInfo.php?workbook=16_08.xlsx&amp;sheet=U0&amp;row=3231&amp;col=6&amp;number=3.7&amp;sourceID=14","3.7")</f>
        <v>3.7</v>
      </c>
      <c r="G3231" s="4" t="str">
        <f>HYPERLINK("http://141.218.60.56/~jnz1568/getInfo.php?workbook=16_08.xlsx&amp;sheet=U0&amp;row=3231&amp;col=7&amp;number=0.0152&amp;sourceID=14","0.0152")</f>
        <v>0.0152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HYPERLINK("http://141.218.60.56/~jnz1568/getInfo.php?workbook=16_08.xlsx&amp;sheet=U0&amp;row=3232&amp;col=6&amp;number=3.8&amp;sourceID=14","3.8")</f>
        <v>3.8</v>
      </c>
      <c r="G3232" s="4" t="str">
        <f>HYPERLINK("http://141.218.60.56/~jnz1568/getInfo.php?workbook=16_08.xlsx&amp;sheet=U0&amp;row=3232&amp;col=7&amp;number=0.0152&amp;sourceID=14","0.0152")</f>
        <v>0.0152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HYPERLINK("http://141.218.60.56/~jnz1568/getInfo.php?workbook=16_08.xlsx&amp;sheet=U0&amp;row=3233&amp;col=6&amp;number=3.9&amp;sourceID=14","3.9")</f>
        <v>3.9</v>
      </c>
      <c r="G3233" s="4" t="str">
        <f>HYPERLINK("http://141.218.60.56/~jnz1568/getInfo.php?workbook=16_08.xlsx&amp;sheet=U0&amp;row=3233&amp;col=7&amp;number=0.0153&amp;sourceID=14","0.0153")</f>
        <v>0.0153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HYPERLINK("http://141.218.60.56/~jnz1568/getInfo.php?workbook=16_08.xlsx&amp;sheet=U0&amp;row=3234&amp;col=6&amp;number=4&amp;sourceID=14","4")</f>
        <v>4</v>
      </c>
      <c r="G3234" s="4" t="str">
        <f>HYPERLINK("http://141.218.60.56/~jnz1568/getInfo.php?workbook=16_08.xlsx&amp;sheet=U0&amp;row=3234&amp;col=7&amp;number=0.0153&amp;sourceID=14","0.0153")</f>
        <v>0.0153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HYPERLINK("http://141.218.60.56/~jnz1568/getInfo.php?workbook=16_08.xlsx&amp;sheet=U0&amp;row=3235&amp;col=6&amp;number=4.1&amp;sourceID=14","4.1")</f>
        <v>4.1</v>
      </c>
      <c r="G3235" s="4" t="str">
        <f>HYPERLINK("http://141.218.60.56/~jnz1568/getInfo.php?workbook=16_08.xlsx&amp;sheet=U0&amp;row=3235&amp;col=7&amp;number=0.0153&amp;sourceID=14","0.0153")</f>
        <v>0.0153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HYPERLINK("http://141.218.60.56/~jnz1568/getInfo.php?workbook=16_08.xlsx&amp;sheet=U0&amp;row=3236&amp;col=6&amp;number=4.2&amp;sourceID=14","4.2")</f>
        <v>4.2</v>
      </c>
      <c r="G3236" s="4" t="str">
        <f>HYPERLINK("http://141.218.60.56/~jnz1568/getInfo.php?workbook=16_08.xlsx&amp;sheet=U0&amp;row=3236&amp;col=7&amp;number=0.0153&amp;sourceID=14","0.0153")</f>
        <v>0.0153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HYPERLINK("http://141.218.60.56/~jnz1568/getInfo.php?workbook=16_08.xlsx&amp;sheet=U0&amp;row=3237&amp;col=6&amp;number=4.3&amp;sourceID=14","4.3")</f>
        <v>4.3</v>
      </c>
      <c r="G3237" s="4" t="str">
        <f>HYPERLINK("http://141.218.60.56/~jnz1568/getInfo.php?workbook=16_08.xlsx&amp;sheet=U0&amp;row=3237&amp;col=7&amp;number=0.0153&amp;sourceID=14","0.0153")</f>
        <v>0.0153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HYPERLINK("http://141.218.60.56/~jnz1568/getInfo.php?workbook=16_08.xlsx&amp;sheet=U0&amp;row=3238&amp;col=6&amp;number=4.4&amp;sourceID=14","4.4")</f>
        <v>4.4</v>
      </c>
      <c r="G3238" s="4" t="str">
        <f>HYPERLINK("http://141.218.60.56/~jnz1568/getInfo.php?workbook=16_08.xlsx&amp;sheet=U0&amp;row=3238&amp;col=7&amp;number=0.0153&amp;sourceID=14","0.0153")</f>
        <v>0.0153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HYPERLINK("http://141.218.60.56/~jnz1568/getInfo.php?workbook=16_08.xlsx&amp;sheet=U0&amp;row=3239&amp;col=6&amp;number=4.5&amp;sourceID=14","4.5")</f>
        <v>4.5</v>
      </c>
      <c r="G3239" s="4" t="str">
        <f>HYPERLINK("http://141.218.60.56/~jnz1568/getInfo.php?workbook=16_08.xlsx&amp;sheet=U0&amp;row=3239&amp;col=7&amp;number=0.0153&amp;sourceID=14","0.0153")</f>
        <v>0.0153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HYPERLINK("http://141.218.60.56/~jnz1568/getInfo.php?workbook=16_08.xlsx&amp;sheet=U0&amp;row=3240&amp;col=6&amp;number=4.6&amp;sourceID=14","4.6")</f>
        <v>4.6</v>
      </c>
      <c r="G3240" s="4" t="str">
        <f>HYPERLINK("http://141.218.60.56/~jnz1568/getInfo.php?workbook=16_08.xlsx&amp;sheet=U0&amp;row=3240&amp;col=7&amp;number=0.0154&amp;sourceID=14","0.0154")</f>
        <v>0.0154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HYPERLINK("http://141.218.60.56/~jnz1568/getInfo.php?workbook=16_08.xlsx&amp;sheet=U0&amp;row=3241&amp;col=6&amp;number=4.7&amp;sourceID=14","4.7")</f>
        <v>4.7</v>
      </c>
      <c r="G3241" s="4" t="str">
        <f>HYPERLINK("http://141.218.60.56/~jnz1568/getInfo.php?workbook=16_08.xlsx&amp;sheet=U0&amp;row=3241&amp;col=7&amp;number=0.0154&amp;sourceID=14","0.0154")</f>
        <v>0.0154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HYPERLINK("http://141.218.60.56/~jnz1568/getInfo.php?workbook=16_08.xlsx&amp;sheet=U0&amp;row=3242&amp;col=6&amp;number=4.8&amp;sourceID=14","4.8")</f>
        <v>4.8</v>
      </c>
      <c r="G3242" s="4" t="str">
        <f>HYPERLINK("http://141.218.60.56/~jnz1568/getInfo.php?workbook=16_08.xlsx&amp;sheet=U0&amp;row=3242&amp;col=7&amp;number=0.0155&amp;sourceID=14","0.0155")</f>
        <v>0.0155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HYPERLINK("http://141.218.60.56/~jnz1568/getInfo.php?workbook=16_08.xlsx&amp;sheet=U0&amp;row=3243&amp;col=6&amp;number=4.9&amp;sourceID=14","4.9")</f>
        <v>4.9</v>
      </c>
      <c r="G3243" s="4" t="str">
        <f>HYPERLINK("http://141.218.60.56/~jnz1568/getInfo.php?workbook=16_08.xlsx&amp;sheet=U0&amp;row=3243&amp;col=7&amp;number=0.0155&amp;sourceID=14","0.0155")</f>
        <v>0.0155</v>
      </c>
    </row>
    <row r="3244" spans="1:7">
      <c r="A3244" s="3">
        <v>16</v>
      </c>
      <c r="B3244" s="3">
        <v>8</v>
      </c>
      <c r="C3244" s="3">
        <v>2</v>
      </c>
      <c r="D3244" s="3">
        <v>80</v>
      </c>
      <c r="E3244" s="3">
        <v>1</v>
      </c>
      <c r="F3244" s="4" t="str">
        <f>HYPERLINK("http://141.218.60.56/~jnz1568/getInfo.php?workbook=16_08.xlsx&amp;sheet=U0&amp;row=3244&amp;col=6&amp;number=3&amp;sourceID=14","3")</f>
        <v>3</v>
      </c>
      <c r="G3244" s="4" t="str">
        <f>HYPERLINK("http://141.218.60.56/~jnz1568/getInfo.php?workbook=16_08.xlsx&amp;sheet=U0&amp;row=3244&amp;col=7&amp;number=0.0102&amp;sourceID=14","0.0102")</f>
        <v>0.0102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HYPERLINK("http://141.218.60.56/~jnz1568/getInfo.php?workbook=16_08.xlsx&amp;sheet=U0&amp;row=3245&amp;col=6&amp;number=3.1&amp;sourceID=14","3.1")</f>
        <v>3.1</v>
      </c>
      <c r="G3245" s="4" t="str">
        <f>HYPERLINK("http://141.218.60.56/~jnz1568/getInfo.php?workbook=16_08.xlsx&amp;sheet=U0&amp;row=3245&amp;col=7&amp;number=0.0102&amp;sourceID=14","0.0102")</f>
        <v>0.0102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HYPERLINK("http://141.218.60.56/~jnz1568/getInfo.php?workbook=16_08.xlsx&amp;sheet=U0&amp;row=3246&amp;col=6&amp;number=3.2&amp;sourceID=14","3.2")</f>
        <v>3.2</v>
      </c>
      <c r="G3246" s="4" t="str">
        <f>HYPERLINK("http://141.218.60.56/~jnz1568/getInfo.php?workbook=16_08.xlsx&amp;sheet=U0&amp;row=3246&amp;col=7&amp;number=0.0102&amp;sourceID=14","0.0102")</f>
        <v>0.0102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HYPERLINK("http://141.218.60.56/~jnz1568/getInfo.php?workbook=16_08.xlsx&amp;sheet=U0&amp;row=3247&amp;col=6&amp;number=3.3&amp;sourceID=14","3.3")</f>
        <v>3.3</v>
      </c>
      <c r="G3247" s="4" t="str">
        <f>HYPERLINK("http://141.218.60.56/~jnz1568/getInfo.php?workbook=16_08.xlsx&amp;sheet=U0&amp;row=3247&amp;col=7&amp;number=0.0102&amp;sourceID=14","0.0102")</f>
        <v>0.0102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HYPERLINK("http://141.218.60.56/~jnz1568/getInfo.php?workbook=16_08.xlsx&amp;sheet=U0&amp;row=3248&amp;col=6&amp;number=3.4&amp;sourceID=14","3.4")</f>
        <v>3.4</v>
      </c>
      <c r="G3248" s="4" t="str">
        <f>HYPERLINK("http://141.218.60.56/~jnz1568/getInfo.php?workbook=16_08.xlsx&amp;sheet=U0&amp;row=3248&amp;col=7&amp;number=0.0102&amp;sourceID=14","0.0102")</f>
        <v>0.0102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HYPERLINK("http://141.218.60.56/~jnz1568/getInfo.php?workbook=16_08.xlsx&amp;sheet=U0&amp;row=3249&amp;col=6&amp;number=3.5&amp;sourceID=14","3.5")</f>
        <v>3.5</v>
      </c>
      <c r="G3249" s="4" t="str">
        <f>HYPERLINK("http://141.218.60.56/~jnz1568/getInfo.php?workbook=16_08.xlsx&amp;sheet=U0&amp;row=3249&amp;col=7&amp;number=0.0102&amp;sourceID=14","0.0102")</f>
        <v>0.0102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HYPERLINK("http://141.218.60.56/~jnz1568/getInfo.php?workbook=16_08.xlsx&amp;sheet=U0&amp;row=3250&amp;col=6&amp;number=3.6&amp;sourceID=14","3.6")</f>
        <v>3.6</v>
      </c>
      <c r="G3250" s="4" t="str">
        <f>HYPERLINK("http://141.218.60.56/~jnz1568/getInfo.php?workbook=16_08.xlsx&amp;sheet=U0&amp;row=3250&amp;col=7&amp;number=0.0102&amp;sourceID=14","0.0102")</f>
        <v>0.0102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HYPERLINK("http://141.218.60.56/~jnz1568/getInfo.php?workbook=16_08.xlsx&amp;sheet=U0&amp;row=3251&amp;col=6&amp;number=3.7&amp;sourceID=14","3.7")</f>
        <v>3.7</v>
      </c>
      <c r="G3251" s="4" t="str">
        <f>HYPERLINK("http://141.218.60.56/~jnz1568/getInfo.php?workbook=16_08.xlsx&amp;sheet=U0&amp;row=3251&amp;col=7&amp;number=0.0102&amp;sourceID=14","0.0102")</f>
        <v>0.0102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HYPERLINK("http://141.218.60.56/~jnz1568/getInfo.php?workbook=16_08.xlsx&amp;sheet=U0&amp;row=3252&amp;col=6&amp;number=3.8&amp;sourceID=14","3.8")</f>
        <v>3.8</v>
      </c>
      <c r="G3252" s="4" t="str">
        <f>HYPERLINK("http://141.218.60.56/~jnz1568/getInfo.php?workbook=16_08.xlsx&amp;sheet=U0&amp;row=3252&amp;col=7&amp;number=0.0102&amp;sourceID=14","0.0102")</f>
        <v>0.0102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HYPERLINK("http://141.218.60.56/~jnz1568/getInfo.php?workbook=16_08.xlsx&amp;sheet=U0&amp;row=3253&amp;col=6&amp;number=3.9&amp;sourceID=14","3.9")</f>
        <v>3.9</v>
      </c>
      <c r="G3253" s="4" t="str">
        <f>HYPERLINK("http://141.218.60.56/~jnz1568/getInfo.php?workbook=16_08.xlsx&amp;sheet=U0&amp;row=3253&amp;col=7&amp;number=0.0102&amp;sourceID=14","0.0102")</f>
        <v>0.0102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HYPERLINK("http://141.218.60.56/~jnz1568/getInfo.php?workbook=16_08.xlsx&amp;sheet=U0&amp;row=3254&amp;col=6&amp;number=4&amp;sourceID=14","4")</f>
        <v>4</v>
      </c>
      <c r="G3254" s="4" t="str">
        <f>HYPERLINK("http://141.218.60.56/~jnz1568/getInfo.php?workbook=16_08.xlsx&amp;sheet=U0&amp;row=3254&amp;col=7&amp;number=0.0102&amp;sourceID=14","0.0102")</f>
        <v>0.0102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HYPERLINK("http://141.218.60.56/~jnz1568/getInfo.php?workbook=16_08.xlsx&amp;sheet=U0&amp;row=3255&amp;col=6&amp;number=4.1&amp;sourceID=14","4.1")</f>
        <v>4.1</v>
      </c>
      <c r="G3255" s="4" t="str">
        <f>HYPERLINK("http://141.218.60.56/~jnz1568/getInfo.php?workbook=16_08.xlsx&amp;sheet=U0&amp;row=3255&amp;col=7&amp;number=0.0102&amp;sourceID=14","0.0102")</f>
        <v>0.0102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HYPERLINK("http://141.218.60.56/~jnz1568/getInfo.php?workbook=16_08.xlsx&amp;sheet=U0&amp;row=3256&amp;col=6&amp;number=4.2&amp;sourceID=14","4.2")</f>
        <v>4.2</v>
      </c>
      <c r="G3256" s="4" t="str">
        <f>HYPERLINK("http://141.218.60.56/~jnz1568/getInfo.php?workbook=16_08.xlsx&amp;sheet=U0&amp;row=3256&amp;col=7&amp;number=0.0102&amp;sourceID=14","0.0102")</f>
        <v>0.0102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HYPERLINK("http://141.218.60.56/~jnz1568/getInfo.php?workbook=16_08.xlsx&amp;sheet=U0&amp;row=3257&amp;col=6&amp;number=4.3&amp;sourceID=14","4.3")</f>
        <v>4.3</v>
      </c>
      <c r="G3257" s="4" t="str">
        <f>HYPERLINK("http://141.218.60.56/~jnz1568/getInfo.php?workbook=16_08.xlsx&amp;sheet=U0&amp;row=3257&amp;col=7&amp;number=0.0102&amp;sourceID=14","0.0102")</f>
        <v>0.0102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HYPERLINK("http://141.218.60.56/~jnz1568/getInfo.php?workbook=16_08.xlsx&amp;sheet=U0&amp;row=3258&amp;col=6&amp;number=4.4&amp;sourceID=14","4.4")</f>
        <v>4.4</v>
      </c>
      <c r="G3258" s="4" t="str">
        <f>HYPERLINK("http://141.218.60.56/~jnz1568/getInfo.php?workbook=16_08.xlsx&amp;sheet=U0&amp;row=3258&amp;col=7&amp;number=0.0102&amp;sourceID=14","0.0102")</f>
        <v>0.0102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HYPERLINK("http://141.218.60.56/~jnz1568/getInfo.php?workbook=16_08.xlsx&amp;sheet=U0&amp;row=3259&amp;col=6&amp;number=4.5&amp;sourceID=14","4.5")</f>
        <v>4.5</v>
      </c>
      <c r="G3259" s="4" t="str">
        <f>HYPERLINK("http://141.218.60.56/~jnz1568/getInfo.php?workbook=16_08.xlsx&amp;sheet=U0&amp;row=3259&amp;col=7&amp;number=0.0102&amp;sourceID=14","0.0102")</f>
        <v>0.0102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HYPERLINK("http://141.218.60.56/~jnz1568/getInfo.php?workbook=16_08.xlsx&amp;sheet=U0&amp;row=3260&amp;col=6&amp;number=4.6&amp;sourceID=14","4.6")</f>
        <v>4.6</v>
      </c>
      <c r="G3260" s="4" t="str">
        <f>HYPERLINK("http://141.218.60.56/~jnz1568/getInfo.php?workbook=16_08.xlsx&amp;sheet=U0&amp;row=3260&amp;col=7&amp;number=0.0102&amp;sourceID=14","0.0102")</f>
        <v>0.0102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HYPERLINK("http://141.218.60.56/~jnz1568/getInfo.php?workbook=16_08.xlsx&amp;sheet=U0&amp;row=3261&amp;col=6&amp;number=4.7&amp;sourceID=14","4.7")</f>
        <v>4.7</v>
      </c>
      <c r="G3261" s="4" t="str">
        <f>HYPERLINK("http://141.218.60.56/~jnz1568/getInfo.php?workbook=16_08.xlsx&amp;sheet=U0&amp;row=3261&amp;col=7&amp;number=0.0102&amp;sourceID=14","0.0102")</f>
        <v>0.0102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HYPERLINK("http://141.218.60.56/~jnz1568/getInfo.php?workbook=16_08.xlsx&amp;sheet=U0&amp;row=3262&amp;col=6&amp;number=4.8&amp;sourceID=14","4.8")</f>
        <v>4.8</v>
      </c>
      <c r="G3262" s="4" t="str">
        <f>HYPERLINK("http://141.218.60.56/~jnz1568/getInfo.php?workbook=16_08.xlsx&amp;sheet=U0&amp;row=3262&amp;col=7&amp;number=0.0102&amp;sourceID=14","0.0102")</f>
        <v>0.0102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HYPERLINK("http://141.218.60.56/~jnz1568/getInfo.php?workbook=16_08.xlsx&amp;sheet=U0&amp;row=3263&amp;col=6&amp;number=4.9&amp;sourceID=14","4.9")</f>
        <v>4.9</v>
      </c>
      <c r="G3263" s="4" t="str">
        <f>HYPERLINK("http://141.218.60.56/~jnz1568/getInfo.php?workbook=16_08.xlsx&amp;sheet=U0&amp;row=3263&amp;col=7&amp;number=0.0102&amp;sourceID=14","0.0102")</f>
        <v>0.0102</v>
      </c>
    </row>
    <row r="3264" spans="1:7">
      <c r="A3264" s="3">
        <v>16</v>
      </c>
      <c r="B3264" s="3">
        <v>8</v>
      </c>
      <c r="C3264" s="3">
        <v>2</v>
      </c>
      <c r="D3264" s="3">
        <v>81</v>
      </c>
      <c r="E3264" s="3">
        <v>1</v>
      </c>
      <c r="F3264" s="4" t="str">
        <f>HYPERLINK("http://141.218.60.56/~jnz1568/getInfo.php?workbook=16_08.xlsx&amp;sheet=U0&amp;row=3264&amp;col=6&amp;number=3&amp;sourceID=14","3")</f>
        <v>3</v>
      </c>
      <c r="G3264" s="4" t="str">
        <f>HYPERLINK("http://141.218.60.56/~jnz1568/getInfo.php?workbook=16_08.xlsx&amp;sheet=U0&amp;row=3264&amp;col=7&amp;number=0.0749&amp;sourceID=14","0.0749")</f>
        <v>0.0749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HYPERLINK("http://141.218.60.56/~jnz1568/getInfo.php?workbook=16_08.xlsx&amp;sheet=U0&amp;row=3265&amp;col=6&amp;number=3.1&amp;sourceID=14","3.1")</f>
        <v>3.1</v>
      </c>
      <c r="G3265" s="4" t="str">
        <f>HYPERLINK("http://141.218.60.56/~jnz1568/getInfo.php?workbook=16_08.xlsx&amp;sheet=U0&amp;row=3265&amp;col=7&amp;number=0.0749&amp;sourceID=14","0.0749")</f>
        <v>0.0749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HYPERLINK("http://141.218.60.56/~jnz1568/getInfo.php?workbook=16_08.xlsx&amp;sheet=U0&amp;row=3266&amp;col=6&amp;number=3.2&amp;sourceID=14","3.2")</f>
        <v>3.2</v>
      </c>
      <c r="G3266" s="4" t="str">
        <f>HYPERLINK("http://141.218.60.56/~jnz1568/getInfo.php?workbook=16_08.xlsx&amp;sheet=U0&amp;row=3266&amp;col=7&amp;number=0.0749&amp;sourceID=14","0.0749")</f>
        <v>0.0749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HYPERLINK("http://141.218.60.56/~jnz1568/getInfo.php?workbook=16_08.xlsx&amp;sheet=U0&amp;row=3267&amp;col=6&amp;number=3.3&amp;sourceID=14","3.3")</f>
        <v>3.3</v>
      </c>
      <c r="G3267" s="4" t="str">
        <f>HYPERLINK("http://141.218.60.56/~jnz1568/getInfo.php?workbook=16_08.xlsx&amp;sheet=U0&amp;row=3267&amp;col=7&amp;number=0.0749&amp;sourceID=14","0.0749")</f>
        <v>0.0749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HYPERLINK("http://141.218.60.56/~jnz1568/getInfo.php?workbook=16_08.xlsx&amp;sheet=U0&amp;row=3268&amp;col=6&amp;number=3.4&amp;sourceID=14","3.4")</f>
        <v>3.4</v>
      </c>
      <c r="G3268" s="4" t="str">
        <f>HYPERLINK("http://141.218.60.56/~jnz1568/getInfo.php?workbook=16_08.xlsx&amp;sheet=U0&amp;row=3268&amp;col=7&amp;number=0.075&amp;sourceID=14","0.075")</f>
        <v>0.075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HYPERLINK("http://141.218.60.56/~jnz1568/getInfo.php?workbook=16_08.xlsx&amp;sheet=U0&amp;row=3269&amp;col=6&amp;number=3.5&amp;sourceID=14","3.5")</f>
        <v>3.5</v>
      </c>
      <c r="G3269" s="4" t="str">
        <f>HYPERLINK("http://141.218.60.56/~jnz1568/getInfo.php?workbook=16_08.xlsx&amp;sheet=U0&amp;row=3269&amp;col=7&amp;number=0.075&amp;sourceID=14","0.075")</f>
        <v>0.075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HYPERLINK("http://141.218.60.56/~jnz1568/getInfo.php?workbook=16_08.xlsx&amp;sheet=U0&amp;row=3270&amp;col=6&amp;number=3.6&amp;sourceID=14","3.6")</f>
        <v>3.6</v>
      </c>
      <c r="G3270" s="4" t="str">
        <f>HYPERLINK("http://141.218.60.56/~jnz1568/getInfo.php?workbook=16_08.xlsx&amp;sheet=U0&amp;row=3270&amp;col=7&amp;number=0.075&amp;sourceID=14","0.075")</f>
        <v>0.075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HYPERLINK("http://141.218.60.56/~jnz1568/getInfo.php?workbook=16_08.xlsx&amp;sheet=U0&amp;row=3271&amp;col=6&amp;number=3.7&amp;sourceID=14","3.7")</f>
        <v>3.7</v>
      </c>
      <c r="G3271" s="4" t="str">
        <f>HYPERLINK("http://141.218.60.56/~jnz1568/getInfo.php?workbook=16_08.xlsx&amp;sheet=U0&amp;row=3271&amp;col=7&amp;number=0.075&amp;sourceID=14","0.075")</f>
        <v>0.075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HYPERLINK("http://141.218.60.56/~jnz1568/getInfo.php?workbook=16_08.xlsx&amp;sheet=U0&amp;row=3272&amp;col=6&amp;number=3.8&amp;sourceID=14","3.8")</f>
        <v>3.8</v>
      </c>
      <c r="G3272" s="4" t="str">
        <f>HYPERLINK("http://141.218.60.56/~jnz1568/getInfo.php?workbook=16_08.xlsx&amp;sheet=U0&amp;row=3272&amp;col=7&amp;number=0.0751&amp;sourceID=14","0.0751")</f>
        <v>0.0751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HYPERLINK("http://141.218.60.56/~jnz1568/getInfo.php?workbook=16_08.xlsx&amp;sheet=U0&amp;row=3273&amp;col=6&amp;number=3.9&amp;sourceID=14","3.9")</f>
        <v>3.9</v>
      </c>
      <c r="G3273" s="4" t="str">
        <f>HYPERLINK("http://141.218.60.56/~jnz1568/getInfo.php?workbook=16_08.xlsx&amp;sheet=U0&amp;row=3273&amp;col=7&amp;number=0.0751&amp;sourceID=14","0.0751")</f>
        <v>0.0751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HYPERLINK("http://141.218.60.56/~jnz1568/getInfo.php?workbook=16_08.xlsx&amp;sheet=U0&amp;row=3274&amp;col=6&amp;number=4&amp;sourceID=14","4")</f>
        <v>4</v>
      </c>
      <c r="G3274" s="4" t="str">
        <f>HYPERLINK("http://141.218.60.56/~jnz1568/getInfo.php?workbook=16_08.xlsx&amp;sheet=U0&amp;row=3274&amp;col=7&amp;number=0.0752&amp;sourceID=14","0.0752")</f>
        <v>0.0752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HYPERLINK("http://141.218.60.56/~jnz1568/getInfo.php?workbook=16_08.xlsx&amp;sheet=U0&amp;row=3275&amp;col=6&amp;number=4.1&amp;sourceID=14","4.1")</f>
        <v>4.1</v>
      </c>
      <c r="G3275" s="4" t="str">
        <f>HYPERLINK("http://141.218.60.56/~jnz1568/getInfo.php?workbook=16_08.xlsx&amp;sheet=U0&amp;row=3275&amp;col=7&amp;number=0.0753&amp;sourceID=14","0.0753")</f>
        <v>0.0753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HYPERLINK("http://141.218.60.56/~jnz1568/getInfo.php?workbook=16_08.xlsx&amp;sheet=U0&amp;row=3276&amp;col=6&amp;number=4.2&amp;sourceID=14","4.2")</f>
        <v>4.2</v>
      </c>
      <c r="G3276" s="4" t="str">
        <f>HYPERLINK("http://141.218.60.56/~jnz1568/getInfo.php?workbook=16_08.xlsx&amp;sheet=U0&amp;row=3276&amp;col=7&amp;number=0.0754&amp;sourceID=14","0.0754")</f>
        <v>0.0754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HYPERLINK("http://141.218.60.56/~jnz1568/getInfo.php?workbook=16_08.xlsx&amp;sheet=U0&amp;row=3277&amp;col=6&amp;number=4.3&amp;sourceID=14","4.3")</f>
        <v>4.3</v>
      </c>
      <c r="G3277" s="4" t="str">
        <f>HYPERLINK("http://141.218.60.56/~jnz1568/getInfo.php?workbook=16_08.xlsx&amp;sheet=U0&amp;row=3277&amp;col=7&amp;number=0.0755&amp;sourceID=14","0.0755")</f>
        <v>0.0755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HYPERLINK("http://141.218.60.56/~jnz1568/getInfo.php?workbook=16_08.xlsx&amp;sheet=U0&amp;row=3278&amp;col=6&amp;number=4.4&amp;sourceID=14","4.4")</f>
        <v>4.4</v>
      </c>
      <c r="G3278" s="4" t="str">
        <f>HYPERLINK("http://141.218.60.56/~jnz1568/getInfo.php?workbook=16_08.xlsx&amp;sheet=U0&amp;row=3278&amp;col=7&amp;number=0.0757&amp;sourceID=14","0.0757")</f>
        <v>0.0757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HYPERLINK("http://141.218.60.56/~jnz1568/getInfo.php?workbook=16_08.xlsx&amp;sheet=U0&amp;row=3279&amp;col=6&amp;number=4.5&amp;sourceID=14","4.5")</f>
        <v>4.5</v>
      </c>
      <c r="G3279" s="4" t="str">
        <f>HYPERLINK("http://141.218.60.56/~jnz1568/getInfo.php?workbook=16_08.xlsx&amp;sheet=U0&amp;row=3279&amp;col=7&amp;number=0.0759&amp;sourceID=14","0.0759")</f>
        <v>0.0759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HYPERLINK("http://141.218.60.56/~jnz1568/getInfo.php?workbook=16_08.xlsx&amp;sheet=U0&amp;row=3280&amp;col=6&amp;number=4.6&amp;sourceID=14","4.6")</f>
        <v>4.6</v>
      </c>
      <c r="G3280" s="4" t="str">
        <f>HYPERLINK("http://141.218.60.56/~jnz1568/getInfo.php?workbook=16_08.xlsx&amp;sheet=U0&amp;row=3280&amp;col=7&amp;number=0.0761&amp;sourceID=14","0.0761")</f>
        <v>0.0761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HYPERLINK("http://141.218.60.56/~jnz1568/getInfo.php?workbook=16_08.xlsx&amp;sheet=U0&amp;row=3281&amp;col=6&amp;number=4.7&amp;sourceID=14","4.7")</f>
        <v>4.7</v>
      </c>
      <c r="G3281" s="4" t="str">
        <f>HYPERLINK("http://141.218.60.56/~jnz1568/getInfo.php?workbook=16_08.xlsx&amp;sheet=U0&amp;row=3281&amp;col=7&amp;number=0.0764&amp;sourceID=14","0.0764")</f>
        <v>0.0764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HYPERLINK("http://141.218.60.56/~jnz1568/getInfo.php?workbook=16_08.xlsx&amp;sheet=U0&amp;row=3282&amp;col=6&amp;number=4.8&amp;sourceID=14","4.8")</f>
        <v>4.8</v>
      </c>
      <c r="G3282" s="4" t="str">
        <f>HYPERLINK("http://141.218.60.56/~jnz1568/getInfo.php?workbook=16_08.xlsx&amp;sheet=U0&amp;row=3282&amp;col=7&amp;number=0.0768&amp;sourceID=14","0.0768")</f>
        <v>0.0768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HYPERLINK("http://141.218.60.56/~jnz1568/getInfo.php?workbook=16_08.xlsx&amp;sheet=U0&amp;row=3283&amp;col=6&amp;number=4.9&amp;sourceID=14","4.9")</f>
        <v>4.9</v>
      </c>
      <c r="G3283" s="4" t="str">
        <f>HYPERLINK("http://141.218.60.56/~jnz1568/getInfo.php?workbook=16_08.xlsx&amp;sheet=U0&amp;row=3283&amp;col=7&amp;number=0.0773&amp;sourceID=14","0.0773")</f>
        <v>0.0773</v>
      </c>
    </row>
    <row r="3284" spans="1:7">
      <c r="A3284" s="3">
        <v>16</v>
      </c>
      <c r="B3284" s="3">
        <v>8</v>
      </c>
      <c r="C3284" s="3">
        <v>2</v>
      </c>
      <c r="D3284" s="3">
        <v>82</v>
      </c>
      <c r="E3284" s="3">
        <v>1</v>
      </c>
      <c r="F3284" s="4" t="str">
        <f>HYPERLINK("http://141.218.60.56/~jnz1568/getInfo.php?workbook=16_08.xlsx&amp;sheet=U0&amp;row=3284&amp;col=6&amp;number=3&amp;sourceID=14","3")</f>
        <v>3</v>
      </c>
      <c r="G3284" s="4" t="str">
        <f>HYPERLINK("http://141.218.60.56/~jnz1568/getInfo.php?workbook=16_08.xlsx&amp;sheet=U0&amp;row=3284&amp;col=7&amp;number=0.00936&amp;sourceID=14","0.00936")</f>
        <v>0.00936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HYPERLINK("http://141.218.60.56/~jnz1568/getInfo.php?workbook=16_08.xlsx&amp;sheet=U0&amp;row=3285&amp;col=6&amp;number=3.1&amp;sourceID=14","3.1")</f>
        <v>3.1</v>
      </c>
      <c r="G3285" s="4" t="str">
        <f>HYPERLINK("http://141.218.60.56/~jnz1568/getInfo.php?workbook=16_08.xlsx&amp;sheet=U0&amp;row=3285&amp;col=7&amp;number=0.00936&amp;sourceID=14","0.00936")</f>
        <v>0.00936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HYPERLINK("http://141.218.60.56/~jnz1568/getInfo.php?workbook=16_08.xlsx&amp;sheet=U0&amp;row=3286&amp;col=6&amp;number=3.2&amp;sourceID=14","3.2")</f>
        <v>3.2</v>
      </c>
      <c r="G3286" s="4" t="str">
        <f>HYPERLINK("http://141.218.60.56/~jnz1568/getInfo.php?workbook=16_08.xlsx&amp;sheet=U0&amp;row=3286&amp;col=7&amp;number=0.00935&amp;sourceID=14","0.00935")</f>
        <v>0.00935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HYPERLINK("http://141.218.60.56/~jnz1568/getInfo.php?workbook=16_08.xlsx&amp;sheet=U0&amp;row=3287&amp;col=6&amp;number=3.3&amp;sourceID=14","3.3")</f>
        <v>3.3</v>
      </c>
      <c r="G3287" s="4" t="str">
        <f>HYPERLINK("http://141.218.60.56/~jnz1568/getInfo.php?workbook=16_08.xlsx&amp;sheet=U0&amp;row=3287&amp;col=7&amp;number=0.00935&amp;sourceID=14","0.00935")</f>
        <v>0.00935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HYPERLINK("http://141.218.60.56/~jnz1568/getInfo.php?workbook=16_08.xlsx&amp;sheet=U0&amp;row=3288&amp;col=6&amp;number=3.4&amp;sourceID=14","3.4")</f>
        <v>3.4</v>
      </c>
      <c r="G3288" s="4" t="str">
        <f>HYPERLINK("http://141.218.60.56/~jnz1568/getInfo.php?workbook=16_08.xlsx&amp;sheet=U0&amp;row=3288&amp;col=7&amp;number=0.00935&amp;sourceID=14","0.00935")</f>
        <v>0.00935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HYPERLINK("http://141.218.60.56/~jnz1568/getInfo.php?workbook=16_08.xlsx&amp;sheet=U0&amp;row=3289&amp;col=6&amp;number=3.5&amp;sourceID=14","3.5")</f>
        <v>3.5</v>
      </c>
      <c r="G3289" s="4" t="str">
        <f>HYPERLINK("http://141.218.60.56/~jnz1568/getInfo.php?workbook=16_08.xlsx&amp;sheet=U0&amp;row=3289&amp;col=7&amp;number=0.00935&amp;sourceID=14","0.00935")</f>
        <v>0.00935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HYPERLINK("http://141.218.60.56/~jnz1568/getInfo.php?workbook=16_08.xlsx&amp;sheet=U0&amp;row=3290&amp;col=6&amp;number=3.6&amp;sourceID=14","3.6")</f>
        <v>3.6</v>
      </c>
      <c r="G3290" s="4" t="str">
        <f>HYPERLINK("http://141.218.60.56/~jnz1568/getInfo.php?workbook=16_08.xlsx&amp;sheet=U0&amp;row=3290&amp;col=7&amp;number=0.00935&amp;sourceID=14","0.00935")</f>
        <v>0.00935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HYPERLINK("http://141.218.60.56/~jnz1568/getInfo.php?workbook=16_08.xlsx&amp;sheet=U0&amp;row=3291&amp;col=6&amp;number=3.7&amp;sourceID=14","3.7")</f>
        <v>3.7</v>
      </c>
      <c r="G3291" s="4" t="str">
        <f>HYPERLINK("http://141.218.60.56/~jnz1568/getInfo.php?workbook=16_08.xlsx&amp;sheet=U0&amp;row=3291&amp;col=7&amp;number=0.00935&amp;sourceID=14","0.00935")</f>
        <v>0.00935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HYPERLINK("http://141.218.60.56/~jnz1568/getInfo.php?workbook=16_08.xlsx&amp;sheet=U0&amp;row=3292&amp;col=6&amp;number=3.8&amp;sourceID=14","3.8")</f>
        <v>3.8</v>
      </c>
      <c r="G3292" s="4" t="str">
        <f>HYPERLINK("http://141.218.60.56/~jnz1568/getInfo.php?workbook=16_08.xlsx&amp;sheet=U0&amp;row=3292&amp;col=7&amp;number=0.00934&amp;sourceID=14","0.00934")</f>
        <v>0.00934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HYPERLINK("http://141.218.60.56/~jnz1568/getInfo.php?workbook=16_08.xlsx&amp;sheet=U0&amp;row=3293&amp;col=6&amp;number=3.9&amp;sourceID=14","3.9")</f>
        <v>3.9</v>
      </c>
      <c r="G3293" s="4" t="str">
        <f>HYPERLINK("http://141.218.60.56/~jnz1568/getInfo.php?workbook=16_08.xlsx&amp;sheet=U0&amp;row=3293&amp;col=7&amp;number=0.00934&amp;sourceID=14","0.00934")</f>
        <v>0.00934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HYPERLINK("http://141.218.60.56/~jnz1568/getInfo.php?workbook=16_08.xlsx&amp;sheet=U0&amp;row=3294&amp;col=6&amp;number=4&amp;sourceID=14","4")</f>
        <v>4</v>
      </c>
      <c r="G3294" s="4" t="str">
        <f>HYPERLINK("http://141.218.60.56/~jnz1568/getInfo.php?workbook=16_08.xlsx&amp;sheet=U0&amp;row=3294&amp;col=7&amp;number=0.00934&amp;sourceID=14","0.00934")</f>
        <v>0.00934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HYPERLINK("http://141.218.60.56/~jnz1568/getInfo.php?workbook=16_08.xlsx&amp;sheet=U0&amp;row=3295&amp;col=6&amp;number=4.1&amp;sourceID=14","4.1")</f>
        <v>4.1</v>
      </c>
      <c r="G3295" s="4" t="str">
        <f>HYPERLINK("http://141.218.60.56/~jnz1568/getInfo.php?workbook=16_08.xlsx&amp;sheet=U0&amp;row=3295&amp;col=7&amp;number=0.00933&amp;sourceID=14","0.00933")</f>
        <v>0.00933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HYPERLINK("http://141.218.60.56/~jnz1568/getInfo.php?workbook=16_08.xlsx&amp;sheet=U0&amp;row=3296&amp;col=6&amp;number=4.2&amp;sourceID=14","4.2")</f>
        <v>4.2</v>
      </c>
      <c r="G3296" s="4" t="str">
        <f>HYPERLINK("http://141.218.60.56/~jnz1568/getInfo.php?workbook=16_08.xlsx&amp;sheet=U0&amp;row=3296&amp;col=7&amp;number=0.00933&amp;sourceID=14","0.00933")</f>
        <v>0.00933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HYPERLINK("http://141.218.60.56/~jnz1568/getInfo.php?workbook=16_08.xlsx&amp;sheet=U0&amp;row=3297&amp;col=6&amp;number=4.3&amp;sourceID=14","4.3")</f>
        <v>4.3</v>
      </c>
      <c r="G3297" s="4" t="str">
        <f>HYPERLINK("http://141.218.60.56/~jnz1568/getInfo.php?workbook=16_08.xlsx&amp;sheet=U0&amp;row=3297&amp;col=7&amp;number=0.00932&amp;sourceID=14","0.00932")</f>
        <v>0.00932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HYPERLINK("http://141.218.60.56/~jnz1568/getInfo.php?workbook=16_08.xlsx&amp;sheet=U0&amp;row=3298&amp;col=6&amp;number=4.4&amp;sourceID=14","4.4")</f>
        <v>4.4</v>
      </c>
      <c r="G3298" s="4" t="str">
        <f>HYPERLINK("http://141.218.60.56/~jnz1568/getInfo.php?workbook=16_08.xlsx&amp;sheet=U0&amp;row=3298&amp;col=7&amp;number=0.00931&amp;sourceID=14","0.00931")</f>
        <v>0.00931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HYPERLINK("http://141.218.60.56/~jnz1568/getInfo.php?workbook=16_08.xlsx&amp;sheet=U0&amp;row=3299&amp;col=6&amp;number=4.5&amp;sourceID=14","4.5")</f>
        <v>4.5</v>
      </c>
      <c r="G3299" s="4" t="str">
        <f>HYPERLINK("http://141.218.60.56/~jnz1568/getInfo.php?workbook=16_08.xlsx&amp;sheet=U0&amp;row=3299&amp;col=7&amp;number=0.00929&amp;sourceID=14","0.00929")</f>
        <v>0.00929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HYPERLINK("http://141.218.60.56/~jnz1568/getInfo.php?workbook=16_08.xlsx&amp;sheet=U0&amp;row=3300&amp;col=6&amp;number=4.6&amp;sourceID=14","4.6")</f>
        <v>4.6</v>
      </c>
      <c r="G3300" s="4" t="str">
        <f>HYPERLINK("http://141.218.60.56/~jnz1568/getInfo.php?workbook=16_08.xlsx&amp;sheet=U0&amp;row=3300&amp;col=7&amp;number=0.00928&amp;sourceID=14","0.00928")</f>
        <v>0.00928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HYPERLINK("http://141.218.60.56/~jnz1568/getInfo.php?workbook=16_08.xlsx&amp;sheet=U0&amp;row=3301&amp;col=6&amp;number=4.7&amp;sourceID=14","4.7")</f>
        <v>4.7</v>
      </c>
      <c r="G3301" s="4" t="str">
        <f>HYPERLINK("http://141.218.60.56/~jnz1568/getInfo.php?workbook=16_08.xlsx&amp;sheet=U0&amp;row=3301&amp;col=7&amp;number=0.00925&amp;sourceID=14","0.00925")</f>
        <v>0.00925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HYPERLINK("http://141.218.60.56/~jnz1568/getInfo.php?workbook=16_08.xlsx&amp;sheet=U0&amp;row=3302&amp;col=6&amp;number=4.8&amp;sourceID=14","4.8")</f>
        <v>4.8</v>
      </c>
      <c r="G3302" s="4" t="str">
        <f>HYPERLINK("http://141.218.60.56/~jnz1568/getInfo.php?workbook=16_08.xlsx&amp;sheet=U0&amp;row=3302&amp;col=7&amp;number=0.00923&amp;sourceID=14","0.00923")</f>
        <v>0.00923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HYPERLINK("http://141.218.60.56/~jnz1568/getInfo.php?workbook=16_08.xlsx&amp;sheet=U0&amp;row=3303&amp;col=6&amp;number=4.9&amp;sourceID=14","4.9")</f>
        <v>4.9</v>
      </c>
      <c r="G3303" s="4" t="str">
        <f>HYPERLINK("http://141.218.60.56/~jnz1568/getInfo.php?workbook=16_08.xlsx&amp;sheet=U0&amp;row=3303&amp;col=7&amp;number=0.0092&amp;sourceID=14","0.0092")</f>
        <v>0.0092</v>
      </c>
    </row>
    <row r="3304" spans="1:7">
      <c r="A3304" s="3">
        <v>16</v>
      </c>
      <c r="B3304" s="3">
        <v>8</v>
      </c>
      <c r="C3304" s="3">
        <v>2</v>
      </c>
      <c r="D3304" s="3">
        <v>83</v>
      </c>
      <c r="E3304" s="3">
        <v>1</v>
      </c>
      <c r="F3304" s="4" t="str">
        <f>HYPERLINK("http://141.218.60.56/~jnz1568/getInfo.php?workbook=16_08.xlsx&amp;sheet=U0&amp;row=3304&amp;col=6&amp;number=3&amp;sourceID=14","3")</f>
        <v>3</v>
      </c>
      <c r="G3304" s="4" t="str">
        <f>HYPERLINK("http://141.218.60.56/~jnz1568/getInfo.php?workbook=16_08.xlsx&amp;sheet=U0&amp;row=3304&amp;col=7&amp;number=0.0384&amp;sourceID=14","0.0384")</f>
        <v>0.0384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HYPERLINK("http://141.218.60.56/~jnz1568/getInfo.php?workbook=16_08.xlsx&amp;sheet=U0&amp;row=3305&amp;col=6&amp;number=3.1&amp;sourceID=14","3.1")</f>
        <v>3.1</v>
      </c>
      <c r="G3305" s="4" t="str">
        <f>HYPERLINK("http://141.218.60.56/~jnz1568/getInfo.php?workbook=16_08.xlsx&amp;sheet=U0&amp;row=3305&amp;col=7&amp;number=0.0384&amp;sourceID=14","0.0384")</f>
        <v>0.0384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HYPERLINK("http://141.218.60.56/~jnz1568/getInfo.php?workbook=16_08.xlsx&amp;sheet=U0&amp;row=3306&amp;col=6&amp;number=3.2&amp;sourceID=14","3.2")</f>
        <v>3.2</v>
      </c>
      <c r="G3306" s="4" t="str">
        <f>HYPERLINK("http://141.218.60.56/~jnz1568/getInfo.php?workbook=16_08.xlsx&amp;sheet=U0&amp;row=3306&amp;col=7&amp;number=0.0384&amp;sourceID=14","0.0384")</f>
        <v>0.0384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HYPERLINK("http://141.218.60.56/~jnz1568/getInfo.php?workbook=16_08.xlsx&amp;sheet=U0&amp;row=3307&amp;col=6&amp;number=3.3&amp;sourceID=14","3.3")</f>
        <v>3.3</v>
      </c>
      <c r="G3307" s="4" t="str">
        <f>HYPERLINK("http://141.218.60.56/~jnz1568/getInfo.php?workbook=16_08.xlsx&amp;sheet=U0&amp;row=3307&amp;col=7&amp;number=0.0384&amp;sourceID=14","0.0384")</f>
        <v>0.0384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HYPERLINK("http://141.218.60.56/~jnz1568/getInfo.php?workbook=16_08.xlsx&amp;sheet=U0&amp;row=3308&amp;col=6&amp;number=3.4&amp;sourceID=14","3.4")</f>
        <v>3.4</v>
      </c>
      <c r="G3308" s="4" t="str">
        <f>HYPERLINK("http://141.218.60.56/~jnz1568/getInfo.php?workbook=16_08.xlsx&amp;sheet=U0&amp;row=3308&amp;col=7&amp;number=0.0384&amp;sourceID=14","0.0384")</f>
        <v>0.0384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HYPERLINK("http://141.218.60.56/~jnz1568/getInfo.php?workbook=16_08.xlsx&amp;sheet=U0&amp;row=3309&amp;col=6&amp;number=3.5&amp;sourceID=14","3.5")</f>
        <v>3.5</v>
      </c>
      <c r="G3309" s="4" t="str">
        <f>HYPERLINK("http://141.218.60.56/~jnz1568/getInfo.php?workbook=16_08.xlsx&amp;sheet=U0&amp;row=3309&amp;col=7&amp;number=0.0384&amp;sourceID=14","0.0384")</f>
        <v>0.0384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HYPERLINK("http://141.218.60.56/~jnz1568/getInfo.php?workbook=16_08.xlsx&amp;sheet=U0&amp;row=3310&amp;col=6&amp;number=3.6&amp;sourceID=14","3.6")</f>
        <v>3.6</v>
      </c>
      <c r="G3310" s="4" t="str">
        <f>HYPERLINK("http://141.218.60.56/~jnz1568/getInfo.php?workbook=16_08.xlsx&amp;sheet=U0&amp;row=3310&amp;col=7&amp;number=0.0384&amp;sourceID=14","0.0384")</f>
        <v>0.0384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HYPERLINK("http://141.218.60.56/~jnz1568/getInfo.php?workbook=16_08.xlsx&amp;sheet=U0&amp;row=3311&amp;col=6&amp;number=3.7&amp;sourceID=14","3.7")</f>
        <v>3.7</v>
      </c>
      <c r="G3311" s="4" t="str">
        <f>HYPERLINK("http://141.218.60.56/~jnz1568/getInfo.php?workbook=16_08.xlsx&amp;sheet=U0&amp;row=3311&amp;col=7&amp;number=0.0384&amp;sourceID=14","0.0384")</f>
        <v>0.0384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HYPERLINK("http://141.218.60.56/~jnz1568/getInfo.php?workbook=16_08.xlsx&amp;sheet=U0&amp;row=3312&amp;col=6&amp;number=3.8&amp;sourceID=14","3.8")</f>
        <v>3.8</v>
      </c>
      <c r="G3312" s="4" t="str">
        <f>HYPERLINK("http://141.218.60.56/~jnz1568/getInfo.php?workbook=16_08.xlsx&amp;sheet=U0&amp;row=3312&amp;col=7&amp;number=0.0385&amp;sourceID=14","0.0385")</f>
        <v>0.0385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HYPERLINK("http://141.218.60.56/~jnz1568/getInfo.php?workbook=16_08.xlsx&amp;sheet=U0&amp;row=3313&amp;col=6&amp;number=3.9&amp;sourceID=14","3.9")</f>
        <v>3.9</v>
      </c>
      <c r="G3313" s="4" t="str">
        <f>HYPERLINK("http://141.218.60.56/~jnz1568/getInfo.php?workbook=16_08.xlsx&amp;sheet=U0&amp;row=3313&amp;col=7&amp;number=0.0385&amp;sourceID=14","0.0385")</f>
        <v>0.0385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HYPERLINK("http://141.218.60.56/~jnz1568/getInfo.php?workbook=16_08.xlsx&amp;sheet=U0&amp;row=3314&amp;col=6&amp;number=4&amp;sourceID=14","4")</f>
        <v>4</v>
      </c>
      <c r="G3314" s="4" t="str">
        <f>HYPERLINK("http://141.218.60.56/~jnz1568/getInfo.php?workbook=16_08.xlsx&amp;sheet=U0&amp;row=3314&amp;col=7&amp;number=0.0385&amp;sourceID=14","0.0385")</f>
        <v>0.0385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HYPERLINK("http://141.218.60.56/~jnz1568/getInfo.php?workbook=16_08.xlsx&amp;sheet=U0&amp;row=3315&amp;col=6&amp;number=4.1&amp;sourceID=14","4.1")</f>
        <v>4.1</v>
      </c>
      <c r="G3315" s="4" t="str">
        <f>HYPERLINK("http://141.218.60.56/~jnz1568/getInfo.php?workbook=16_08.xlsx&amp;sheet=U0&amp;row=3315&amp;col=7&amp;number=0.0385&amp;sourceID=14","0.0385")</f>
        <v>0.0385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HYPERLINK("http://141.218.60.56/~jnz1568/getInfo.php?workbook=16_08.xlsx&amp;sheet=U0&amp;row=3316&amp;col=6&amp;number=4.2&amp;sourceID=14","4.2")</f>
        <v>4.2</v>
      </c>
      <c r="G3316" s="4" t="str">
        <f>HYPERLINK("http://141.218.60.56/~jnz1568/getInfo.php?workbook=16_08.xlsx&amp;sheet=U0&amp;row=3316&amp;col=7&amp;number=0.0386&amp;sourceID=14","0.0386")</f>
        <v>0.0386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HYPERLINK("http://141.218.60.56/~jnz1568/getInfo.php?workbook=16_08.xlsx&amp;sheet=U0&amp;row=3317&amp;col=6&amp;number=4.3&amp;sourceID=14","4.3")</f>
        <v>4.3</v>
      </c>
      <c r="G3317" s="4" t="str">
        <f>HYPERLINK("http://141.218.60.56/~jnz1568/getInfo.php?workbook=16_08.xlsx&amp;sheet=U0&amp;row=3317&amp;col=7&amp;number=0.0386&amp;sourceID=14","0.0386")</f>
        <v>0.0386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HYPERLINK("http://141.218.60.56/~jnz1568/getInfo.php?workbook=16_08.xlsx&amp;sheet=U0&amp;row=3318&amp;col=6&amp;number=4.4&amp;sourceID=14","4.4")</f>
        <v>4.4</v>
      </c>
      <c r="G3318" s="4" t="str">
        <f>HYPERLINK("http://141.218.60.56/~jnz1568/getInfo.php?workbook=16_08.xlsx&amp;sheet=U0&amp;row=3318&amp;col=7&amp;number=0.0387&amp;sourceID=14","0.0387")</f>
        <v>0.0387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HYPERLINK("http://141.218.60.56/~jnz1568/getInfo.php?workbook=16_08.xlsx&amp;sheet=U0&amp;row=3319&amp;col=6&amp;number=4.5&amp;sourceID=14","4.5")</f>
        <v>4.5</v>
      </c>
      <c r="G3319" s="4" t="str">
        <f>HYPERLINK("http://141.218.60.56/~jnz1568/getInfo.php?workbook=16_08.xlsx&amp;sheet=U0&amp;row=3319&amp;col=7&amp;number=0.0388&amp;sourceID=14","0.0388")</f>
        <v>0.0388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HYPERLINK("http://141.218.60.56/~jnz1568/getInfo.php?workbook=16_08.xlsx&amp;sheet=U0&amp;row=3320&amp;col=6&amp;number=4.6&amp;sourceID=14","4.6")</f>
        <v>4.6</v>
      </c>
      <c r="G3320" s="4" t="str">
        <f>HYPERLINK("http://141.218.60.56/~jnz1568/getInfo.php?workbook=16_08.xlsx&amp;sheet=U0&amp;row=3320&amp;col=7&amp;number=0.0389&amp;sourceID=14","0.0389")</f>
        <v>0.0389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HYPERLINK("http://141.218.60.56/~jnz1568/getInfo.php?workbook=16_08.xlsx&amp;sheet=U0&amp;row=3321&amp;col=6&amp;number=4.7&amp;sourceID=14","4.7")</f>
        <v>4.7</v>
      </c>
      <c r="G3321" s="4" t="str">
        <f>HYPERLINK("http://141.218.60.56/~jnz1568/getInfo.php?workbook=16_08.xlsx&amp;sheet=U0&amp;row=3321&amp;col=7&amp;number=0.039&amp;sourceID=14","0.039")</f>
        <v>0.039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HYPERLINK("http://141.218.60.56/~jnz1568/getInfo.php?workbook=16_08.xlsx&amp;sheet=U0&amp;row=3322&amp;col=6&amp;number=4.8&amp;sourceID=14","4.8")</f>
        <v>4.8</v>
      </c>
      <c r="G3322" s="4" t="str">
        <f>HYPERLINK("http://141.218.60.56/~jnz1568/getInfo.php?workbook=16_08.xlsx&amp;sheet=U0&amp;row=3322&amp;col=7&amp;number=0.0392&amp;sourceID=14","0.0392")</f>
        <v>0.0392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HYPERLINK("http://141.218.60.56/~jnz1568/getInfo.php?workbook=16_08.xlsx&amp;sheet=U0&amp;row=3323&amp;col=6&amp;number=4.9&amp;sourceID=14","4.9")</f>
        <v>4.9</v>
      </c>
      <c r="G3323" s="4" t="str">
        <f>HYPERLINK("http://141.218.60.56/~jnz1568/getInfo.php?workbook=16_08.xlsx&amp;sheet=U0&amp;row=3323&amp;col=7&amp;number=0.0394&amp;sourceID=14","0.0394")</f>
        <v>0.0394</v>
      </c>
    </row>
    <row r="3324" spans="1:7">
      <c r="A3324" s="3">
        <v>16</v>
      </c>
      <c r="B3324" s="3">
        <v>8</v>
      </c>
      <c r="C3324" s="3">
        <v>2</v>
      </c>
      <c r="D3324" s="3">
        <v>84</v>
      </c>
      <c r="E3324" s="3">
        <v>1</v>
      </c>
      <c r="F3324" s="4" t="str">
        <f>HYPERLINK("http://141.218.60.56/~jnz1568/getInfo.php?workbook=16_08.xlsx&amp;sheet=U0&amp;row=3324&amp;col=6&amp;number=3&amp;sourceID=14","3")</f>
        <v>3</v>
      </c>
      <c r="G3324" s="4" t="str">
        <f>HYPERLINK("http://141.218.60.56/~jnz1568/getInfo.php?workbook=16_08.xlsx&amp;sheet=U0&amp;row=3324&amp;col=7&amp;number=0.0279&amp;sourceID=14","0.0279")</f>
        <v>0.0279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HYPERLINK("http://141.218.60.56/~jnz1568/getInfo.php?workbook=16_08.xlsx&amp;sheet=U0&amp;row=3325&amp;col=6&amp;number=3.1&amp;sourceID=14","3.1")</f>
        <v>3.1</v>
      </c>
      <c r="G3325" s="4" t="str">
        <f>HYPERLINK("http://141.218.60.56/~jnz1568/getInfo.php?workbook=16_08.xlsx&amp;sheet=U0&amp;row=3325&amp;col=7&amp;number=0.0279&amp;sourceID=14","0.0279")</f>
        <v>0.0279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HYPERLINK("http://141.218.60.56/~jnz1568/getInfo.php?workbook=16_08.xlsx&amp;sheet=U0&amp;row=3326&amp;col=6&amp;number=3.2&amp;sourceID=14","3.2")</f>
        <v>3.2</v>
      </c>
      <c r="G3326" s="4" t="str">
        <f>HYPERLINK("http://141.218.60.56/~jnz1568/getInfo.php?workbook=16_08.xlsx&amp;sheet=U0&amp;row=3326&amp;col=7&amp;number=0.0279&amp;sourceID=14","0.0279")</f>
        <v>0.0279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HYPERLINK("http://141.218.60.56/~jnz1568/getInfo.php?workbook=16_08.xlsx&amp;sheet=U0&amp;row=3327&amp;col=6&amp;number=3.3&amp;sourceID=14","3.3")</f>
        <v>3.3</v>
      </c>
      <c r="G3327" s="4" t="str">
        <f>HYPERLINK("http://141.218.60.56/~jnz1568/getInfo.php?workbook=16_08.xlsx&amp;sheet=U0&amp;row=3327&amp;col=7&amp;number=0.0279&amp;sourceID=14","0.0279")</f>
        <v>0.0279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HYPERLINK("http://141.218.60.56/~jnz1568/getInfo.php?workbook=16_08.xlsx&amp;sheet=U0&amp;row=3328&amp;col=6&amp;number=3.4&amp;sourceID=14","3.4")</f>
        <v>3.4</v>
      </c>
      <c r="G3328" s="4" t="str">
        <f>HYPERLINK("http://141.218.60.56/~jnz1568/getInfo.php?workbook=16_08.xlsx&amp;sheet=U0&amp;row=3328&amp;col=7&amp;number=0.0279&amp;sourceID=14","0.0279")</f>
        <v>0.0279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HYPERLINK("http://141.218.60.56/~jnz1568/getInfo.php?workbook=16_08.xlsx&amp;sheet=U0&amp;row=3329&amp;col=6&amp;number=3.5&amp;sourceID=14","3.5")</f>
        <v>3.5</v>
      </c>
      <c r="G3329" s="4" t="str">
        <f>HYPERLINK("http://141.218.60.56/~jnz1568/getInfo.php?workbook=16_08.xlsx&amp;sheet=U0&amp;row=3329&amp;col=7&amp;number=0.0279&amp;sourceID=14","0.0279")</f>
        <v>0.0279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HYPERLINK("http://141.218.60.56/~jnz1568/getInfo.php?workbook=16_08.xlsx&amp;sheet=U0&amp;row=3330&amp;col=6&amp;number=3.6&amp;sourceID=14","3.6")</f>
        <v>3.6</v>
      </c>
      <c r="G3330" s="4" t="str">
        <f>HYPERLINK("http://141.218.60.56/~jnz1568/getInfo.php?workbook=16_08.xlsx&amp;sheet=U0&amp;row=3330&amp;col=7&amp;number=0.028&amp;sourceID=14","0.028")</f>
        <v>0.028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HYPERLINK("http://141.218.60.56/~jnz1568/getInfo.php?workbook=16_08.xlsx&amp;sheet=U0&amp;row=3331&amp;col=6&amp;number=3.7&amp;sourceID=14","3.7")</f>
        <v>3.7</v>
      </c>
      <c r="G3331" s="4" t="str">
        <f>HYPERLINK("http://141.218.60.56/~jnz1568/getInfo.php?workbook=16_08.xlsx&amp;sheet=U0&amp;row=3331&amp;col=7&amp;number=0.028&amp;sourceID=14","0.028")</f>
        <v>0.028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HYPERLINK("http://141.218.60.56/~jnz1568/getInfo.php?workbook=16_08.xlsx&amp;sheet=U0&amp;row=3332&amp;col=6&amp;number=3.8&amp;sourceID=14","3.8")</f>
        <v>3.8</v>
      </c>
      <c r="G3332" s="4" t="str">
        <f>HYPERLINK("http://141.218.60.56/~jnz1568/getInfo.php?workbook=16_08.xlsx&amp;sheet=U0&amp;row=3332&amp;col=7&amp;number=0.028&amp;sourceID=14","0.028")</f>
        <v>0.028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HYPERLINK("http://141.218.60.56/~jnz1568/getInfo.php?workbook=16_08.xlsx&amp;sheet=U0&amp;row=3333&amp;col=6&amp;number=3.9&amp;sourceID=14","3.9")</f>
        <v>3.9</v>
      </c>
      <c r="G3333" s="4" t="str">
        <f>HYPERLINK("http://141.218.60.56/~jnz1568/getInfo.php?workbook=16_08.xlsx&amp;sheet=U0&amp;row=3333&amp;col=7&amp;number=0.028&amp;sourceID=14","0.028")</f>
        <v>0.028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HYPERLINK("http://141.218.60.56/~jnz1568/getInfo.php?workbook=16_08.xlsx&amp;sheet=U0&amp;row=3334&amp;col=6&amp;number=4&amp;sourceID=14","4")</f>
        <v>4</v>
      </c>
      <c r="G3334" s="4" t="str">
        <f>HYPERLINK("http://141.218.60.56/~jnz1568/getInfo.php?workbook=16_08.xlsx&amp;sheet=U0&amp;row=3334&amp;col=7&amp;number=0.028&amp;sourceID=14","0.028")</f>
        <v>0.028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HYPERLINK("http://141.218.60.56/~jnz1568/getInfo.php?workbook=16_08.xlsx&amp;sheet=U0&amp;row=3335&amp;col=6&amp;number=4.1&amp;sourceID=14","4.1")</f>
        <v>4.1</v>
      </c>
      <c r="G3335" s="4" t="str">
        <f>HYPERLINK("http://141.218.60.56/~jnz1568/getInfo.php?workbook=16_08.xlsx&amp;sheet=U0&amp;row=3335&amp;col=7&amp;number=0.028&amp;sourceID=14","0.028")</f>
        <v>0.028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HYPERLINK("http://141.218.60.56/~jnz1568/getInfo.php?workbook=16_08.xlsx&amp;sheet=U0&amp;row=3336&amp;col=6&amp;number=4.2&amp;sourceID=14","4.2")</f>
        <v>4.2</v>
      </c>
      <c r="G3336" s="4" t="str">
        <f>HYPERLINK("http://141.218.60.56/~jnz1568/getInfo.php?workbook=16_08.xlsx&amp;sheet=U0&amp;row=3336&amp;col=7&amp;number=0.0281&amp;sourceID=14","0.0281")</f>
        <v>0.0281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HYPERLINK("http://141.218.60.56/~jnz1568/getInfo.php?workbook=16_08.xlsx&amp;sheet=U0&amp;row=3337&amp;col=6&amp;number=4.3&amp;sourceID=14","4.3")</f>
        <v>4.3</v>
      </c>
      <c r="G3337" s="4" t="str">
        <f>HYPERLINK("http://141.218.60.56/~jnz1568/getInfo.php?workbook=16_08.xlsx&amp;sheet=U0&amp;row=3337&amp;col=7&amp;number=0.0281&amp;sourceID=14","0.0281")</f>
        <v>0.0281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HYPERLINK("http://141.218.60.56/~jnz1568/getInfo.php?workbook=16_08.xlsx&amp;sheet=U0&amp;row=3338&amp;col=6&amp;number=4.4&amp;sourceID=14","4.4")</f>
        <v>4.4</v>
      </c>
      <c r="G3338" s="4" t="str">
        <f>HYPERLINK("http://141.218.60.56/~jnz1568/getInfo.php?workbook=16_08.xlsx&amp;sheet=U0&amp;row=3338&amp;col=7&amp;number=0.0281&amp;sourceID=14","0.0281")</f>
        <v>0.0281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HYPERLINK("http://141.218.60.56/~jnz1568/getInfo.php?workbook=16_08.xlsx&amp;sheet=U0&amp;row=3339&amp;col=6&amp;number=4.5&amp;sourceID=14","4.5")</f>
        <v>4.5</v>
      </c>
      <c r="G3339" s="4" t="str">
        <f>HYPERLINK("http://141.218.60.56/~jnz1568/getInfo.php?workbook=16_08.xlsx&amp;sheet=U0&amp;row=3339&amp;col=7&amp;number=0.0282&amp;sourceID=14","0.0282")</f>
        <v>0.0282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HYPERLINK("http://141.218.60.56/~jnz1568/getInfo.php?workbook=16_08.xlsx&amp;sheet=U0&amp;row=3340&amp;col=6&amp;number=4.6&amp;sourceID=14","4.6")</f>
        <v>4.6</v>
      </c>
      <c r="G3340" s="4" t="str">
        <f>HYPERLINK("http://141.218.60.56/~jnz1568/getInfo.php?workbook=16_08.xlsx&amp;sheet=U0&amp;row=3340&amp;col=7&amp;number=0.0283&amp;sourceID=14","0.0283")</f>
        <v>0.0283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HYPERLINK("http://141.218.60.56/~jnz1568/getInfo.php?workbook=16_08.xlsx&amp;sheet=U0&amp;row=3341&amp;col=6&amp;number=4.7&amp;sourceID=14","4.7")</f>
        <v>4.7</v>
      </c>
      <c r="G3341" s="4" t="str">
        <f>HYPERLINK("http://141.218.60.56/~jnz1568/getInfo.php?workbook=16_08.xlsx&amp;sheet=U0&amp;row=3341&amp;col=7&amp;number=0.0284&amp;sourceID=14","0.0284")</f>
        <v>0.0284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HYPERLINK("http://141.218.60.56/~jnz1568/getInfo.php?workbook=16_08.xlsx&amp;sheet=U0&amp;row=3342&amp;col=6&amp;number=4.8&amp;sourceID=14","4.8")</f>
        <v>4.8</v>
      </c>
      <c r="G3342" s="4" t="str">
        <f>HYPERLINK("http://141.218.60.56/~jnz1568/getInfo.php?workbook=16_08.xlsx&amp;sheet=U0&amp;row=3342&amp;col=7&amp;number=0.0285&amp;sourceID=14","0.0285")</f>
        <v>0.0285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HYPERLINK("http://141.218.60.56/~jnz1568/getInfo.php?workbook=16_08.xlsx&amp;sheet=U0&amp;row=3343&amp;col=6&amp;number=4.9&amp;sourceID=14","4.9")</f>
        <v>4.9</v>
      </c>
      <c r="G3343" s="4" t="str">
        <f>HYPERLINK("http://141.218.60.56/~jnz1568/getInfo.php?workbook=16_08.xlsx&amp;sheet=U0&amp;row=3343&amp;col=7&amp;number=0.0286&amp;sourceID=14","0.0286")</f>
        <v>0.0286</v>
      </c>
    </row>
    <row r="3344" spans="1:7">
      <c r="A3344" s="3">
        <v>16</v>
      </c>
      <c r="B3344" s="3">
        <v>8</v>
      </c>
      <c r="C3344" s="3">
        <v>2</v>
      </c>
      <c r="D3344" s="3">
        <v>85</v>
      </c>
      <c r="E3344" s="3">
        <v>1</v>
      </c>
      <c r="F3344" s="4" t="str">
        <f>HYPERLINK("http://141.218.60.56/~jnz1568/getInfo.php?workbook=16_08.xlsx&amp;sheet=U0&amp;row=3344&amp;col=6&amp;number=3&amp;sourceID=14","3")</f>
        <v>3</v>
      </c>
      <c r="G3344" s="4" t="str">
        <f>HYPERLINK("http://141.218.60.56/~jnz1568/getInfo.php?workbook=16_08.xlsx&amp;sheet=U0&amp;row=3344&amp;col=7&amp;number=0.0116&amp;sourceID=14","0.0116")</f>
        <v>0.0116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HYPERLINK("http://141.218.60.56/~jnz1568/getInfo.php?workbook=16_08.xlsx&amp;sheet=U0&amp;row=3345&amp;col=6&amp;number=3.1&amp;sourceID=14","3.1")</f>
        <v>3.1</v>
      </c>
      <c r="G3345" s="4" t="str">
        <f>HYPERLINK("http://141.218.60.56/~jnz1568/getInfo.php?workbook=16_08.xlsx&amp;sheet=U0&amp;row=3345&amp;col=7&amp;number=0.0116&amp;sourceID=14","0.0116")</f>
        <v>0.0116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HYPERLINK("http://141.218.60.56/~jnz1568/getInfo.php?workbook=16_08.xlsx&amp;sheet=U0&amp;row=3346&amp;col=6&amp;number=3.2&amp;sourceID=14","3.2")</f>
        <v>3.2</v>
      </c>
      <c r="G3346" s="4" t="str">
        <f>HYPERLINK("http://141.218.60.56/~jnz1568/getInfo.php?workbook=16_08.xlsx&amp;sheet=U0&amp;row=3346&amp;col=7&amp;number=0.0116&amp;sourceID=14","0.0116")</f>
        <v>0.0116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HYPERLINK("http://141.218.60.56/~jnz1568/getInfo.php?workbook=16_08.xlsx&amp;sheet=U0&amp;row=3347&amp;col=6&amp;number=3.3&amp;sourceID=14","3.3")</f>
        <v>3.3</v>
      </c>
      <c r="G3347" s="4" t="str">
        <f>HYPERLINK("http://141.218.60.56/~jnz1568/getInfo.php?workbook=16_08.xlsx&amp;sheet=U0&amp;row=3347&amp;col=7&amp;number=0.0116&amp;sourceID=14","0.0116")</f>
        <v>0.0116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HYPERLINK("http://141.218.60.56/~jnz1568/getInfo.php?workbook=16_08.xlsx&amp;sheet=U0&amp;row=3348&amp;col=6&amp;number=3.4&amp;sourceID=14","3.4")</f>
        <v>3.4</v>
      </c>
      <c r="G3348" s="4" t="str">
        <f>HYPERLINK("http://141.218.60.56/~jnz1568/getInfo.php?workbook=16_08.xlsx&amp;sheet=U0&amp;row=3348&amp;col=7&amp;number=0.0116&amp;sourceID=14","0.0116")</f>
        <v>0.0116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HYPERLINK("http://141.218.60.56/~jnz1568/getInfo.php?workbook=16_08.xlsx&amp;sheet=U0&amp;row=3349&amp;col=6&amp;number=3.5&amp;sourceID=14","3.5")</f>
        <v>3.5</v>
      </c>
      <c r="G3349" s="4" t="str">
        <f>HYPERLINK("http://141.218.60.56/~jnz1568/getInfo.php?workbook=16_08.xlsx&amp;sheet=U0&amp;row=3349&amp;col=7&amp;number=0.0116&amp;sourceID=14","0.0116")</f>
        <v>0.0116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HYPERLINK("http://141.218.60.56/~jnz1568/getInfo.php?workbook=16_08.xlsx&amp;sheet=U0&amp;row=3350&amp;col=6&amp;number=3.6&amp;sourceID=14","3.6")</f>
        <v>3.6</v>
      </c>
      <c r="G3350" s="4" t="str">
        <f>HYPERLINK("http://141.218.60.56/~jnz1568/getInfo.php?workbook=16_08.xlsx&amp;sheet=U0&amp;row=3350&amp;col=7&amp;number=0.0116&amp;sourceID=14","0.0116")</f>
        <v>0.0116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HYPERLINK("http://141.218.60.56/~jnz1568/getInfo.php?workbook=16_08.xlsx&amp;sheet=U0&amp;row=3351&amp;col=6&amp;number=3.7&amp;sourceID=14","3.7")</f>
        <v>3.7</v>
      </c>
      <c r="G3351" s="4" t="str">
        <f>HYPERLINK("http://141.218.60.56/~jnz1568/getInfo.php?workbook=16_08.xlsx&amp;sheet=U0&amp;row=3351&amp;col=7&amp;number=0.0116&amp;sourceID=14","0.0116")</f>
        <v>0.0116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HYPERLINK("http://141.218.60.56/~jnz1568/getInfo.php?workbook=16_08.xlsx&amp;sheet=U0&amp;row=3352&amp;col=6&amp;number=3.8&amp;sourceID=14","3.8")</f>
        <v>3.8</v>
      </c>
      <c r="G3352" s="4" t="str">
        <f>HYPERLINK("http://141.218.60.56/~jnz1568/getInfo.php?workbook=16_08.xlsx&amp;sheet=U0&amp;row=3352&amp;col=7&amp;number=0.0116&amp;sourceID=14","0.0116")</f>
        <v>0.0116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HYPERLINK("http://141.218.60.56/~jnz1568/getInfo.php?workbook=16_08.xlsx&amp;sheet=U0&amp;row=3353&amp;col=6&amp;number=3.9&amp;sourceID=14","3.9")</f>
        <v>3.9</v>
      </c>
      <c r="G3353" s="4" t="str">
        <f>HYPERLINK("http://141.218.60.56/~jnz1568/getInfo.php?workbook=16_08.xlsx&amp;sheet=U0&amp;row=3353&amp;col=7&amp;number=0.0115&amp;sourceID=14","0.0115")</f>
        <v>0.0115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HYPERLINK("http://141.218.60.56/~jnz1568/getInfo.php?workbook=16_08.xlsx&amp;sheet=U0&amp;row=3354&amp;col=6&amp;number=4&amp;sourceID=14","4")</f>
        <v>4</v>
      </c>
      <c r="G3354" s="4" t="str">
        <f>HYPERLINK("http://141.218.60.56/~jnz1568/getInfo.php?workbook=16_08.xlsx&amp;sheet=U0&amp;row=3354&amp;col=7&amp;number=0.0115&amp;sourceID=14","0.0115")</f>
        <v>0.0115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HYPERLINK("http://141.218.60.56/~jnz1568/getInfo.php?workbook=16_08.xlsx&amp;sheet=U0&amp;row=3355&amp;col=6&amp;number=4.1&amp;sourceID=14","4.1")</f>
        <v>4.1</v>
      </c>
      <c r="G3355" s="4" t="str">
        <f>HYPERLINK("http://141.218.60.56/~jnz1568/getInfo.php?workbook=16_08.xlsx&amp;sheet=U0&amp;row=3355&amp;col=7&amp;number=0.0115&amp;sourceID=14","0.0115")</f>
        <v>0.0115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HYPERLINK("http://141.218.60.56/~jnz1568/getInfo.php?workbook=16_08.xlsx&amp;sheet=U0&amp;row=3356&amp;col=6&amp;number=4.2&amp;sourceID=14","4.2")</f>
        <v>4.2</v>
      </c>
      <c r="G3356" s="4" t="str">
        <f>HYPERLINK("http://141.218.60.56/~jnz1568/getInfo.php?workbook=16_08.xlsx&amp;sheet=U0&amp;row=3356&amp;col=7&amp;number=0.0115&amp;sourceID=14","0.0115")</f>
        <v>0.0115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HYPERLINK("http://141.218.60.56/~jnz1568/getInfo.php?workbook=16_08.xlsx&amp;sheet=U0&amp;row=3357&amp;col=6&amp;number=4.3&amp;sourceID=14","4.3")</f>
        <v>4.3</v>
      </c>
      <c r="G3357" s="4" t="str">
        <f>HYPERLINK("http://141.218.60.56/~jnz1568/getInfo.php?workbook=16_08.xlsx&amp;sheet=U0&amp;row=3357&amp;col=7&amp;number=0.0115&amp;sourceID=14","0.0115")</f>
        <v>0.0115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HYPERLINK("http://141.218.60.56/~jnz1568/getInfo.php?workbook=16_08.xlsx&amp;sheet=U0&amp;row=3358&amp;col=6&amp;number=4.4&amp;sourceID=14","4.4")</f>
        <v>4.4</v>
      </c>
      <c r="G3358" s="4" t="str">
        <f>HYPERLINK("http://141.218.60.56/~jnz1568/getInfo.php?workbook=16_08.xlsx&amp;sheet=U0&amp;row=3358&amp;col=7&amp;number=0.0114&amp;sourceID=14","0.0114")</f>
        <v>0.0114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HYPERLINK("http://141.218.60.56/~jnz1568/getInfo.php?workbook=16_08.xlsx&amp;sheet=U0&amp;row=3359&amp;col=6&amp;number=4.5&amp;sourceID=14","4.5")</f>
        <v>4.5</v>
      </c>
      <c r="G3359" s="4" t="str">
        <f>HYPERLINK("http://141.218.60.56/~jnz1568/getInfo.php?workbook=16_08.xlsx&amp;sheet=U0&amp;row=3359&amp;col=7&amp;number=0.0114&amp;sourceID=14","0.0114")</f>
        <v>0.0114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HYPERLINK("http://141.218.60.56/~jnz1568/getInfo.php?workbook=16_08.xlsx&amp;sheet=U0&amp;row=3360&amp;col=6&amp;number=4.6&amp;sourceID=14","4.6")</f>
        <v>4.6</v>
      </c>
      <c r="G3360" s="4" t="str">
        <f>HYPERLINK("http://141.218.60.56/~jnz1568/getInfo.php?workbook=16_08.xlsx&amp;sheet=U0&amp;row=3360&amp;col=7&amp;number=0.0114&amp;sourceID=14","0.0114")</f>
        <v>0.0114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HYPERLINK("http://141.218.60.56/~jnz1568/getInfo.php?workbook=16_08.xlsx&amp;sheet=U0&amp;row=3361&amp;col=6&amp;number=4.7&amp;sourceID=14","4.7")</f>
        <v>4.7</v>
      </c>
      <c r="G3361" s="4" t="str">
        <f>HYPERLINK("http://141.218.60.56/~jnz1568/getInfo.php?workbook=16_08.xlsx&amp;sheet=U0&amp;row=3361&amp;col=7&amp;number=0.0113&amp;sourceID=14","0.0113")</f>
        <v>0.0113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HYPERLINK("http://141.218.60.56/~jnz1568/getInfo.php?workbook=16_08.xlsx&amp;sheet=U0&amp;row=3362&amp;col=6&amp;number=4.8&amp;sourceID=14","4.8")</f>
        <v>4.8</v>
      </c>
      <c r="G3362" s="4" t="str">
        <f>HYPERLINK("http://141.218.60.56/~jnz1568/getInfo.php?workbook=16_08.xlsx&amp;sheet=U0&amp;row=3362&amp;col=7&amp;number=0.0112&amp;sourceID=14","0.0112")</f>
        <v>0.0112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HYPERLINK("http://141.218.60.56/~jnz1568/getInfo.php?workbook=16_08.xlsx&amp;sheet=U0&amp;row=3363&amp;col=6&amp;number=4.9&amp;sourceID=14","4.9")</f>
        <v>4.9</v>
      </c>
      <c r="G3363" s="4" t="str">
        <f>HYPERLINK("http://141.218.60.56/~jnz1568/getInfo.php?workbook=16_08.xlsx&amp;sheet=U0&amp;row=3363&amp;col=7&amp;number=0.0111&amp;sourceID=14","0.0111")</f>
        <v>0.0111</v>
      </c>
    </row>
    <row r="3364" spans="1:7">
      <c r="A3364" s="3">
        <v>16</v>
      </c>
      <c r="B3364" s="3">
        <v>8</v>
      </c>
      <c r="C3364" s="3">
        <v>2</v>
      </c>
      <c r="D3364" s="3">
        <v>86</v>
      </c>
      <c r="E3364" s="3">
        <v>1</v>
      </c>
      <c r="F3364" s="4" t="str">
        <f>HYPERLINK("http://141.218.60.56/~jnz1568/getInfo.php?workbook=16_08.xlsx&amp;sheet=U0&amp;row=3364&amp;col=6&amp;number=3&amp;sourceID=14","3")</f>
        <v>3</v>
      </c>
      <c r="G3364" s="4" t="str">
        <f>HYPERLINK("http://141.218.60.56/~jnz1568/getInfo.php?workbook=16_08.xlsx&amp;sheet=U0&amp;row=3364&amp;col=7&amp;number=0.00324&amp;sourceID=14","0.00324")</f>
        <v>0.00324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HYPERLINK("http://141.218.60.56/~jnz1568/getInfo.php?workbook=16_08.xlsx&amp;sheet=U0&amp;row=3365&amp;col=6&amp;number=3.1&amp;sourceID=14","3.1")</f>
        <v>3.1</v>
      </c>
      <c r="G3365" s="4" t="str">
        <f>HYPERLINK("http://141.218.60.56/~jnz1568/getInfo.php?workbook=16_08.xlsx&amp;sheet=U0&amp;row=3365&amp;col=7&amp;number=0.00324&amp;sourceID=14","0.00324")</f>
        <v>0.00324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HYPERLINK("http://141.218.60.56/~jnz1568/getInfo.php?workbook=16_08.xlsx&amp;sheet=U0&amp;row=3366&amp;col=6&amp;number=3.2&amp;sourceID=14","3.2")</f>
        <v>3.2</v>
      </c>
      <c r="G3366" s="4" t="str">
        <f>HYPERLINK("http://141.218.60.56/~jnz1568/getInfo.php?workbook=16_08.xlsx&amp;sheet=U0&amp;row=3366&amp;col=7&amp;number=0.00324&amp;sourceID=14","0.00324")</f>
        <v>0.00324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HYPERLINK("http://141.218.60.56/~jnz1568/getInfo.php?workbook=16_08.xlsx&amp;sheet=U0&amp;row=3367&amp;col=6&amp;number=3.3&amp;sourceID=14","3.3")</f>
        <v>3.3</v>
      </c>
      <c r="G3367" s="4" t="str">
        <f>HYPERLINK("http://141.218.60.56/~jnz1568/getInfo.php?workbook=16_08.xlsx&amp;sheet=U0&amp;row=3367&amp;col=7&amp;number=0.00324&amp;sourceID=14","0.00324")</f>
        <v>0.00324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HYPERLINK("http://141.218.60.56/~jnz1568/getInfo.php?workbook=16_08.xlsx&amp;sheet=U0&amp;row=3368&amp;col=6&amp;number=3.4&amp;sourceID=14","3.4")</f>
        <v>3.4</v>
      </c>
      <c r="G3368" s="4" t="str">
        <f>HYPERLINK("http://141.218.60.56/~jnz1568/getInfo.php?workbook=16_08.xlsx&amp;sheet=U0&amp;row=3368&amp;col=7&amp;number=0.00324&amp;sourceID=14","0.00324")</f>
        <v>0.00324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HYPERLINK("http://141.218.60.56/~jnz1568/getInfo.php?workbook=16_08.xlsx&amp;sheet=U0&amp;row=3369&amp;col=6&amp;number=3.5&amp;sourceID=14","3.5")</f>
        <v>3.5</v>
      </c>
      <c r="G3369" s="4" t="str">
        <f>HYPERLINK("http://141.218.60.56/~jnz1568/getInfo.php?workbook=16_08.xlsx&amp;sheet=U0&amp;row=3369&amp;col=7&amp;number=0.00324&amp;sourceID=14","0.00324")</f>
        <v>0.00324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HYPERLINK("http://141.218.60.56/~jnz1568/getInfo.php?workbook=16_08.xlsx&amp;sheet=U0&amp;row=3370&amp;col=6&amp;number=3.6&amp;sourceID=14","3.6")</f>
        <v>3.6</v>
      </c>
      <c r="G3370" s="4" t="str">
        <f>HYPERLINK("http://141.218.60.56/~jnz1568/getInfo.php?workbook=16_08.xlsx&amp;sheet=U0&amp;row=3370&amp;col=7&amp;number=0.00324&amp;sourceID=14","0.00324")</f>
        <v>0.00324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HYPERLINK("http://141.218.60.56/~jnz1568/getInfo.php?workbook=16_08.xlsx&amp;sheet=U0&amp;row=3371&amp;col=6&amp;number=3.7&amp;sourceID=14","3.7")</f>
        <v>3.7</v>
      </c>
      <c r="G3371" s="4" t="str">
        <f>HYPERLINK("http://141.218.60.56/~jnz1568/getInfo.php?workbook=16_08.xlsx&amp;sheet=U0&amp;row=3371&amp;col=7&amp;number=0.00324&amp;sourceID=14","0.00324")</f>
        <v>0.00324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HYPERLINK("http://141.218.60.56/~jnz1568/getInfo.php?workbook=16_08.xlsx&amp;sheet=U0&amp;row=3372&amp;col=6&amp;number=3.8&amp;sourceID=14","3.8")</f>
        <v>3.8</v>
      </c>
      <c r="G3372" s="4" t="str">
        <f>HYPERLINK("http://141.218.60.56/~jnz1568/getInfo.php?workbook=16_08.xlsx&amp;sheet=U0&amp;row=3372&amp;col=7&amp;number=0.00324&amp;sourceID=14","0.00324")</f>
        <v>0.00324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HYPERLINK("http://141.218.60.56/~jnz1568/getInfo.php?workbook=16_08.xlsx&amp;sheet=U0&amp;row=3373&amp;col=6&amp;number=3.9&amp;sourceID=14","3.9")</f>
        <v>3.9</v>
      </c>
      <c r="G3373" s="4" t="str">
        <f>HYPERLINK("http://141.218.60.56/~jnz1568/getInfo.php?workbook=16_08.xlsx&amp;sheet=U0&amp;row=3373&amp;col=7&amp;number=0.00324&amp;sourceID=14","0.00324")</f>
        <v>0.00324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HYPERLINK("http://141.218.60.56/~jnz1568/getInfo.php?workbook=16_08.xlsx&amp;sheet=U0&amp;row=3374&amp;col=6&amp;number=4&amp;sourceID=14","4")</f>
        <v>4</v>
      </c>
      <c r="G3374" s="4" t="str">
        <f>HYPERLINK("http://141.218.60.56/~jnz1568/getInfo.php?workbook=16_08.xlsx&amp;sheet=U0&amp;row=3374&amp;col=7&amp;number=0.00323&amp;sourceID=14","0.00323")</f>
        <v>0.00323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HYPERLINK("http://141.218.60.56/~jnz1568/getInfo.php?workbook=16_08.xlsx&amp;sheet=U0&amp;row=3375&amp;col=6&amp;number=4.1&amp;sourceID=14","4.1")</f>
        <v>4.1</v>
      </c>
      <c r="G3375" s="4" t="str">
        <f>HYPERLINK("http://141.218.60.56/~jnz1568/getInfo.php?workbook=16_08.xlsx&amp;sheet=U0&amp;row=3375&amp;col=7&amp;number=0.00323&amp;sourceID=14","0.00323")</f>
        <v>0.00323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HYPERLINK("http://141.218.60.56/~jnz1568/getInfo.php?workbook=16_08.xlsx&amp;sheet=U0&amp;row=3376&amp;col=6&amp;number=4.2&amp;sourceID=14","4.2")</f>
        <v>4.2</v>
      </c>
      <c r="G3376" s="4" t="str">
        <f>HYPERLINK("http://141.218.60.56/~jnz1568/getInfo.php?workbook=16_08.xlsx&amp;sheet=U0&amp;row=3376&amp;col=7&amp;number=0.00323&amp;sourceID=14","0.00323")</f>
        <v>0.00323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HYPERLINK("http://141.218.60.56/~jnz1568/getInfo.php?workbook=16_08.xlsx&amp;sheet=U0&amp;row=3377&amp;col=6&amp;number=4.3&amp;sourceID=14","4.3")</f>
        <v>4.3</v>
      </c>
      <c r="G3377" s="4" t="str">
        <f>HYPERLINK("http://141.218.60.56/~jnz1568/getInfo.php?workbook=16_08.xlsx&amp;sheet=U0&amp;row=3377&amp;col=7&amp;number=0.00323&amp;sourceID=14","0.00323")</f>
        <v>0.00323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HYPERLINK("http://141.218.60.56/~jnz1568/getInfo.php?workbook=16_08.xlsx&amp;sheet=U0&amp;row=3378&amp;col=6&amp;number=4.4&amp;sourceID=14","4.4")</f>
        <v>4.4</v>
      </c>
      <c r="G3378" s="4" t="str">
        <f>HYPERLINK("http://141.218.60.56/~jnz1568/getInfo.php?workbook=16_08.xlsx&amp;sheet=U0&amp;row=3378&amp;col=7&amp;number=0.00322&amp;sourceID=14","0.00322")</f>
        <v>0.00322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HYPERLINK("http://141.218.60.56/~jnz1568/getInfo.php?workbook=16_08.xlsx&amp;sheet=U0&amp;row=3379&amp;col=6&amp;number=4.5&amp;sourceID=14","4.5")</f>
        <v>4.5</v>
      </c>
      <c r="G3379" s="4" t="str">
        <f>HYPERLINK("http://141.218.60.56/~jnz1568/getInfo.php?workbook=16_08.xlsx&amp;sheet=U0&amp;row=3379&amp;col=7&amp;number=0.00322&amp;sourceID=14","0.00322")</f>
        <v>0.00322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HYPERLINK("http://141.218.60.56/~jnz1568/getInfo.php?workbook=16_08.xlsx&amp;sheet=U0&amp;row=3380&amp;col=6&amp;number=4.6&amp;sourceID=14","4.6")</f>
        <v>4.6</v>
      </c>
      <c r="G3380" s="4" t="str">
        <f>HYPERLINK("http://141.218.60.56/~jnz1568/getInfo.php?workbook=16_08.xlsx&amp;sheet=U0&amp;row=3380&amp;col=7&amp;number=0.00321&amp;sourceID=14","0.00321")</f>
        <v>0.00321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HYPERLINK("http://141.218.60.56/~jnz1568/getInfo.php?workbook=16_08.xlsx&amp;sheet=U0&amp;row=3381&amp;col=6&amp;number=4.7&amp;sourceID=14","4.7")</f>
        <v>4.7</v>
      </c>
      <c r="G3381" s="4" t="str">
        <f>HYPERLINK("http://141.218.60.56/~jnz1568/getInfo.php?workbook=16_08.xlsx&amp;sheet=U0&amp;row=3381&amp;col=7&amp;number=0.0032&amp;sourceID=14","0.0032")</f>
        <v>0.0032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HYPERLINK("http://141.218.60.56/~jnz1568/getInfo.php?workbook=16_08.xlsx&amp;sheet=U0&amp;row=3382&amp;col=6&amp;number=4.8&amp;sourceID=14","4.8")</f>
        <v>4.8</v>
      </c>
      <c r="G3382" s="4" t="str">
        <f>HYPERLINK("http://141.218.60.56/~jnz1568/getInfo.php?workbook=16_08.xlsx&amp;sheet=U0&amp;row=3382&amp;col=7&amp;number=0.00319&amp;sourceID=14","0.00319")</f>
        <v>0.00319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HYPERLINK("http://141.218.60.56/~jnz1568/getInfo.php?workbook=16_08.xlsx&amp;sheet=U0&amp;row=3383&amp;col=6&amp;number=4.9&amp;sourceID=14","4.9")</f>
        <v>4.9</v>
      </c>
      <c r="G3383" s="4" t="str">
        <f>HYPERLINK("http://141.218.60.56/~jnz1568/getInfo.php?workbook=16_08.xlsx&amp;sheet=U0&amp;row=3383&amp;col=7&amp;number=0.00318&amp;sourceID=14","0.00318")</f>
        <v>0.00318</v>
      </c>
    </row>
    <row r="3384" spans="1:7">
      <c r="A3384" s="3">
        <v>16</v>
      </c>
      <c r="B3384" s="3">
        <v>8</v>
      </c>
      <c r="C3384" s="3">
        <v>3</v>
      </c>
      <c r="D3384" s="3">
        <v>4</v>
      </c>
      <c r="E3384" s="3">
        <v>1</v>
      </c>
      <c r="F3384" s="4" t="str">
        <f>HYPERLINK("http://141.218.60.56/~jnz1568/getInfo.php?workbook=16_08.xlsx&amp;sheet=U0&amp;row=3384&amp;col=6&amp;number=3&amp;sourceID=14","3")</f>
        <v>3</v>
      </c>
      <c r="G3384" s="4" t="str">
        <f>HYPERLINK("http://141.218.60.56/~jnz1568/getInfo.php?workbook=16_08.xlsx&amp;sheet=U0&amp;row=3384&amp;col=7&amp;number=0.0372&amp;sourceID=14","0.0372")</f>
        <v>0.0372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HYPERLINK("http://141.218.60.56/~jnz1568/getInfo.php?workbook=16_08.xlsx&amp;sheet=U0&amp;row=3385&amp;col=6&amp;number=3.1&amp;sourceID=14","3.1")</f>
        <v>3.1</v>
      </c>
      <c r="G3385" s="4" t="str">
        <f>HYPERLINK("http://141.218.60.56/~jnz1568/getInfo.php?workbook=16_08.xlsx&amp;sheet=U0&amp;row=3385&amp;col=7&amp;number=0.0372&amp;sourceID=14","0.0372")</f>
        <v>0.0372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HYPERLINK("http://141.218.60.56/~jnz1568/getInfo.php?workbook=16_08.xlsx&amp;sheet=U0&amp;row=3386&amp;col=6&amp;number=3.2&amp;sourceID=14","3.2")</f>
        <v>3.2</v>
      </c>
      <c r="G3386" s="4" t="str">
        <f>HYPERLINK("http://141.218.60.56/~jnz1568/getInfo.php?workbook=16_08.xlsx&amp;sheet=U0&amp;row=3386&amp;col=7&amp;number=0.0372&amp;sourceID=14","0.0372")</f>
        <v>0.0372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HYPERLINK("http://141.218.60.56/~jnz1568/getInfo.php?workbook=16_08.xlsx&amp;sheet=U0&amp;row=3387&amp;col=6&amp;number=3.3&amp;sourceID=14","3.3")</f>
        <v>3.3</v>
      </c>
      <c r="G3387" s="4" t="str">
        <f>HYPERLINK("http://141.218.60.56/~jnz1568/getInfo.php?workbook=16_08.xlsx&amp;sheet=U0&amp;row=3387&amp;col=7&amp;number=0.0372&amp;sourceID=14","0.0372")</f>
        <v>0.0372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HYPERLINK("http://141.218.60.56/~jnz1568/getInfo.php?workbook=16_08.xlsx&amp;sheet=U0&amp;row=3388&amp;col=6&amp;number=3.4&amp;sourceID=14","3.4")</f>
        <v>3.4</v>
      </c>
      <c r="G3388" s="4" t="str">
        <f>HYPERLINK("http://141.218.60.56/~jnz1568/getInfo.php?workbook=16_08.xlsx&amp;sheet=U0&amp;row=3388&amp;col=7&amp;number=0.0372&amp;sourceID=14","0.0372")</f>
        <v>0.0372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HYPERLINK("http://141.218.60.56/~jnz1568/getInfo.php?workbook=16_08.xlsx&amp;sheet=U0&amp;row=3389&amp;col=6&amp;number=3.5&amp;sourceID=14","3.5")</f>
        <v>3.5</v>
      </c>
      <c r="G3389" s="4" t="str">
        <f>HYPERLINK("http://141.218.60.56/~jnz1568/getInfo.php?workbook=16_08.xlsx&amp;sheet=U0&amp;row=3389&amp;col=7&amp;number=0.0372&amp;sourceID=14","0.0372")</f>
        <v>0.0372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HYPERLINK("http://141.218.60.56/~jnz1568/getInfo.php?workbook=16_08.xlsx&amp;sheet=U0&amp;row=3390&amp;col=6&amp;number=3.6&amp;sourceID=14","3.6")</f>
        <v>3.6</v>
      </c>
      <c r="G3390" s="4" t="str">
        <f>HYPERLINK("http://141.218.60.56/~jnz1568/getInfo.php?workbook=16_08.xlsx&amp;sheet=U0&amp;row=3390&amp;col=7&amp;number=0.0372&amp;sourceID=14","0.0372")</f>
        <v>0.0372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HYPERLINK("http://141.218.60.56/~jnz1568/getInfo.php?workbook=16_08.xlsx&amp;sheet=U0&amp;row=3391&amp;col=6&amp;number=3.7&amp;sourceID=14","3.7")</f>
        <v>3.7</v>
      </c>
      <c r="G3391" s="4" t="str">
        <f>HYPERLINK("http://141.218.60.56/~jnz1568/getInfo.php?workbook=16_08.xlsx&amp;sheet=U0&amp;row=3391&amp;col=7&amp;number=0.0372&amp;sourceID=14","0.0372")</f>
        <v>0.0372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HYPERLINK("http://141.218.60.56/~jnz1568/getInfo.php?workbook=16_08.xlsx&amp;sheet=U0&amp;row=3392&amp;col=6&amp;number=3.8&amp;sourceID=14","3.8")</f>
        <v>3.8</v>
      </c>
      <c r="G3392" s="4" t="str">
        <f>HYPERLINK("http://141.218.60.56/~jnz1568/getInfo.php?workbook=16_08.xlsx&amp;sheet=U0&amp;row=3392&amp;col=7&amp;number=0.0372&amp;sourceID=14","0.0372")</f>
        <v>0.0372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HYPERLINK("http://141.218.60.56/~jnz1568/getInfo.php?workbook=16_08.xlsx&amp;sheet=U0&amp;row=3393&amp;col=6&amp;number=3.9&amp;sourceID=14","3.9")</f>
        <v>3.9</v>
      </c>
      <c r="G3393" s="4" t="str">
        <f>HYPERLINK("http://141.218.60.56/~jnz1568/getInfo.php?workbook=16_08.xlsx&amp;sheet=U0&amp;row=3393&amp;col=7&amp;number=0.0372&amp;sourceID=14","0.0372")</f>
        <v>0.0372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HYPERLINK("http://141.218.60.56/~jnz1568/getInfo.php?workbook=16_08.xlsx&amp;sheet=U0&amp;row=3394&amp;col=6&amp;number=4&amp;sourceID=14","4")</f>
        <v>4</v>
      </c>
      <c r="G3394" s="4" t="str">
        <f>HYPERLINK("http://141.218.60.56/~jnz1568/getInfo.php?workbook=16_08.xlsx&amp;sheet=U0&amp;row=3394&amp;col=7&amp;number=0.0372&amp;sourceID=14","0.0372")</f>
        <v>0.0372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HYPERLINK("http://141.218.60.56/~jnz1568/getInfo.php?workbook=16_08.xlsx&amp;sheet=U0&amp;row=3395&amp;col=6&amp;number=4.1&amp;sourceID=14","4.1")</f>
        <v>4.1</v>
      </c>
      <c r="G3395" s="4" t="str">
        <f>HYPERLINK("http://141.218.60.56/~jnz1568/getInfo.php?workbook=16_08.xlsx&amp;sheet=U0&amp;row=3395&amp;col=7&amp;number=0.0372&amp;sourceID=14","0.0372")</f>
        <v>0.0372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HYPERLINK("http://141.218.60.56/~jnz1568/getInfo.php?workbook=16_08.xlsx&amp;sheet=U0&amp;row=3396&amp;col=6&amp;number=4.2&amp;sourceID=14","4.2")</f>
        <v>4.2</v>
      </c>
      <c r="G3396" s="4" t="str">
        <f>HYPERLINK("http://141.218.60.56/~jnz1568/getInfo.php?workbook=16_08.xlsx&amp;sheet=U0&amp;row=3396&amp;col=7&amp;number=0.0371&amp;sourceID=14","0.0371")</f>
        <v>0.0371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HYPERLINK("http://141.218.60.56/~jnz1568/getInfo.php?workbook=16_08.xlsx&amp;sheet=U0&amp;row=3397&amp;col=6&amp;number=4.3&amp;sourceID=14","4.3")</f>
        <v>4.3</v>
      </c>
      <c r="G3397" s="4" t="str">
        <f>HYPERLINK("http://141.218.60.56/~jnz1568/getInfo.php?workbook=16_08.xlsx&amp;sheet=U0&amp;row=3397&amp;col=7&amp;number=0.0371&amp;sourceID=14","0.0371")</f>
        <v>0.0371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HYPERLINK("http://141.218.60.56/~jnz1568/getInfo.php?workbook=16_08.xlsx&amp;sheet=U0&amp;row=3398&amp;col=6&amp;number=4.4&amp;sourceID=14","4.4")</f>
        <v>4.4</v>
      </c>
      <c r="G3398" s="4" t="str">
        <f>HYPERLINK("http://141.218.60.56/~jnz1568/getInfo.php?workbook=16_08.xlsx&amp;sheet=U0&amp;row=3398&amp;col=7&amp;number=0.0371&amp;sourceID=14","0.0371")</f>
        <v>0.0371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HYPERLINK("http://141.218.60.56/~jnz1568/getInfo.php?workbook=16_08.xlsx&amp;sheet=U0&amp;row=3399&amp;col=6&amp;number=4.5&amp;sourceID=14","4.5")</f>
        <v>4.5</v>
      </c>
      <c r="G3399" s="4" t="str">
        <f>HYPERLINK("http://141.218.60.56/~jnz1568/getInfo.php?workbook=16_08.xlsx&amp;sheet=U0&amp;row=3399&amp;col=7&amp;number=0.0371&amp;sourceID=14","0.0371")</f>
        <v>0.0371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HYPERLINK("http://141.218.60.56/~jnz1568/getInfo.php?workbook=16_08.xlsx&amp;sheet=U0&amp;row=3400&amp;col=6&amp;number=4.6&amp;sourceID=14","4.6")</f>
        <v>4.6</v>
      </c>
      <c r="G3400" s="4" t="str">
        <f>HYPERLINK("http://141.218.60.56/~jnz1568/getInfo.php?workbook=16_08.xlsx&amp;sheet=U0&amp;row=3400&amp;col=7&amp;number=0.037&amp;sourceID=14","0.037")</f>
        <v>0.037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HYPERLINK("http://141.218.60.56/~jnz1568/getInfo.php?workbook=16_08.xlsx&amp;sheet=U0&amp;row=3401&amp;col=6&amp;number=4.7&amp;sourceID=14","4.7")</f>
        <v>4.7</v>
      </c>
      <c r="G3401" s="4" t="str">
        <f>HYPERLINK("http://141.218.60.56/~jnz1568/getInfo.php?workbook=16_08.xlsx&amp;sheet=U0&amp;row=3401&amp;col=7&amp;number=0.037&amp;sourceID=14","0.037")</f>
        <v>0.037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HYPERLINK("http://141.218.60.56/~jnz1568/getInfo.php?workbook=16_08.xlsx&amp;sheet=U0&amp;row=3402&amp;col=6&amp;number=4.8&amp;sourceID=14","4.8")</f>
        <v>4.8</v>
      </c>
      <c r="G3402" s="4" t="str">
        <f>HYPERLINK("http://141.218.60.56/~jnz1568/getInfo.php?workbook=16_08.xlsx&amp;sheet=U0&amp;row=3402&amp;col=7&amp;number=0.0369&amp;sourceID=14","0.0369")</f>
        <v>0.0369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HYPERLINK("http://141.218.60.56/~jnz1568/getInfo.php?workbook=16_08.xlsx&amp;sheet=U0&amp;row=3403&amp;col=6&amp;number=4.9&amp;sourceID=14","4.9")</f>
        <v>4.9</v>
      </c>
      <c r="G3403" s="4" t="str">
        <f>HYPERLINK("http://141.218.60.56/~jnz1568/getInfo.php?workbook=16_08.xlsx&amp;sheet=U0&amp;row=3403&amp;col=7&amp;number=0.0368&amp;sourceID=14","0.0368")</f>
        <v>0.0368</v>
      </c>
    </row>
    <row r="3404" spans="1:7">
      <c r="A3404" s="3">
        <v>16</v>
      </c>
      <c r="B3404" s="3">
        <v>8</v>
      </c>
      <c r="C3404" s="3">
        <v>3</v>
      </c>
      <c r="D3404" s="3">
        <v>5</v>
      </c>
      <c r="E3404" s="3">
        <v>1</v>
      </c>
      <c r="F3404" s="4" t="str">
        <f>HYPERLINK("http://141.218.60.56/~jnz1568/getInfo.php?workbook=16_08.xlsx&amp;sheet=U0&amp;row=3404&amp;col=6&amp;number=3&amp;sourceID=14","3")</f>
        <v>3</v>
      </c>
      <c r="G3404" s="4" t="str">
        <f>HYPERLINK("http://141.218.60.56/~jnz1568/getInfo.php?workbook=16_08.xlsx&amp;sheet=U0&amp;row=3404&amp;col=7&amp;number=0.0053&amp;sourceID=14","0.0053")</f>
        <v>0.0053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HYPERLINK("http://141.218.60.56/~jnz1568/getInfo.php?workbook=16_08.xlsx&amp;sheet=U0&amp;row=3405&amp;col=6&amp;number=3.1&amp;sourceID=14","3.1")</f>
        <v>3.1</v>
      </c>
      <c r="G3405" s="4" t="str">
        <f>HYPERLINK("http://141.218.60.56/~jnz1568/getInfo.php?workbook=16_08.xlsx&amp;sheet=U0&amp;row=3405&amp;col=7&amp;number=0.0053&amp;sourceID=14","0.0053")</f>
        <v>0.0053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HYPERLINK("http://141.218.60.56/~jnz1568/getInfo.php?workbook=16_08.xlsx&amp;sheet=U0&amp;row=3406&amp;col=6&amp;number=3.2&amp;sourceID=14","3.2")</f>
        <v>3.2</v>
      </c>
      <c r="G3406" s="4" t="str">
        <f>HYPERLINK("http://141.218.60.56/~jnz1568/getInfo.php?workbook=16_08.xlsx&amp;sheet=U0&amp;row=3406&amp;col=7&amp;number=0.0053&amp;sourceID=14","0.0053")</f>
        <v>0.0053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HYPERLINK("http://141.218.60.56/~jnz1568/getInfo.php?workbook=16_08.xlsx&amp;sheet=U0&amp;row=3407&amp;col=6&amp;number=3.3&amp;sourceID=14","3.3")</f>
        <v>3.3</v>
      </c>
      <c r="G3407" s="4" t="str">
        <f>HYPERLINK("http://141.218.60.56/~jnz1568/getInfo.php?workbook=16_08.xlsx&amp;sheet=U0&amp;row=3407&amp;col=7&amp;number=0.0053&amp;sourceID=14","0.0053")</f>
        <v>0.0053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HYPERLINK("http://141.218.60.56/~jnz1568/getInfo.php?workbook=16_08.xlsx&amp;sheet=U0&amp;row=3408&amp;col=6&amp;number=3.4&amp;sourceID=14","3.4")</f>
        <v>3.4</v>
      </c>
      <c r="G3408" s="4" t="str">
        <f>HYPERLINK("http://141.218.60.56/~jnz1568/getInfo.php?workbook=16_08.xlsx&amp;sheet=U0&amp;row=3408&amp;col=7&amp;number=0.00529&amp;sourceID=14","0.00529")</f>
        <v>0.00529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HYPERLINK("http://141.218.60.56/~jnz1568/getInfo.php?workbook=16_08.xlsx&amp;sheet=U0&amp;row=3409&amp;col=6&amp;number=3.5&amp;sourceID=14","3.5")</f>
        <v>3.5</v>
      </c>
      <c r="G3409" s="4" t="str">
        <f>HYPERLINK("http://141.218.60.56/~jnz1568/getInfo.php?workbook=16_08.xlsx&amp;sheet=U0&amp;row=3409&amp;col=7&amp;number=0.00529&amp;sourceID=14","0.00529")</f>
        <v>0.00529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HYPERLINK("http://141.218.60.56/~jnz1568/getInfo.php?workbook=16_08.xlsx&amp;sheet=U0&amp;row=3410&amp;col=6&amp;number=3.6&amp;sourceID=14","3.6")</f>
        <v>3.6</v>
      </c>
      <c r="G3410" s="4" t="str">
        <f>HYPERLINK("http://141.218.60.56/~jnz1568/getInfo.php?workbook=16_08.xlsx&amp;sheet=U0&amp;row=3410&amp;col=7&amp;number=0.00529&amp;sourceID=14","0.00529")</f>
        <v>0.00529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HYPERLINK("http://141.218.60.56/~jnz1568/getInfo.php?workbook=16_08.xlsx&amp;sheet=U0&amp;row=3411&amp;col=6&amp;number=3.7&amp;sourceID=14","3.7")</f>
        <v>3.7</v>
      </c>
      <c r="G3411" s="4" t="str">
        <f>HYPERLINK("http://141.218.60.56/~jnz1568/getInfo.php?workbook=16_08.xlsx&amp;sheet=U0&amp;row=3411&amp;col=7&amp;number=0.00529&amp;sourceID=14","0.00529")</f>
        <v>0.00529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HYPERLINK("http://141.218.60.56/~jnz1568/getInfo.php?workbook=16_08.xlsx&amp;sheet=U0&amp;row=3412&amp;col=6&amp;number=3.8&amp;sourceID=14","3.8")</f>
        <v>3.8</v>
      </c>
      <c r="G3412" s="4" t="str">
        <f>HYPERLINK("http://141.218.60.56/~jnz1568/getInfo.php?workbook=16_08.xlsx&amp;sheet=U0&amp;row=3412&amp;col=7&amp;number=0.00529&amp;sourceID=14","0.00529")</f>
        <v>0.00529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HYPERLINK("http://141.218.60.56/~jnz1568/getInfo.php?workbook=16_08.xlsx&amp;sheet=U0&amp;row=3413&amp;col=6&amp;number=3.9&amp;sourceID=14","3.9")</f>
        <v>3.9</v>
      </c>
      <c r="G3413" s="4" t="str">
        <f>HYPERLINK("http://141.218.60.56/~jnz1568/getInfo.php?workbook=16_08.xlsx&amp;sheet=U0&amp;row=3413&amp;col=7&amp;number=0.00529&amp;sourceID=14","0.00529")</f>
        <v>0.00529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HYPERLINK("http://141.218.60.56/~jnz1568/getInfo.php?workbook=16_08.xlsx&amp;sheet=U0&amp;row=3414&amp;col=6&amp;number=4&amp;sourceID=14","4")</f>
        <v>4</v>
      </c>
      <c r="G3414" s="4" t="str">
        <f>HYPERLINK("http://141.218.60.56/~jnz1568/getInfo.php?workbook=16_08.xlsx&amp;sheet=U0&amp;row=3414&amp;col=7&amp;number=0.00529&amp;sourceID=14","0.00529")</f>
        <v>0.00529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HYPERLINK("http://141.218.60.56/~jnz1568/getInfo.php?workbook=16_08.xlsx&amp;sheet=U0&amp;row=3415&amp;col=6&amp;number=4.1&amp;sourceID=14","4.1")</f>
        <v>4.1</v>
      </c>
      <c r="G3415" s="4" t="str">
        <f>HYPERLINK("http://141.218.60.56/~jnz1568/getInfo.php?workbook=16_08.xlsx&amp;sheet=U0&amp;row=3415&amp;col=7&amp;number=0.00529&amp;sourceID=14","0.00529")</f>
        <v>0.00529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HYPERLINK("http://141.218.60.56/~jnz1568/getInfo.php?workbook=16_08.xlsx&amp;sheet=U0&amp;row=3416&amp;col=6&amp;number=4.2&amp;sourceID=14","4.2")</f>
        <v>4.2</v>
      </c>
      <c r="G3416" s="4" t="str">
        <f>HYPERLINK("http://141.218.60.56/~jnz1568/getInfo.php?workbook=16_08.xlsx&amp;sheet=U0&amp;row=3416&amp;col=7&amp;number=0.00528&amp;sourceID=14","0.00528")</f>
        <v>0.00528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HYPERLINK("http://141.218.60.56/~jnz1568/getInfo.php?workbook=16_08.xlsx&amp;sheet=U0&amp;row=3417&amp;col=6&amp;number=4.3&amp;sourceID=14","4.3")</f>
        <v>4.3</v>
      </c>
      <c r="G3417" s="4" t="str">
        <f>HYPERLINK("http://141.218.60.56/~jnz1568/getInfo.php?workbook=16_08.xlsx&amp;sheet=U0&amp;row=3417&amp;col=7&amp;number=0.00528&amp;sourceID=14","0.00528")</f>
        <v>0.00528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HYPERLINK("http://141.218.60.56/~jnz1568/getInfo.php?workbook=16_08.xlsx&amp;sheet=U0&amp;row=3418&amp;col=6&amp;number=4.4&amp;sourceID=14","4.4")</f>
        <v>4.4</v>
      </c>
      <c r="G3418" s="4" t="str">
        <f>HYPERLINK("http://141.218.60.56/~jnz1568/getInfo.php?workbook=16_08.xlsx&amp;sheet=U0&amp;row=3418&amp;col=7&amp;number=0.00528&amp;sourceID=14","0.00528")</f>
        <v>0.00528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HYPERLINK("http://141.218.60.56/~jnz1568/getInfo.php?workbook=16_08.xlsx&amp;sheet=U0&amp;row=3419&amp;col=6&amp;number=4.5&amp;sourceID=14","4.5")</f>
        <v>4.5</v>
      </c>
      <c r="G3419" s="4" t="str">
        <f>HYPERLINK("http://141.218.60.56/~jnz1568/getInfo.php?workbook=16_08.xlsx&amp;sheet=U0&amp;row=3419&amp;col=7&amp;number=0.00527&amp;sourceID=14","0.00527")</f>
        <v>0.00527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HYPERLINK("http://141.218.60.56/~jnz1568/getInfo.php?workbook=16_08.xlsx&amp;sheet=U0&amp;row=3420&amp;col=6&amp;number=4.6&amp;sourceID=14","4.6")</f>
        <v>4.6</v>
      </c>
      <c r="G3420" s="4" t="str">
        <f>HYPERLINK("http://141.218.60.56/~jnz1568/getInfo.php?workbook=16_08.xlsx&amp;sheet=U0&amp;row=3420&amp;col=7&amp;number=0.00526&amp;sourceID=14","0.00526")</f>
        <v>0.00526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HYPERLINK("http://141.218.60.56/~jnz1568/getInfo.php?workbook=16_08.xlsx&amp;sheet=U0&amp;row=3421&amp;col=6&amp;number=4.7&amp;sourceID=14","4.7")</f>
        <v>4.7</v>
      </c>
      <c r="G3421" s="4" t="str">
        <f>HYPERLINK("http://141.218.60.56/~jnz1568/getInfo.php?workbook=16_08.xlsx&amp;sheet=U0&amp;row=3421&amp;col=7&amp;number=0.00526&amp;sourceID=14","0.00526")</f>
        <v>0.00526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HYPERLINK("http://141.218.60.56/~jnz1568/getInfo.php?workbook=16_08.xlsx&amp;sheet=U0&amp;row=3422&amp;col=6&amp;number=4.8&amp;sourceID=14","4.8")</f>
        <v>4.8</v>
      </c>
      <c r="G3422" s="4" t="str">
        <f>HYPERLINK("http://141.218.60.56/~jnz1568/getInfo.php?workbook=16_08.xlsx&amp;sheet=U0&amp;row=3422&amp;col=7&amp;number=0.00524&amp;sourceID=14","0.00524")</f>
        <v>0.00524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HYPERLINK("http://141.218.60.56/~jnz1568/getInfo.php?workbook=16_08.xlsx&amp;sheet=U0&amp;row=3423&amp;col=6&amp;number=4.9&amp;sourceID=14","4.9")</f>
        <v>4.9</v>
      </c>
      <c r="G3423" s="4" t="str">
        <f>HYPERLINK("http://141.218.60.56/~jnz1568/getInfo.php?workbook=16_08.xlsx&amp;sheet=U0&amp;row=3423&amp;col=7&amp;number=0.00523&amp;sourceID=14","0.00523")</f>
        <v>0.00523</v>
      </c>
    </row>
    <row r="3424" spans="1:7">
      <c r="A3424" s="3">
        <v>16</v>
      </c>
      <c r="B3424" s="3">
        <v>8</v>
      </c>
      <c r="C3424" s="3">
        <v>3</v>
      </c>
      <c r="D3424" s="3">
        <v>6</v>
      </c>
      <c r="E3424" s="3">
        <v>1</v>
      </c>
      <c r="F3424" s="4" t="str">
        <f>HYPERLINK("http://141.218.60.56/~jnz1568/getInfo.php?workbook=16_08.xlsx&amp;sheet=U0&amp;row=3424&amp;col=6&amp;number=3&amp;sourceID=14","3")</f>
        <v>3</v>
      </c>
      <c r="G3424" s="4" t="str">
        <f>HYPERLINK("http://141.218.60.56/~jnz1568/getInfo.php?workbook=16_08.xlsx&amp;sheet=U0&amp;row=3424&amp;col=7&amp;number=0.00679&amp;sourceID=14","0.00679")</f>
        <v>0.00679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HYPERLINK("http://141.218.60.56/~jnz1568/getInfo.php?workbook=16_08.xlsx&amp;sheet=U0&amp;row=3425&amp;col=6&amp;number=3.1&amp;sourceID=14","3.1")</f>
        <v>3.1</v>
      </c>
      <c r="G3425" s="4" t="str">
        <f>HYPERLINK("http://141.218.60.56/~jnz1568/getInfo.php?workbook=16_08.xlsx&amp;sheet=U0&amp;row=3425&amp;col=7&amp;number=0.00679&amp;sourceID=14","0.00679")</f>
        <v>0.00679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HYPERLINK("http://141.218.60.56/~jnz1568/getInfo.php?workbook=16_08.xlsx&amp;sheet=U0&amp;row=3426&amp;col=6&amp;number=3.2&amp;sourceID=14","3.2")</f>
        <v>3.2</v>
      </c>
      <c r="G3426" s="4" t="str">
        <f>HYPERLINK("http://141.218.60.56/~jnz1568/getInfo.php?workbook=16_08.xlsx&amp;sheet=U0&amp;row=3426&amp;col=7&amp;number=0.00679&amp;sourceID=14","0.00679")</f>
        <v>0.00679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HYPERLINK("http://141.218.60.56/~jnz1568/getInfo.php?workbook=16_08.xlsx&amp;sheet=U0&amp;row=3427&amp;col=6&amp;number=3.3&amp;sourceID=14","3.3")</f>
        <v>3.3</v>
      </c>
      <c r="G3427" s="4" t="str">
        <f>HYPERLINK("http://141.218.60.56/~jnz1568/getInfo.php?workbook=16_08.xlsx&amp;sheet=U0&amp;row=3427&amp;col=7&amp;number=0.00678&amp;sourceID=14","0.00678")</f>
        <v>0.00678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HYPERLINK("http://141.218.60.56/~jnz1568/getInfo.php?workbook=16_08.xlsx&amp;sheet=U0&amp;row=3428&amp;col=6&amp;number=3.4&amp;sourceID=14","3.4")</f>
        <v>3.4</v>
      </c>
      <c r="G3428" s="4" t="str">
        <f>HYPERLINK("http://141.218.60.56/~jnz1568/getInfo.php?workbook=16_08.xlsx&amp;sheet=U0&amp;row=3428&amp;col=7&amp;number=0.00678&amp;sourceID=14","0.00678")</f>
        <v>0.00678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HYPERLINK("http://141.218.60.56/~jnz1568/getInfo.php?workbook=16_08.xlsx&amp;sheet=U0&amp;row=3429&amp;col=6&amp;number=3.5&amp;sourceID=14","3.5")</f>
        <v>3.5</v>
      </c>
      <c r="G3429" s="4" t="str">
        <f>HYPERLINK("http://141.218.60.56/~jnz1568/getInfo.php?workbook=16_08.xlsx&amp;sheet=U0&amp;row=3429&amp;col=7&amp;number=0.00678&amp;sourceID=14","0.00678")</f>
        <v>0.00678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HYPERLINK("http://141.218.60.56/~jnz1568/getInfo.php?workbook=16_08.xlsx&amp;sheet=U0&amp;row=3430&amp;col=6&amp;number=3.6&amp;sourceID=14","3.6")</f>
        <v>3.6</v>
      </c>
      <c r="G3430" s="4" t="str">
        <f>HYPERLINK("http://141.218.60.56/~jnz1568/getInfo.php?workbook=16_08.xlsx&amp;sheet=U0&amp;row=3430&amp;col=7&amp;number=0.00678&amp;sourceID=14","0.00678")</f>
        <v>0.00678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HYPERLINK("http://141.218.60.56/~jnz1568/getInfo.php?workbook=16_08.xlsx&amp;sheet=U0&amp;row=3431&amp;col=6&amp;number=3.7&amp;sourceID=14","3.7")</f>
        <v>3.7</v>
      </c>
      <c r="G3431" s="4" t="str">
        <f>HYPERLINK("http://141.218.60.56/~jnz1568/getInfo.php?workbook=16_08.xlsx&amp;sheet=U0&amp;row=3431&amp;col=7&amp;number=0.00678&amp;sourceID=14","0.00678")</f>
        <v>0.00678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HYPERLINK("http://141.218.60.56/~jnz1568/getInfo.php?workbook=16_08.xlsx&amp;sheet=U0&amp;row=3432&amp;col=6&amp;number=3.8&amp;sourceID=14","3.8")</f>
        <v>3.8</v>
      </c>
      <c r="G3432" s="4" t="str">
        <f>HYPERLINK("http://141.218.60.56/~jnz1568/getInfo.php?workbook=16_08.xlsx&amp;sheet=U0&amp;row=3432&amp;col=7&amp;number=0.00678&amp;sourceID=14","0.00678")</f>
        <v>0.00678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HYPERLINK("http://141.218.60.56/~jnz1568/getInfo.php?workbook=16_08.xlsx&amp;sheet=U0&amp;row=3433&amp;col=6&amp;number=3.9&amp;sourceID=14","3.9")</f>
        <v>3.9</v>
      </c>
      <c r="G3433" s="4" t="str">
        <f>HYPERLINK("http://141.218.60.56/~jnz1568/getInfo.php?workbook=16_08.xlsx&amp;sheet=U0&amp;row=3433&amp;col=7&amp;number=0.00678&amp;sourceID=14","0.00678")</f>
        <v>0.00678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HYPERLINK("http://141.218.60.56/~jnz1568/getInfo.php?workbook=16_08.xlsx&amp;sheet=U0&amp;row=3434&amp;col=6&amp;number=4&amp;sourceID=14","4")</f>
        <v>4</v>
      </c>
      <c r="G3434" s="4" t="str">
        <f>HYPERLINK("http://141.218.60.56/~jnz1568/getInfo.php?workbook=16_08.xlsx&amp;sheet=U0&amp;row=3434&amp;col=7&amp;number=0.00678&amp;sourceID=14","0.00678")</f>
        <v>0.00678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HYPERLINK("http://141.218.60.56/~jnz1568/getInfo.php?workbook=16_08.xlsx&amp;sheet=U0&amp;row=3435&amp;col=6&amp;number=4.1&amp;sourceID=14","4.1")</f>
        <v>4.1</v>
      </c>
      <c r="G3435" s="4" t="str">
        <f>HYPERLINK("http://141.218.60.56/~jnz1568/getInfo.php?workbook=16_08.xlsx&amp;sheet=U0&amp;row=3435&amp;col=7&amp;number=0.00677&amp;sourceID=14","0.00677")</f>
        <v>0.00677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HYPERLINK("http://141.218.60.56/~jnz1568/getInfo.php?workbook=16_08.xlsx&amp;sheet=U0&amp;row=3436&amp;col=6&amp;number=4.2&amp;sourceID=14","4.2")</f>
        <v>4.2</v>
      </c>
      <c r="G3436" s="4" t="str">
        <f>HYPERLINK("http://141.218.60.56/~jnz1568/getInfo.php?workbook=16_08.xlsx&amp;sheet=U0&amp;row=3436&amp;col=7&amp;number=0.00677&amp;sourceID=14","0.00677")</f>
        <v>0.00677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HYPERLINK("http://141.218.60.56/~jnz1568/getInfo.php?workbook=16_08.xlsx&amp;sheet=U0&amp;row=3437&amp;col=6&amp;number=4.3&amp;sourceID=14","4.3")</f>
        <v>4.3</v>
      </c>
      <c r="G3437" s="4" t="str">
        <f>HYPERLINK("http://141.218.60.56/~jnz1568/getInfo.php?workbook=16_08.xlsx&amp;sheet=U0&amp;row=3437&amp;col=7&amp;number=0.00677&amp;sourceID=14","0.00677")</f>
        <v>0.00677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HYPERLINK("http://141.218.60.56/~jnz1568/getInfo.php?workbook=16_08.xlsx&amp;sheet=U0&amp;row=3438&amp;col=6&amp;number=4.4&amp;sourceID=14","4.4")</f>
        <v>4.4</v>
      </c>
      <c r="G3438" s="4" t="str">
        <f>HYPERLINK("http://141.218.60.56/~jnz1568/getInfo.php?workbook=16_08.xlsx&amp;sheet=U0&amp;row=3438&amp;col=7&amp;number=0.00676&amp;sourceID=14","0.00676")</f>
        <v>0.00676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HYPERLINK("http://141.218.60.56/~jnz1568/getInfo.php?workbook=16_08.xlsx&amp;sheet=U0&amp;row=3439&amp;col=6&amp;number=4.5&amp;sourceID=14","4.5")</f>
        <v>4.5</v>
      </c>
      <c r="G3439" s="4" t="str">
        <f>HYPERLINK("http://141.218.60.56/~jnz1568/getInfo.php?workbook=16_08.xlsx&amp;sheet=U0&amp;row=3439&amp;col=7&amp;number=0.00675&amp;sourceID=14","0.00675")</f>
        <v>0.00675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HYPERLINK("http://141.218.60.56/~jnz1568/getInfo.php?workbook=16_08.xlsx&amp;sheet=U0&amp;row=3440&amp;col=6&amp;number=4.6&amp;sourceID=14","4.6")</f>
        <v>4.6</v>
      </c>
      <c r="G3440" s="4" t="str">
        <f>HYPERLINK("http://141.218.60.56/~jnz1568/getInfo.php?workbook=16_08.xlsx&amp;sheet=U0&amp;row=3440&amp;col=7&amp;number=0.00675&amp;sourceID=14","0.00675")</f>
        <v>0.00675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HYPERLINK("http://141.218.60.56/~jnz1568/getInfo.php?workbook=16_08.xlsx&amp;sheet=U0&amp;row=3441&amp;col=6&amp;number=4.7&amp;sourceID=14","4.7")</f>
        <v>4.7</v>
      </c>
      <c r="G3441" s="4" t="str">
        <f>HYPERLINK("http://141.218.60.56/~jnz1568/getInfo.php?workbook=16_08.xlsx&amp;sheet=U0&amp;row=3441&amp;col=7&amp;number=0.00674&amp;sourceID=14","0.00674")</f>
        <v>0.00674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HYPERLINK("http://141.218.60.56/~jnz1568/getInfo.php?workbook=16_08.xlsx&amp;sheet=U0&amp;row=3442&amp;col=6&amp;number=4.8&amp;sourceID=14","4.8")</f>
        <v>4.8</v>
      </c>
      <c r="G3442" s="4" t="str">
        <f>HYPERLINK("http://141.218.60.56/~jnz1568/getInfo.php?workbook=16_08.xlsx&amp;sheet=U0&amp;row=3442&amp;col=7&amp;number=0.00672&amp;sourceID=14","0.00672")</f>
        <v>0.00672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HYPERLINK("http://141.218.60.56/~jnz1568/getInfo.php?workbook=16_08.xlsx&amp;sheet=U0&amp;row=3443&amp;col=6&amp;number=4.9&amp;sourceID=14","4.9")</f>
        <v>4.9</v>
      </c>
      <c r="G3443" s="4" t="str">
        <f>HYPERLINK("http://141.218.60.56/~jnz1568/getInfo.php?workbook=16_08.xlsx&amp;sheet=U0&amp;row=3443&amp;col=7&amp;number=0.00671&amp;sourceID=14","0.00671")</f>
        <v>0.00671</v>
      </c>
    </row>
    <row r="3444" spans="1:7">
      <c r="A3444" s="3">
        <v>16</v>
      </c>
      <c r="B3444" s="3">
        <v>8</v>
      </c>
      <c r="C3444" s="3">
        <v>3</v>
      </c>
      <c r="D3444" s="3">
        <v>7</v>
      </c>
      <c r="E3444" s="3">
        <v>1</v>
      </c>
      <c r="F3444" s="4" t="str">
        <f>HYPERLINK("http://141.218.60.56/~jnz1568/getInfo.php?workbook=16_08.xlsx&amp;sheet=U0&amp;row=3444&amp;col=6&amp;number=3&amp;sourceID=14","3")</f>
        <v>3</v>
      </c>
      <c r="G3444" s="4" t="str">
        <f>HYPERLINK("http://141.218.60.56/~jnz1568/getInfo.php?workbook=16_08.xlsx&amp;sheet=U0&amp;row=3444&amp;col=7&amp;number=0.288&amp;sourceID=14","0.288")</f>
        <v>0.288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HYPERLINK("http://141.218.60.56/~jnz1568/getInfo.php?workbook=16_08.xlsx&amp;sheet=U0&amp;row=3445&amp;col=6&amp;number=3.1&amp;sourceID=14","3.1")</f>
        <v>3.1</v>
      </c>
      <c r="G3445" s="4" t="str">
        <f>HYPERLINK("http://141.218.60.56/~jnz1568/getInfo.php?workbook=16_08.xlsx&amp;sheet=U0&amp;row=3445&amp;col=7&amp;number=0.288&amp;sourceID=14","0.288")</f>
        <v>0.288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HYPERLINK("http://141.218.60.56/~jnz1568/getInfo.php?workbook=16_08.xlsx&amp;sheet=U0&amp;row=3446&amp;col=6&amp;number=3.2&amp;sourceID=14","3.2")</f>
        <v>3.2</v>
      </c>
      <c r="G3446" s="4" t="str">
        <f>HYPERLINK("http://141.218.60.56/~jnz1568/getInfo.php?workbook=16_08.xlsx&amp;sheet=U0&amp;row=3446&amp;col=7&amp;number=0.288&amp;sourceID=14","0.288")</f>
        <v>0.288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HYPERLINK("http://141.218.60.56/~jnz1568/getInfo.php?workbook=16_08.xlsx&amp;sheet=U0&amp;row=3447&amp;col=6&amp;number=3.3&amp;sourceID=14","3.3")</f>
        <v>3.3</v>
      </c>
      <c r="G3447" s="4" t="str">
        <f>HYPERLINK("http://141.218.60.56/~jnz1568/getInfo.php?workbook=16_08.xlsx&amp;sheet=U0&amp;row=3447&amp;col=7&amp;number=0.288&amp;sourceID=14","0.288")</f>
        <v>0.288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HYPERLINK("http://141.218.60.56/~jnz1568/getInfo.php?workbook=16_08.xlsx&amp;sheet=U0&amp;row=3448&amp;col=6&amp;number=3.4&amp;sourceID=14","3.4")</f>
        <v>3.4</v>
      </c>
      <c r="G3448" s="4" t="str">
        <f>HYPERLINK("http://141.218.60.56/~jnz1568/getInfo.php?workbook=16_08.xlsx&amp;sheet=U0&amp;row=3448&amp;col=7&amp;number=0.288&amp;sourceID=14","0.288")</f>
        <v>0.288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HYPERLINK("http://141.218.60.56/~jnz1568/getInfo.php?workbook=16_08.xlsx&amp;sheet=U0&amp;row=3449&amp;col=6&amp;number=3.5&amp;sourceID=14","3.5")</f>
        <v>3.5</v>
      </c>
      <c r="G3449" s="4" t="str">
        <f>HYPERLINK("http://141.218.60.56/~jnz1568/getInfo.php?workbook=16_08.xlsx&amp;sheet=U0&amp;row=3449&amp;col=7&amp;number=0.288&amp;sourceID=14","0.288")</f>
        <v>0.288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HYPERLINK("http://141.218.60.56/~jnz1568/getInfo.php?workbook=16_08.xlsx&amp;sheet=U0&amp;row=3450&amp;col=6&amp;number=3.6&amp;sourceID=14","3.6")</f>
        <v>3.6</v>
      </c>
      <c r="G3450" s="4" t="str">
        <f>HYPERLINK("http://141.218.60.56/~jnz1568/getInfo.php?workbook=16_08.xlsx&amp;sheet=U0&amp;row=3450&amp;col=7&amp;number=0.288&amp;sourceID=14","0.288")</f>
        <v>0.288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HYPERLINK("http://141.218.60.56/~jnz1568/getInfo.php?workbook=16_08.xlsx&amp;sheet=U0&amp;row=3451&amp;col=6&amp;number=3.7&amp;sourceID=14","3.7")</f>
        <v>3.7</v>
      </c>
      <c r="G3451" s="4" t="str">
        <f>HYPERLINK("http://141.218.60.56/~jnz1568/getInfo.php?workbook=16_08.xlsx&amp;sheet=U0&amp;row=3451&amp;col=7&amp;number=0.288&amp;sourceID=14","0.288")</f>
        <v>0.288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HYPERLINK("http://141.218.60.56/~jnz1568/getInfo.php?workbook=16_08.xlsx&amp;sheet=U0&amp;row=3452&amp;col=6&amp;number=3.8&amp;sourceID=14","3.8")</f>
        <v>3.8</v>
      </c>
      <c r="G3452" s="4" t="str">
        <f>HYPERLINK("http://141.218.60.56/~jnz1568/getInfo.php?workbook=16_08.xlsx&amp;sheet=U0&amp;row=3452&amp;col=7&amp;number=0.289&amp;sourceID=14","0.289")</f>
        <v>0.289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HYPERLINK("http://141.218.60.56/~jnz1568/getInfo.php?workbook=16_08.xlsx&amp;sheet=U0&amp;row=3453&amp;col=6&amp;number=3.9&amp;sourceID=14","3.9")</f>
        <v>3.9</v>
      </c>
      <c r="G3453" s="4" t="str">
        <f>HYPERLINK("http://141.218.60.56/~jnz1568/getInfo.php?workbook=16_08.xlsx&amp;sheet=U0&amp;row=3453&amp;col=7&amp;number=0.289&amp;sourceID=14","0.289")</f>
        <v>0.289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HYPERLINK("http://141.218.60.56/~jnz1568/getInfo.php?workbook=16_08.xlsx&amp;sheet=U0&amp;row=3454&amp;col=6&amp;number=4&amp;sourceID=14","4")</f>
        <v>4</v>
      </c>
      <c r="G3454" s="4" t="str">
        <f>HYPERLINK("http://141.218.60.56/~jnz1568/getInfo.php?workbook=16_08.xlsx&amp;sheet=U0&amp;row=3454&amp;col=7&amp;number=0.289&amp;sourceID=14","0.289")</f>
        <v>0.289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HYPERLINK("http://141.218.60.56/~jnz1568/getInfo.php?workbook=16_08.xlsx&amp;sheet=U0&amp;row=3455&amp;col=6&amp;number=4.1&amp;sourceID=14","4.1")</f>
        <v>4.1</v>
      </c>
      <c r="G3455" s="4" t="str">
        <f>HYPERLINK("http://141.218.60.56/~jnz1568/getInfo.php?workbook=16_08.xlsx&amp;sheet=U0&amp;row=3455&amp;col=7&amp;number=0.289&amp;sourceID=14","0.289")</f>
        <v>0.289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HYPERLINK("http://141.218.60.56/~jnz1568/getInfo.php?workbook=16_08.xlsx&amp;sheet=U0&amp;row=3456&amp;col=6&amp;number=4.2&amp;sourceID=14","4.2")</f>
        <v>4.2</v>
      </c>
      <c r="G3456" s="4" t="str">
        <f>HYPERLINK("http://141.218.60.56/~jnz1568/getInfo.php?workbook=16_08.xlsx&amp;sheet=U0&amp;row=3456&amp;col=7&amp;number=0.29&amp;sourceID=14","0.29")</f>
        <v>0.29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HYPERLINK("http://141.218.60.56/~jnz1568/getInfo.php?workbook=16_08.xlsx&amp;sheet=U0&amp;row=3457&amp;col=6&amp;number=4.3&amp;sourceID=14","4.3")</f>
        <v>4.3</v>
      </c>
      <c r="G3457" s="4" t="str">
        <f>HYPERLINK("http://141.218.60.56/~jnz1568/getInfo.php?workbook=16_08.xlsx&amp;sheet=U0&amp;row=3457&amp;col=7&amp;number=0.29&amp;sourceID=14","0.29")</f>
        <v>0.29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HYPERLINK("http://141.218.60.56/~jnz1568/getInfo.php?workbook=16_08.xlsx&amp;sheet=U0&amp;row=3458&amp;col=6&amp;number=4.4&amp;sourceID=14","4.4")</f>
        <v>4.4</v>
      </c>
      <c r="G3458" s="4" t="str">
        <f>HYPERLINK("http://141.218.60.56/~jnz1568/getInfo.php?workbook=16_08.xlsx&amp;sheet=U0&amp;row=3458&amp;col=7&amp;number=0.291&amp;sourceID=14","0.291")</f>
        <v>0.291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HYPERLINK("http://141.218.60.56/~jnz1568/getInfo.php?workbook=16_08.xlsx&amp;sheet=U0&amp;row=3459&amp;col=6&amp;number=4.5&amp;sourceID=14","4.5")</f>
        <v>4.5</v>
      </c>
      <c r="G3459" s="4" t="str">
        <f>HYPERLINK("http://141.218.60.56/~jnz1568/getInfo.php?workbook=16_08.xlsx&amp;sheet=U0&amp;row=3459&amp;col=7&amp;number=0.292&amp;sourceID=14","0.292")</f>
        <v>0.292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HYPERLINK("http://141.218.60.56/~jnz1568/getInfo.php?workbook=16_08.xlsx&amp;sheet=U0&amp;row=3460&amp;col=6&amp;number=4.6&amp;sourceID=14","4.6")</f>
        <v>4.6</v>
      </c>
      <c r="G3460" s="4" t="str">
        <f>HYPERLINK("http://141.218.60.56/~jnz1568/getInfo.php?workbook=16_08.xlsx&amp;sheet=U0&amp;row=3460&amp;col=7&amp;number=0.292&amp;sourceID=14","0.292")</f>
        <v>0.292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HYPERLINK("http://141.218.60.56/~jnz1568/getInfo.php?workbook=16_08.xlsx&amp;sheet=U0&amp;row=3461&amp;col=6&amp;number=4.7&amp;sourceID=14","4.7")</f>
        <v>4.7</v>
      </c>
      <c r="G3461" s="4" t="str">
        <f>HYPERLINK("http://141.218.60.56/~jnz1568/getInfo.php?workbook=16_08.xlsx&amp;sheet=U0&amp;row=3461&amp;col=7&amp;number=0.294&amp;sourceID=14","0.294")</f>
        <v>0.294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HYPERLINK("http://141.218.60.56/~jnz1568/getInfo.php?workbook=16_08.xlsx&amp;sheet=U0&amp;row=3462&amp;col=6&amp;number=4.8&amp;sourceID=14","4.8")</f>
        <v>4.8</v>
      </c>
      <c r="G3462" s="4" t="str">
        <f>HYPERLINK("http://141.218.60.56/~jnz1568/getInfo.php?workbook=16_08.xlsx&amp;sheet=U0&amp;row=3462&amp;col=7&amp;number=0.295&amp;sourceID=14","0.295")</f>
        <v>0.295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HYPERLINK("http://141.218.60.56/~jnz1568/getInfo.php?workbook=16_08.xlsx&amp;sheet=U0&amp;row=3463&amp;col=6&amp;number=4.9&amp;sourceID=14","4.9")</f>
        <v>4.9</v>
      </c>
      <c r="G3463" s="4" t="str">
        <f>HYPERLINK("http://141.218.60.56/~jnz1568/getInfo.php?workbook=16_08.xlsx&amp;sheet=U0&amp;row=3463&amp;col=7&amp;number=0.297&amp;sourceID=14","0.297")</f>
        <v>0.297</v>
      </c>
    </row>
    <row r="3464" spans="1:7">
      <c r="A3464" s="3">
        <v>16</v>
      </c>
      <c r="B3464" s="3">
        <v>8</v>
      </c>
      <c r="C3464" s="3">
        <v>3</v>
      </c>
      <c r="D3464" s="3">
        <v>8</v>
      </c>
      <c r="E3464" s="3">
        <v>1</v>
      </c>
      <c r="F3464" s="4" t="str">
        <f>HYPERLINK("http://141.218.60.56/~jnz1568/getInfo.php?workbook=16_08.xlsx&amp;sheet=U0&amp;row=3464&amp;col=6&amp;number=3&amp;sourceID=14","3")</f>
        <v>3</v>
      </c>
      <c r="G3464" s="4" t="str">
        <f>HYPERLINK("http://141.218.60.56/~jnz1568/getInfo.php?workbook=16_08.xlsx&amp;sheet=U0&amp;row=3464&amp;col=7&amp;number=0.00334&amp;sourceID=14","0.00334")</f>
        <v>0.00334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HYPERLINK("http://141.218.60.56/~jnz1568/getInfo.php?workbook=16_08.xlsx&amp;sheet=U0&amp;row=3465&amp;col=6&amp;number=3.1&amp;sourceID=14","3.1")</f>
        <v>3.1</v>
      </c>
      <c r="G3465" s="4" t="str">
        <f>HYPERLINK("http://141.218.60.56/~jnz1568/getInfo.php?workbook=16_08.xlsx&amp;sheet=U0&amp;row=3465&amp;col=7&amp;number=0.00334&amp;sourceID=14","0.00334")</f>
        <v>0.00334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HYPERLINK("http://141.218.60.56/~jnz1568/getInfo.php?workbook=16_08.xlsx&amp;sheet=U0&amp;row=3466&amp;col=6&amp;number=3.2&amp;sourceID=14","3.2")</f>
        <v>3.2</v>
      </c>
      <c r="G3466" s="4" t="str">
        <f>HYPERLINK("http://141.218.60.56/~jnz1568/getInfo.php?workbook=16_08.xlsx&amp;sheet=U0&amp;row=3466&amp;col=7&amp;number=0.00334&amp;sourceID=14","0.00334")</f>
        <v>0.00334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HYPERLINK("http://141.218.60.56/~jnz1568/getInfo.php?workbook=16_08.xlsx&amp;sheet=U0&amp;row=3467&amp;col=6&amp;number=3.3&amp;sourceID=14","3.3")</f>
        <v>3.3</v>
      </c>
      <c r="G3467" s="4" t="str">
        <f>HYPERLINK("http://141.218.60.56/~jnz1568/getInfo.php?workbook=16_08.xlsx&amp;sheet=U0&amp;row=3467&amp;col=7&amp;number=0.00334&amp;sourceID=14","0.00334")</f>
        <v>0.00334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HYPERLINK("http://141.218.60.56/~jnz1568/getInfo.php?workbook=16_08.xlsx&amp;sheet=U0&amp;row=3468&amp;col=6&amp;number=3.4&amp;sourceID=14","3.4")</f>
        <v>3.4</v>
      </c>
      <c r="G3468" s="4" t="str">
        <f>HYPERLINK("http://141.218.60.56/~jnz1568/getInfo.php?workbook=16_08.xlsx&amp;sheet=U0&amp;row=3468&amp;col=7&amp;number=0.00333&amp;sourceID=14","0.00333")</f>
        <v>0.00333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HYPERLINK("http://141.218.60.56/~jnz1568/getInfo.php?workbook=16_08.xlsx&amp;sheet=U0&amp;row=3469&amp;col=6&amp;number=3.5&amp;sourceID=14","3.5")</f>
        <v>3.5</v>
      </c>
      <c r="G3469" s="4" t="str">
        <f>HYPERLINK("http://141.218.60.56/~jnz1568/getInfo.php?workbook=16_08.xlsx&amp;sheet=U0&amp;row=3469&amp;col=7&amp;number=0.00333&amp;sourceID=14","0.00333")</f>
        <v>0.00333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HYPERLINK("http://141.218.60.56/~jnz1568/getInfo.php?workbook=16_08.xlsx&amp;sheet=U0&amp;row=3470&amp;col=6&amp;number=3.6&amp;sourceID=14","3.6")</f>
        <v>3.6</v>
      </c>
      <c r="G3470" s="4" t="str">
        <f>HYPERLINK("http://141.218.60.56/~jnz1568/getInfo.php?workbook=16_08.xlsx&amp;sheet=U0&amp;row=3470&amp;col=7&amp;number=0.00333&amp;sourceID=14","0.00333")</f>
        <v>0.00333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HYPERLINK("http://141.218.60.56/~jnz1568/getInfo.php?workbook=16_08.xlsx&amp;sheet=U0&amp;row=3471&amp;col=6&amp;number=3.7&amp;sourceID=14","3.7")</f>
        <v>3.7</v>
      </c>
      <c r="G3471" s="4" t="str">
        <f>HYPERLINK("http://141.218.60.56/~jnz1568/getInfo.php?workbook=16_08.xlsx&amp;sheet=U0&amp;row=3471&amp;col=7&amp;number=0.00333&amp;sourceID=14","0.00333")</f>
        <v>0.00333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HYPERLINK("http://141.218.60.56/~jnz1568/getInfo.php?workbook=16_08.xlsx&amp;sheet=U0&amp;row=3472&amp;col=6&amp;number=3.8&amp;sourceID=14","3.8")</f>
        <v>3.8</v>
      </c>
      <c r="G3472" s="4" t="str">
        <f>HYPERLINK("http://141.218.60.56/~jnz1568/getInfo.php?workbook=16_08.xlsx&amp;sheet=U0&amp;row=3472&amp;col=7&amp;number=0.00333&amp;sourceID=14","0.00333")</f>
        <v>0.00333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HYPERLINK("http://141.218.60.56/~jnz1568/getInfo.php?workbook=16_08.xlsx&amp;sheet=U0&amp;row=3473&amp;col=6&amp;number=3.9&amp;sourceID=14","3.9")</f>
        <v>3.9</v>
      </c>
      <c r="G3473" s="4" t="str">
        <f>HYPERLINK("http://141.218.60.56/~jnz1568/getInfo.php?workbook=16_08.xlsx&amp;sheet=U0&amp;row=3473&amp;col=7&amp;number=0.00333&amp;sourceID=14","0.00333")</f>
        <v>0.00333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HYPERLINK("http://141.218.60.56/~jnz1568/getInfo.php?workbook=16_08.xlsx&amp;sheet=U0&amp;row=3474&amp;col=6&amp;number=4&amp;sourceID=14","4")</f>
        <v>4</v>
      </c>
      <c r="G3474" s="4" t="str">
        <f>HYPERLINK("http://141.218.60.56/~jnz1568/getInfo.php?workbook=16_08.xlsx&amp;sheet=U0&amp;row=3474&amp;col=7&amp;number=0.00333&amp;sourceID=14","0.00333")</f>
        <v>0.00333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HYPERLINK("http://141.218.60.56/~jnz1568/getInfo.php?workbook=16_08.xlsx&amp;sheet=U0&amp;row=3475&amp;col=6&amp;number=4.1&amp;sourceID=14","4.1")</f>
        <v>4.1</v>
      </c>
      <c r="G3475" s="4" t="str">
        <f>HYPERLINK("http://141.218.60.56/~jnz1568/getInfo.php?workbook=16_08.xlsx&amp;sheet=U0&amp;row=3475&amp;col=7&amp;number=0.00333&amp;sourceID=14","0.00333")</f>
        <v>0.00333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HYPERLINK("http://141.218.60.56/~jnz1568/getInfo.php?workbook=16_08.xlsx&amp;sheet=U0&amp;row=3476&amp;col=6&amp;number=4.2&amp;sourceID=14","4.2")</f>
        <v>4.2</v>
      </c>
      <c r="G3476" s="4" t="str">
        <f>HYPERLINK("http://141.218.60.56/~jnz1568/getInfo.php?workbook=16_08.xlsx&amp;sheet=U0&amp;row=3476&amp;col=7&amp;number=0.00333&amp;sourceID=14","0.00333")</f>
        <v>0.00333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HYPERLINK("http://141.218.60.56/~jnz1568/getInfo.php?workbook=16_08.xlsx&amp;sheet=U0&amp;row=3477&amp;col=6&amp;number=4.3&amp;sourceID=14","4.3")</f>
        <v>4.3</v>
      </c>
      <c r="G3477" s="4" t="str">
        <f>HYPERLINK("http://141.218.60.56/~jnz1568/getInfo.php?workbook=16_08.xlsx&amp;sheet=U0&amp;row=3477&amp;col=7&amp;number=0.00333&amp;sourceID=14","0.00333")</f>
        <v>0.00333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HYPERLINK("http://141.218.60.56/~jnz1568/getInfo.php?workbook=16_08.xlsx&amp;sheet=U0&amp;row=3478&amp;col=6&amp;number=4.4&amp;sourceID=14","4.4")</f>
        <v>4.4</v>
      </c>
      <c r="G3478" s="4" t="str">
        <f>HYPERLINK("http://141.218.60.56/~jnz1568/getInfo.php?workbook=16_08.xlsx&amp;sheet=U0&amp;row=3478&amp;col=7&amp;number=0.00332&amp;sourceID=14","0.00332")</f>
        <v>0.00332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HYPERLINK("http://141.218.60.56/~jnz1568/getInfo.php?workbook=16_08.xlsx&amp;sheet=U0&amp;row=3479&amp;col=6&amp;number=4.5&amp;sourceID=14","4.5")</f>
        <v>4.5</v>
      </c>
      <c r="G3479" s="4" t="str">
        <f>HYPERLINK("http://141.218.60.56/~jnz1568/getInfo.php?workbook=16_08.xlsx&amp;sheet=U0&amp;row=3479&amp;col=7&amp;number=0.00332&amp;sourceID=14","0.00332")</f>
        <v>0.00332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HYPERLINK("http://141.218.60.56/~jnz1568/getInfo.php?workbook=16_08.xlsx&amp;sheet=U0&amp;row=3480&amp;col=6&amp;number=4.6&amp;sourceID=14","4.6")</f>
        <v>4.6</v>
      </c>
      <c r="G3480" s="4" t="str">
        <f>HYPERLINK("http://141.218.60.56/~jnz1568/getInfo.php?workbook=16_08.xlsx&amp;sheet=U0&amp;row=3480&amp;col=7&amp;number=0.00332&amp;sourceID=14","0.00332")</f>
        <v>0.00332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HYPERLINK("http://141.218.60.56/~jnz1568/getInfo.php?workbook=16_08.xlsx&amp;sheet=U0&amp;row=3481&amp;col=6&amp;number=4.7&amp;sourceID=14","4.7")</f>
        <v>4.7</v>
      </c>
      <c r="G3481" s="4" t="str">
        <f>HYPERLINK("http://141.218.60.56/~jnz1568/getInfo.php?workbook=16_08.xlsx&amp;sheet=U0&amp;row=3481&amp;col=7&amp;number=0.00331&amp;sourceID=14","0.00331")</f>
        <v>0.00331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HYPERLINK("http://141.218.60.56/~jnz1568/getInfo.php?workbook=16_08.xlsx&amp;sheet=U0&amp;row=3482&amp;col=6&amp;number=4.8&amp;sourceID=14","4.8")</f>
        <v>4.8</v>
      </c>
      <c r="G3482" s="4" t="str">
        <f>HYPERLINK("http://141.218.60.56/~jnz1568/getInfo.php?workbook=16_08.xlsx&amp;sheet=U0&amp;row=3482&amp;col=7&amp;number=0.0033&amp;sourceID=14","0.0033")</f>
        <v>0.0033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HYPERLINK("http://141.218.60.56/~jnz1568/getInfo.php?workbook=16_08.xlsx&amp;sheet=U0&amp;row=3483&amp;col=6&amp;number=4.9&amp;sourceID=14","4.9")</f>
        <v>4.9</v>
      </c>
      <c r="G3483" s="4" t="str">
        <f>HYPERLINK("http://141.218.60.56/~jnz1568/getInfo.php?workbook=16_08.xlsx&amp;sheet=U0&amp;row=3483&amp;col=7&amp;number=0.0033&amp;sourceID=14","0.0033")</f>
        <v>0.0033</v>
      </c>
    </row>
    <row r="3484" spans="1:7">
      <c r="A3484" s="3">
        <v>16</v>
      </c>
      <c r="B3484" s="3">
        <v>8</v>
      </c>
      <c r="C3484" s="3">
        <v>3</v>
      </c>
      <c r="D3484" s="3">
        <v>9</v>
      </c>
      <c r="E3484" s="3">
        <v>1</v>
      </c>
      <c r="F3484" s="4" t="str">
        <f>HYPERLINK("http://141.218.60.56/~jnz1568/getInfo.php?workbook=16_08.xlsx&amp;sheet=U0&amp;row=3484&amp;col=6&amp;number=3&amp;sourceID=14","3")</f>
        <v>3</v>
      </c>
      <c r="G3484" s="4" t="str">
        <f>HYPERLINK("http://141.218.60.56/~jnz1568/getInfo.php?workbook=16_08.xlsx&amp;sheet=U0&amp;row=3484&amp;col=7&amp;number=0.00636&amp;sourceID=14","0.00636")</f>
        <v>0.00636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HYPERLINK("http://141.218.60.56/~jnz1568/getInfo.php?workbook=16_08.xlsx&amp;sheet=U0&amp;row=3485&amp;col=6&amp;number=3.1&amp;sourceID=14","3.1")</f>
        <v>3.1</v>
      </c>
      <c r="G3485" s="4" t="str">
        <f>HYPERLINK("http://141.218.60.56/~jnz1568/getInfo.php?workbook=16_08.xlsx&amp;sheet=U0&amp;row=3485&amp;col=7&amp;number=0.00636&amp;sourceID=14","0.00636")</f>
        <v>0.00636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HYPERLINK("http://141.218.60.56/~jnz1568/getInfo.php?workbook=16_08.xlsx&amp;sheet=U0&amp;row=3486&amp;col=6&amp;number=3.2&amp;sourceID=14","3.2")</f>
        <v>3.2</v>
      </c>
      <c r="G3486" s="4" t="str">
        <f>HYPERLINK("http://141.218.60.56/~jnz1568/getInfo.php?workbook=16_08.xlsx&amp;sheet=U0&amp;row=3486&amp;col=7&amp;number=0.00636&amp;sourceID=14","0.00636")</f>
        <v>0.00636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HYPERLINK("http://141.218.60.56/~jnz1568/getInfo.php?workbook=16_08.xlsx&amp;sheet=U0&amp;row=3487&amp;col=6&amp;number=3.3&amp;sourceID=14","3.3")</f>
        <v>3.3</v>
      </c>
      <c r="G3487" s="4" t="str">
        <f>HYPERLINK("http://141.218.60.56/~jnz1568/getInfo.php?workbook=16_08.xlsx&amp;sheet=U0&amp;row=3487&amp;col=7&amp;number=0.00636&amp;sourceID=14","0.00636")</f>
        <v>0.00636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HYPERLINK("http://141.218.60.56/~jnz1568/getInfo.php?workbook=16_08.xlsx&amp;sheet=U0&amp;row=3488&amp;col=6&amp;number=3.4&amp;sourceID=14","3.4")</f>
        <v>3.4</v>
      </c>
      <c r="G3488" s="4" t="str">
        <f>HYPERLINK("http://141.218.60.56/~jnz1568/getInfo.php?workbook=16_08.xlsx&amp;sheet=U0&amp;row=3488&amp;col=7&amp;number=0.00636&amp;sourceID=14","0.00636")</f>
        <v>0.00636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HYPERLINK("http://141.218.60.56/~jnz1568/getInfo.php?workbook=16_08.xlsx&amp;sheet=U0&amp;row=3489&amp;col=6&amp;number=3.5&amp;sourceID=14","3.5")</f>
        <v>3.5</v>
      </c>
      <c r="G3489" s="4" t="str">
        <f>HYPERLINK("http://141.218.60.56/~jnz1568/getInfo.php?workbook=16_08.xlsx&amp;sheet=U0&amp;row=3489&amp;col=7&amp;number=0.00636&amp;sourceID=14","0.00636")</f>
        <v>0.00636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HYPERLINK("http://141.218.60.56/~jnz1568/getInfo.php?workbook=16_08.xlsx&amp;sheet=U0&amp;row=3490&amp;col=6&amp;number=3.6&amp;sourceID=14","3.6")</f>
        <v>3.6</v>
      </c>
      <c r="G3490" s="4" t="str">
        <f>HYPERLINK("http://141.218.60.56/~jnz1568/getInfo.php?workbook=16_08.xlsx&amp;sheet=U0&amp;row=3490&amp;col=7&amp;number=0.00636&amp;sourceID=14","0.00636")</f>
        <v>0.00636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HYPERLINK("http://141.218.60.56/~jnz1568/getInfo.php?workbook=16_08.xlsx&amp;sheet=U0&amp;row=3491&amp;col=6&amp;number=3.7&amp;sourceID=14","3.7")</f>
        <v>3.7</v>
      </c>
      <c r="G3491" s="4" t="str">
        <f>HYPERLINK("http://141.218.60.56/~jnz1568/getInfo.php?workbook=16_08.xlsx&amp;sheet=U0&amp;row=3491&amp;col=7&amp;number=0.00636&amp;sourceID=14","0.00636")</f>
        <v>0.00636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HYPERLINK("http://141.218.60.56/~jnz1568/getInfo.php?workbook=16_08.xlsx&amp;sheet=U0&amp;row=3492&amp;col=6&amp;number=3.8&amp;sourceID=14","3.8")</f>
        <v>3.8</v>
      </c>
      <c r="G3492" s="4" t="str">
        <f>HYPERLINK("http://141.218.60.56/~jnz1568/getInfo.php?workbook=16_08.xlsx&amp;sheet=U0&amp;row=3492&amp;col=7&amp;number=0.00635&amp;sourceID=14","0.00635")</f>
        <v>0.00635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HYPERLINK("http://141.218.60.56/~jnz1568/getInfo.php?workbook=16_08.xlsx&amp;sheet=U0&amp;row=3493&amp;col=6&amp;number=3.9&amp;sourceID=14","3.9")</f>
        <v>3.9</v>
      </c>
      <c r="G3493" s="4" t="str">
        <f>HYPERLINK("http://141.218.60.56/~jnz1568/getInfo.php?workbook=16_08.xlsx&amp;sheet=U0&amp;row=3493&amp;col=7&amp;number=0.00635&amp;sourceID=14","0.00635")</f>
        <v>0.00635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HYPERLINK("http://141.218.60.56/~jnz1568/getInfo.php?workbook=16_08.xlsx&amp;sheet=U0&amp;row=3494&amp;col=6&amp;number=4&amp;sourceID=14","4")</f>
        <v>4</v>
      </c>
      <c r="G3494" s="4" t="str">
        <f>HYPERLINK("http://141.218.60.56/~jnz1568/getInfo.php?workbook=16_08.xlsx&amp;sheet=U0&amp;row=3494&amp;col=7&amp;number=0.00635&amp;sourceID=14","0.00635")</f>
        <v>0.00635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HYPERLINK("http://141.218.60.56/~jnz1568/getInfo.php?workbook=16_08.xlsx&amp;sheet=U0&amp;row=3495&amp;col=6&amp;number=4.1&amp;sourceID=14","4.1")</f>
        <v>4.1</v>
      </c>
      <c r="G3495" s="4" t="str">
        <f>HYPERLINK("http://141.218.60.56/~jnz1568/getInfo.php?workbook=16_08.xlsx&amp;sheet=U0&amp;row=3495&amp;col=7&amp;number=0.00635&amp;sourceID=14","0.00635")</f>
        <v>0.00635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HYPERLINK("http://141.218.60.56/~jnz1568/getInfo.php?workbook=16_08.xlsx&amp;sheet=U0&amp;row=3496&amp;col=6&amp;number=4.2&amp;sourceID=14","4.2")</f>
        <v>4.2</v>
      </c>
      <c r="G3496" s="4" t="str">
        <f>HYPERLINK("http://141.218.60.56/~jnz1568/getInfo.php?workbook=16_08.xlsx&amp;sheet=U0&amp;row=3496&amp;col=7&amp;number=0.00635&amp;sourceID=14","0.00635")</f>
        <v>0.00635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HYPERLINK("http://141.218.60.56/~jnz1568/getInfo.php?workbook=16_08.xlsx&amp;sheet=U0&amp;row=3497&amp;col=6&amp;number=4.3&amp;sourceID=14","4.3")</f>
        <v>4.3</v>
      </c>
      <c r="G3497" s="4" t="str">
        <f>HYPERLINK("http://141.218.60.56/~jnz1568/getInfo.php?workbook=16_08.xlsx&amp;sheet=U0&amp;row=3497&amp;col=7&amp;number=0.00634&amp;sourceID=14","0.00634")</f>
        <v>0.00634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HYPERLINK("http://141.218.60.56/~jnz1568/getInfo.php?workbook=16_08.xlsx&amp;sheet=U0&amp;row=3498&amp;col=6&amp;number=4.4&amp;sourceID=14","4.4")</f>
        <v>4.4</v>
      </c>
      <c r="G3498" s="4" t="str">
        <f>HYPERLINK("http://141.218.60.56/~jnz1568/getInfo.php?workbook=16_08.xlsx&amp;sheet=U0&amp;row=3498&amp;col=7&amp;number=0.00634&amp;sourceID=14","0.00634")</f>
        <v>0.00634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HYPERLINK("http://141.218.60.56/~jnz1568/getInfo.php?workbook=16_08.xlsx&amp;sheet=U0&amp;row=3499&amp;col=6&amp;number=4.5&amp;sourceID=14","4.5")</f>
        <v>4.5</v>
      </c>
      <c r="G3499" s="4" t="str">
        <f>HYPERLINK("http://141.218.60.56/~jnz1568/getInfo.php?workbook=16_08.xlsx&amp;sheet=U0&amp;row=3499&amp;col=7&amp;number=0.00633&amp;sourceID=14","0.00633")</f>
        <v>0.00633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HYPERLINK("http://141.218.60.56/~jnz1568/getInfo.php?workbook=16_08.xlsx&amp;sheet=U0&amp;row=3500&amp;col=6&amp;number=4.6&amp;sourceID=14","4.6")</f>
        <v>4.6</v>
      </c>
      <c r="G3500" s="4" t="str">
        <f>HYPERLINK("http://141.218.60.56/~jnz1568/getInfo.php?workbook=16_08.xlsx&amp;sheet=U0&amp;row=3500&amp;col=7&amp;number=0.00633&amp;sourceID=14","0.00633")</f>
        <v>0.00633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HYPERLINK("http://141.218.60.56/~jnz1568/getInfo.php?workbook=16_08.xlsx&amp;sheet=U0&amp;row=3501&amp;col=6&amp;number=4.7&amp;sourceID=14","4.7")</f>
        <v>4.7</v>
      </c>
      <c r="G3501" s="4" t="str">
        <f>HYPERLINK("http://141.218.60.56/~jnz1568/getInfo.php?workbook=16_08.xlsx&amp;sheet=U0&amp;row=3501&amp;col=7&amp;number=0.00632&amp;sourceID=14","0.00632")</f>
        <v>0.00632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HYPERLINK("http://141.218.60.56/~jnz1568/getInfo.php?workbook=16_08.xlsx&amp;sheet=U0&amp;row=3502&amp;col=6&amp;number=4.8&amp;sourceID=14","4.8")</f>
        <v>4.8</v>
      </c>
      <c r="G3502" s="4" t="str">
        <f>HYPERLINK("http://141.218.60.56/~jnz1568/getInfo.php?workbook=16_08.xlsx&amp;sheet=U0&amp;row=3502&amp;col=7&amp;number=0.00631&amp;sourceID=14","0.00631")</f>
        <v>0.00631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HYPERLINK("http://141.218.60.56/~jnz1568/getInfo.php?workbook=16_08.xlsx&amp;sheet=U0&amp;row=3503&amp;col=6&amp;number=4.9&amp;sourceID=14","4.9")</f>
        <v>4.9</v>
      </c>
      <c r="G3503" s="4" t="str">
        <f>HYPERLINK("http://141.218.60.56/~jnz1568/getInfo.php?workbook=16_08.xlsx&amp;sheet=U0&amp;row=3503&amp;col=7&amp;number=0.0063&amp;sourceID=14","0.0063")</f>
        <v>0.0063</v>
      </c>
    </row>
    <row r="3504" spans="1:7">
      <c r="A3504" s="3">
        <v>16</v>
      </c>
      <c r="B3504" s="3">
        <v>8</v>
      </c>
      <c r="C3504" s="3">
        <v>3</v>
      </c>
      <c r="D3504" s="3">
        <v>10</v>
      </c>
      <c r="E3504" s="3">
        <v>1</v>
      </c>
      <c r="F3504" s="4" t="str">
        <f>HYPERLINK("http://141.218.60.56/~jnz1568/getInfo.php?workbook=16_08.xlsx&amp;sheet=U0&amp;row=3504&amp;col=6&amp;number=3&amp;sourceID=14","3")</f>
        <v>3</v>
      </c>
      <c r="G3504" s="4" t="str">
        <f>HYPERLINK("http://141.218.60.56/~jnz1568/getInfo.php?workbook=16_08.xlsx&amp;sheet=U0&amp;row=3504&amp;col=7&amp;number=0.000163&amp;sourceID=14","0.000163")</f>
        <v>0.000163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HYPERLINK("http://141.218.60.56/~jnz1568/getInfo.php?workbook=16_08.xlsx&amp;sheet=U0&amp;row=3505&amp;col=6&amp;number=3.1&amp;sourceID=14","3.1")</f>
        <v>3.1</v>
      </c>
      <c r="G3505" s="4" t="str">
        <f>HYPERLINK("http://141.218.60.56/~jnz1568/getInfo.php?workbook=16_08.xlsx&amp;sheet=U0&amp;row=3505&amp;col=7&amp;number=0.000163&amp;sourceID=14","0.000163")</f>
        <v>0.000163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HYPERLINK("http://141.218.60.56/~jnz1568/getInfo.php?workbook=16_08.xlsx&amp;sheet=U0&amp;row=3506&amp;col=6&amp;number=3.2&amp;sourceID=14","3.2")</f>
        <v>3.2</v>
      </c>
      <c r="G3506" s="4" t="str">
        <f>HYPERLINK("http://141.218.60.56/~jnz1568/getInfo.php?workbook=16_08.xlsx&amp;sheet=U0&amp;row=3506&amp;col=7&amp;number=0.000163&amp;sourceID=14","0.000163")</f>
        <v>0.000163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HYPERLINK("http://141.218.60.56/~jnz1568/getInfo.php?workbook=16_08.xlsx&amp;sheet=U0&amp;row=3507&amp;col=6&amp;number=3.3&amp;sourceID=14","3.3")</f>
        <v>3.3</v>
      </c>
      <c r="G3507" s="4" t="str">
        <f>HYPERLINK("http://141.218.60.56/~jnz1568/getInfo.php?workbook=16_08.xlsx&amp;sheet=U0&amp;row=3507&amp;col=7&amp;number=0.000163&amp;sourceID=14","0.000163")</f>
        <v>0.000163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HYPERLINK("http://141.218.60.56/~jnz1568/getInfo.php?workbook=16_08.xlsx&amp;sheet=U0&amp;row=3508&amp;col=6&amp;number=3.4&amp;sourceID=14","3.4")</f>
        <v>3.4</v>
      </c>
      <c r="G3508" s="4" t="str">
        <f>HYPERLINK("http://141.218.60.56/~jnz1568/getInfo.php?workbook=16_08.xlsx&amp;sheet=U0&amp;row=3508&amp;col=7&amp;number=0.000163&amp;sourceID=14","0.000163")</f>
        <v>0.000163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HYPERLINK("http://141.218.60.56/~jnz1568/getInfo.php?workbook=16_08.xlsx&amp;sheet=U0&amp;row=3509&amp;col=6&amp;number=3.5&amp;sourceID=14","3.5")</f>
        <v>3.5</v>
      </c>
      <c r="G3509" s="4" t="str">
        <f>HYPERLINK("http://141.218.60.56/~jnz1568/getInfo.php?workbook=16_08.xlsx&amp;sheet=U0&amp;row=3509&amp;col=7&amp;number=0.000163&amp;sourceID=14","0.000163")</f>
        <v>0.000163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HYPERLINK("http://141.218.60.56/~jnz1568/getInfo.php?workbook=16_08.xlsx&amp;sheet=U0&amp;row=3510&amp;col=6&amp;number=3.6&amp;sourceID=14","3.6")</f>
        <v>3.6</v>
      </c>
      <c r="G3510" s="4" t="str">
        <f>HYPERLINK("http://141.218.60.56/~jnz1568/getInfo.php?workbook=16_08.xlsx&amp;sheet=U0&amp;row=3510&amp;col=7&amp;number=0.000162&amp;sourceID=14","0.000162")</f>
        <v>0.000162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HYPERLINK("http://141.218.60.56/~jnz1568/getInfo.php?workbook=16_08.xlsx&amp;sheet=U0&amp;row=3511&amp;col=6&amp;number=3.7&amp;sourceID=14","3.7")</f>
        <v>3.7</v>
      </c>
      <c r="G3511" s="4" t="str">
        <f>HYPERLINK("http://141.218.60.56/~jnz1568/getInfo.php?workbook=16_08.xlsx&amp;sheet=U0&amp;row=3511&amp;col=7&amp;number=0.000162&amp;sourceID=14","0.000162")</f>
        <v>0.000162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HYPERLINK("http://141.218.60.56/~jnz1568/getInfo.php?workbook=16_08.xlsx&amp;sheet=U0&amp;row=3512&amp;col=6&amp;number=3.8&amp;sourceID=14","3.8")</f>
        <v>3.8</v>
      </c>
      <c r="G3512" s="4" t="str">
        <f>HYPERLINK("http://141.218.60.56/~jnz1568/getInfo.php?workbook=16_08.xlsx&amp;sheet=U0&amp;row=3512&amp;col=7&amp;number=0.000162&amp;sourceID=14","0.000162")</f>
        <v>0.000162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HYPERLINK("http://141.218.60.56/~jnz1568/getInfo.php?workbook=16_08.xlsx&amp;sheet=U0&amp;row=3513&amp;col=6&amp;number=3.9&amp;sourceID=14","3.9")</f>
        <v>3.9</v>
      </c>
      <c r="G3513" s="4" t="str">
        <f>HYPERLINK("http://141.218.60.56/~jnz1568/getInfo.php?workbook=16_08.xlsx&amp;sheet=U0&amp;row=3513&amp;col=7&amp;number=0.000162&amp;sourceID=14","0.000162")</f>
        <v>0.000162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HYPERLINK("http://141.218.60.56/~jnz1568/getInfo.php?workbook=16_08.xlsx&amp;sheet=U0&amp;row=3514&amp;col=6&amp;number=4&amp;sourceID=14","4")</f>
        <v>4</v>
      </c>
      <c r="G3514" s="4" t="str">
        <f>HYPERLINK("http://141.218.60.56/~jnz1568/getInfo.php?workbook=16_08.xlsx&amp;sheet=U0&amp;row=3514&amp;col=7&amp;number=0.000162&amp;sourceID=14","0.000162")</f>
        <v>0.000162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HYPERLINK("http://141.218.60.56/~jnz1568/getInfo.php?workbook=16_08.xlsx&amp;sheet=U0&amp;row=3515&amp;col=6&amp;number=4.1&amp;sourceID=14","4.1")</f>
        <v>4.1</v>
      </c>
      <c r="G3515" s="4" t="str">
        <f>HYPERLINK("http://141.218.60.56/~jnz1568/getInfo.php?workbook=16_08.xlsx&amp;sheet=U0&amp;row=3515&amp;col=7&amp;number=0.000162&amp;sourceID=14","0.000162")</f>
        <v>0.000162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HYPERLINK("http://141.218.60.56/~jnz1568/getInfo.php?workbook=16_08.xlsx&amp;sheet=U0&amp;row=3516&amp;col=6&amp;number=4.2&amp;sourceID=14","4.2")</f>
        <v>4.2</v>
      </c>
      <c r="G3516" s="4" t="str">
        <f>HYPERLINK("http://141.218.60.56/~jnz1568/getInfo.php?workbook=16_08.xlsx&amp;sheet=U0&amp;row=3516&amp;col=7&amp;number=0.000162&amp;sourceID=14","0.000162")</f>
        <v>0.000162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HYPERLINK("http://141.218.60.56/~jnz1568/getInfo.php?workbook=16_08.xlsx&amp;sheet=U0&amp;row=3517&amp;col=6&amp;number=4.3&amp;sourceID=14","4.3")</f>
        <v>4.3</v>
      </c>
      <c r="G3517" s="4" t="str">
        <f>HYPERLINK("http://141.218.60.56/~jnz1568/getInfo.php?workbook=16_08.xlsx&amp;sheet=U0&amp;row=3517&amp;col=7&amp;number=0.000162&amp;sourceID=14","0.000162")</f>
        <v>0.000162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HYPERLINK("http://141.218.60.56/~jnz1568/getInfo.php?workbook=16_08.xlsx&amp;sheet=U0&amp;row=3518&amp;col=6&amp;number=4.4&amp;sourceID=14","4.4")</f>
        <v>4.4</v>
      </c>
      <c r="G3518" s="4" t="str">
        <f>HYPERLINK("http://141.218.60.56/~jnz1568/getInfo.php?workbook=16_08.xlsx&amp;sheet=U0&amp;row=3518&amp;col=7&amp;number=0.000162&amp;sourceID=14","0.000162")</f>
        <v>0.000162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HYPERLINK("http://141.218.60.56/~jnz1568/getInfo.php?workbook=16_08.xlsx&amp;sheet=U0&amp;row=3519&amp;col=6&amp;number=4.5&amp;sourceID=14","4.5")</f>
        <v>4.5</v>
      </c>
      <c r="G3519" s="4" t="str">
        <f>HYPERLINK("http://141.218.60.56/~jnz1568/getInfo.php?workbook=16_08.xlsx&amp;sheet=U0&amp;row=3519&amp;col=7&amp;number=0.000162&amp;sourceID=14","0.000162")</f>
        <v>0.000162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HYPERLINK("http://141.218.60.56/~jnz1568/getInfo.php?workbook=16_08.xlsx&amp;sheet=U0&amp;row=3520&amp;col=6&amp;number=4.6&amp;sourceID=14","4.6")</f>
        <v>4.6</v>
      </c>
      <c r="G3520" s="4" t="str">
        <f>HYPERLINK("http://141.218.60.56/~jnz1568/getInfo.php?workbook=16_08.xlsx&amp;sheet=U0&amp;row=3520&amp;col=7&amp;number=0.000162&amp;sourceID=14","0.000162")</f>
        <v>0.000162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HYPERLINK("http://141.218.60.56/~jnz1568/getInfo.php?workbook=16_08.xlsx&amp;sheet=U0&amp;row=3521&amp;col=6&amp;number=4.7&amp;sourceID=14","4.7")</f>
        <v>4.7</v>
      </c>
      <c r="G3521" s="4" t="str">
        <f>HYPERLINK("http://141.218.60.56/~jnz1568/getInfo.php?workbook=16_08.xlsx&amp;sheet=U0&amp;row=3521&amp;col=7&amp;number=0.000161&amp;sourceID=14","0.000161")</f>
        <v>0.000161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HYPERLINK("http://141.218.60.56/~jnz1568/getInfo.php?workbook=16_08.xlsx&amp;sheet=U0&amp;row=3522&amp;col=6&amp;number=4.8&amp;sourceID=14","4.8")</f>
        <v>4.8</v>
      </c>
      <c r="G3522" s="4" t="str">
        <f>HYPERLINK("http://141.218.60.56/~jnz1568/getInfo.php?workbook=16_08.xlsx&amp;sheet=U0&amp;row=3522&amp;col=7&amp;number=0.000161&amp;sourceID=14","0.000161")</f>
        <v>0.000161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HYPERLINK("http://141.218.60.56/~jnz1568/getInfo.php?workbook=16_08.xlsx&amp;sheet=U0&amp;row=3523&amp;col=6&amp;number=4.9&amp;sourceID=14","4.9")</f>
        <v>4.9</v>
      </c>
      <c r="G3523" s="4" t="str">
        <f>HYPERLINK("http://141.218.60.56/~jnz1568/getInfo.php?workbook=16_08.xlsx&amp;sheet=U0&amp;row=3523&amp;col=7&amp;number=0.00016&amp;sourceID=14","0.00016")</f>
        <v>0.00016</v>
      </c>
    </row>
    <row r="3524" spans="1:7">
      <c r="A3524" s="3">
        <v>16</v>
      </c>
      <c r="B3524" s="3">
        <v>8</v>
      </c>
      <c r="C3524" s="3">
        <v>3</v>
      </c>
      <c r="D3524" s="3">
        <v>11</v>
      </c>
      <c r="E3524" s="3">
        <v>1</v>
      </c>
      <c r="F3524" s="4" t="str">
        <f>HYPERLINK("http://141.218.60.56/~jnz1568/getInfo.php?workbook=16_08.xlsx&amp;sheet=U0&amp;row=3524&amp;col=6&amp;number=3&amp;sourceID=14","3")</f>
        <v>3</v>
      </c>
      <c r="G3524" s="4" t="str">
        <f>HYPERLINK("http://141.218.60.56/~jnz1568/getInfo.php?workbook=16_08.xlsx&amp;sheet=U0&amp;row=3524&amp;col=7&amp;number=0.00231&amp;sourceID=14","0.00231")</f>
        <v>0.00231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HYPERLINK("http://141.218.60.56/~jnz1568/getInfo.php?workbook=16_08.xlsx&amp;sheet=U0&amp;row=3525&amp;col=6&amp;number=3.1&amp;sourceID=14","3.1")</f>
        <v>3.1</v>
      </c>
      <c r="G3525" s="4" t="str">
        <f>HYPERLINK("http://141.218.60.56/~jnz1568/getInfo.php?workbook=16_08.xlsx&amp;sheet=U0&amp;row=3525&amp;col=7&amp;number=0.00231&amp;sourceID=14","0.00231")</f>
        <v>0.00231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HYPERLINK("http://141.218.60.56/~jnz1568/getInfo.php?workbook=16_08.xlsx&amp;sheet=U0&amp;row=3526&amp;col=6&amp;number=3.2&amp;sourceID=14","3.2")</f>
        <v>3.2</v>
      </c>
      <c r="G3526" s="4" t="str">
        <f>HYPERLINK("http://141.218.60.56/~jnz1568/getInfo.php?workbook=16_08.xlsx&amp;sheet=U0&amp;row=3526&amp;col=7&amp;number=0.00231&amp;sourceID=14","0.00231")</f>
        <v>0.00231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HYPERLINK("http://141.218.60.56/~jnz1568/getInfo.php?workbook=16_08.xlsx&amp;sheet=U0&amp;row=3527&amp;col=6&amp;number=3.3&amp;sourceID=14","3.3")</f>
        <v>3.3</v>
      </c>
      <c r="G3527" s="4" t="str">
        <f>HYPERLINK("http://141.218.60.56/~jnz1568/getInfo.php?workbook=16_08.xlsx&amp;sheet=U0&amp;row=3527&amp;col=7&amp;number=0.00231&amp;sourceID=14","0.00231")</f>
        <v>0.00231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HYPERLINK("http://141.218.60.56/~jnz1568/getInfo.php?workbook=16_08.xlsx&amp;sheet=U0&amp;row=3528&amp;col=6&amp;number=3.4&amp;sourceID=14","3.4")</f>
        <v>3.4</v>
      </c>
      <c r="G3528" s="4" t="str">
        <f>HYPERLINK("http://141.218.60.56/~jnz1568/getInfo.php?workbook=16_08.xlsx&amp;sheet=U0&amp;row=3528&amp;col=7&amp;number=0.00231&amp;sourceID=14","0.00231")</f>
        <v>0.00231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HYPERLINK("http://141.218.60.56/~jnz1568/getInfo.php?workbook=16_08.xlsx&amp;sheet=U0&amp;row=3529&amp;col=6&amp;number=3.5&amp;sourceID=14","3.5")</f>
        <v>3.5</v>
      </c>
      <c r="G3529" s="4" t="str">
        <f>HYPERLINK("http://141.218.60.56/~jnz1568/getInfo.php?workbook=16_08.xlsx&amp;sheet=U0&amp;row=3529&amp;col=7&amp;number=0.00231&amp;sourceID=14","0.00231")</f>
        <v>0.00231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HYPERLINK("http://141.218.60.56/~jnz1568/getInfo.php?workbook=16_08.xlsx&amp;sheet=U0&amp;row=3530&amp;col=6&amp;number=3.6&amp;sourceID=14","3.6")</f>
        <v>3.6</v>
      </c>
      <c r="G3530" s="4" t="str">
        <f>HYPERLINK("http://141.218.60.56/~jnz1568/getInfo.php?workbook=16_08.xlsx&amp;sheet=U0&amp;row=3530&amp;col=7&amp;number=0.00231&amp;sourceID=14","0.00231")</f>
        <v>0.00231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HYPERLINK("http://141.218.60.56/~jnz1568/getInfo.php?workbook=16_08.xlsx&amp;sheet=U0&amp;row=3531&amp;col=6&amp;number=3.7&amp;sourceID=14","3.7")</f>
        <v>3.7</v>
      </c>
      <c r="G3531" s="4" t="str">
        <f>HYPERLINK("http://141.218.60.56/~jnz1568/getInfo.php?workbook=16_08.xlsx&amp;sheet=U0&amp;row=3531&amp;col=7&amp;number=0.00231&amp;sourceID=14","0.00231")</f>
        <v>0.00231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HYPERLINK("http://141.218.60.56/~jnz1568/getInfo.php?workbook=16_08.xlsx&amp;sheet=U0&amp;row=3532&amp;col=6&amp;number=3.8&amp;sourceID=14","3.8")</f>
        <v>3.8</v>
      </c>
      <c r="G3532" s="4" t="str">
        <f>HYPERLINK("http://141.218.60.56/~jnz1568/getInfo.php?workbook=16_08.xlsx&amp;sheet=U0&amp;row=3532&amp;col=7&amp;number=0.00231&amp;sourceID=14","0.00231")</f>
        <v>0.00231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HYPERLINK("http://141.218.60.56/~jnz1568/getInfo.php?workbook=16_08.xlsx&amp;sheet=U0&amp;row=3533&amp;col=6&amp;number=3.9&amp;sourceID=14","3.9")</f>
        <v>3.9</v>
      </c>
      <c r="G3533" s="4" t="str">
        <f>HYPERLINK("http://141.218.60.56/~jnz1568/getInfo.php?workbook=16_08.xlsx&amp;sheet=U0&amp;row=3533&amp;col=7&amp;number=0.00231&amp;sourceID=14","0.00231")</f>
        <v>0.00231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HYPERLINK("http://141.218.60.56/~jnz1568/getInfo.php?workbook=16_08.xlsx&amp;sheet=U0&amp;row=3534&amp;col=6&amp;number=4&amp;sourceID=14","4")</f>
        <v>4</v>
      </c>
      <c r="G3534" s="4" t="str">
        <f>HYPERLINK("http://141.218.60.56/~jnz1568/getInfo.php?workbook=16_08.xlsx&amp;sheet=U0&amp;row=3534&amp;col=7&amp;number=0.00231&amp;sourceID=14","0.00231")</f>
        <v>0.00231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HYPERLINK("http://141.218.60.56/~jnz1568/getInfo.php?workbook=16_08.xlsx&amp;sheet=U0&amp;row=3535&amp;col=6&amp;number=4.1&amp;sourceID=14","4.1")</f>
        <v>4.1</v>
      </c>
      <c r="G3535" s="4" t="str">
        <f>HYPERLINK("http://141.218.60.56/~jnz1568/getInfo.php?workbook=16_08.xlsx&amp;sheet=U0&amp;row=3535&amp;col=7&amp;number=0.0023&amp;sourceID=14","0.0023")</f>
        <v>0.0023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HYPERLINK("http://141.218.60.56/~jnz1568/getInfo.php?workbook=16_08.xlsx&amp;sheet=U0&amp;row=3536&amp;col=6&amp;number=4.2&amp;sourceID=14","4.2")</f>
        <v>4.2</v>
      </c>
      <c r="G3536" s="4" t="str">
        <f>HYPERLINK("http://141.218.60.56/~jnz1568/getInfo.php?workbook=16_08.xlsx&amp;sheet=U0&amp;row=3536&amp;col=7&amp;number=0.0023&amp;sourceID=14","0.0023")</f>
        <v>0.0023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HYPERLINK("http://141.218.60.56/~jnz1568/getInfo.php?workbook=16_08.xlsx&amp;sheet=U0&amp;row=3537&amp;col=6&amp;number=4.3&amp;sourceID=14","4.3")</f>
        <v>4.3</v>
      </c>
      <c r="G3537" s="4" t="str">
        <f>HYPERLINK("http://141.218.60.56/~jnz1568/getInfo.php?workbook=16_08.xlsx&amp;sheet=U0&amp;row=3537&amp;col=7&amp;number=0.0023&amp;sourceID=14","0.0023")</f>
        <v>0.0023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HYPERLINK("http://141.218.60.56/~jnz1568/getInfo.php?workbook=16_08.xlsx&amp;sheet=U0&amp;row=3538&amp;col=6&amp;number=4.4&amp;sourceID=14","4.4")</f>
        <v>4.4</v>
      </c>
      <c r="G3538" s="4" t="str">
        <f>HYPERLINK("http://141.218.60.56/~jnz1568/getInfo.php?workbook=16_08.xlsx&amp;sheet=U0&amp;row=3538&amp;col=7&amp;number=0.0023&amp;sourceID=14","0.0023")</f>
        <v>0.0023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HYPERLINK("http://141.218.60.56/~jnz1568/getInfo.php?workbook=16_08.xlsx&amp;sheet=U0&amp;row=3539&amp;col=6&amp;number=4.5&amp;sourceID=14","4.5")</f>
        <v>4.5</v>
      </c>
      <c r="G3539" s="4" t="str">
        <f>HYPERLINK("http://141.218.60.56/~jnz1568/getInfo.php?workbook=16_08.xlsx&amp;sheet=U0&amp;row=3539&amp;col=7&amp;number=0.00229&amp;sourceID=14","0.00229")</f>
        <v>0.00229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HYPERLINK("http://141.218.60.56/~jnz1568/getInfo.php?workbook=16_08.xlsx&amp;sheet=U0&amp;row=3540&amp;col=6&amp;number=4.6&amp;sourceID=14","4.6")</f>
        <v>4.6</v>
      </c>
      <c r="G3540" s="4" t="str">
        <f>HYPERLINK("http://141.218.60.56/~jnz1568/getInfo.php?workbook=16_08.xlsx&amp;sheet=U0&amp;row=3540&amp;col=7&amp;number=0.00228&amp;sourceID=14","0.00228")</f>
        <v>0.00228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HYPERLINK("http://141.218.60.56/~jnz1568/getInfo.php?workbook=16_08.xlsx&amp;sheet=U0&amp;row=3541&amp;col=6&amp;number=4.7&amp;sourceID=14","4.7")</f>
        <v>4.7</v>
      </c>
      <c r="G3541" s="4" t="str">
        <f>HYPERLINK("http://141.218.60.56/~jnz1568/getInfo.php?workbook=16_08.xlsx&amp;sheet=U0&amp;row=3541&amp;col=7&amp;number=0.00228&amp;sourceID=14","0.00228")</f>
        <v>0.00228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HYPERLINK("http://141.218.60.56/~jnz1568/getInfo.php?workbook=16_08.xlsx&amp;sheet=U0&amp;row=3542&amp;col=6&amp;number=4.8&amp;sourceID=14","4.8")</f>
        <v>4.8</v>
      </c>
      <c r="G3542" s="4" t="str">
        <f>HYPERLINK("http://141.218.60.56/~jnz1568/getInfo.php?workbook=16_08.xlsx&amp;sheet=U0&amp;row=3542&amp;col=7&amp;number=0.00227&amp;sourceID=14","0.00227")</f>
        <v>0.00227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HYPERLINK("http://141.218.60.56/~jnz1568/getInfo.php?workbook=16_08.xlsx&amp;sheet=U0&amp;row=3543&amp;col=6&amp;number=4.9&amp;sourceID=14","4.9")</f>
        <v>4.9</v>
      </c>
      <c r="G3543" s="4" t="str">
        <f>HYPERLINK("http://141.218.60.56/~jnz1568/getInfo.php?workbook=16_08.xlsx&amp;sheet=U0&amp;row=3543&amp;col=7&amp;number=0.00225&amp;sourceID=14","0.00225")</f>
        <v>0.00225</v>
      </c>
    </row>
    <row r="3544" spans="1:7">
      <c r="A3544" s="3">
        <v>16</v>
      </c>
      <c r="B3544" s="3">
        <v>8</v>
      </c>
      <c r="C3544" s="3">
        <v>3</v>
      </c>
      <c r="D3544" s="3">
        <v>12</v>
      </c>
      <c r="E3544" s="3">
        <v>1</v>
      </c>
      <c r="F3544" s="4" t="str">
        <f>HYPERLINK("http://141.218.60.56/~jnz1568/getInfo.php?workbook=16_08.xlsx&amp;sheet=U0&amp;row=3544&amp;col=6&amp;number=3&amp;sourceID=14","3")</f>
        <v>3</v>
      </c>
      <c r="G3544" s="4" t="str">
        <f>HYPERLINK("http://141.218.60.56/~jnz1568/getInfo.php?workbook=16_08.xlsx&amp;sheet=U0&amp;row=3544&amp;col=7&amp;number=0.00149&amp;sourceID=14","0.00149")</f>
        <v>0.00149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HYPERLINK("http://141.218.60.56/~jnz1568/getInfo.php?workbook=16_08.xlsx&amp;sheet=U0&amp;row=3545&amp;col=6&amp;number=3.1&amp;sourceID=14","3.1")</f>
        <v>3.1</v>
      </c>
      <c r="G3545" s="4" t="str">
        <f>HYPERLINK("http://141.218.60.56/~jnz1568/getInfo.php?workbook=16_08.xlsx&amp;sheet=U0&amp;row=3545&amp;col=7&amp;number=0.0015&amp;sourceID=14","0.0015")</f>
        <v>0.0015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HYPERLINK("http://141.218.60.56/~jnz1568/getInfo.php?workbook=16_08.xlsx&amp;sheet=U0&amp;row=3546&amp;col=6&amp;number=3.2&amp;sourceID=14","3.2")</f>
        <v>3.2</v>
      </c>
      <c r="G3546" s="4" t="str">
        <f>HYPERLINK("http://141.218.60.56/~jnz1568/getInfo.php?workbook=16_08.xlsx&amp;sheet=U0&amp;row=3546&amp;col=7&amp;number=0.0015&amp;sourceID=14","0.0015")</f>
        <v>0.0015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HYPERLINK("http://141.218.60.56/~jnz1568/getInfo.php?workbook=16_08.xlsx&amp;sheet=U0&amp;row=3547&amp;col=6&amp;number=3.3&amp;sourceID=14","3.3")</f>
        <v>3.3</v>
      </c>
      <c r="G3547" s="4" t="str">
        <f>HYPERLINK("http://141.218.60.56/~jnz1568/getInfo.php?workbook=16_08.xlsx&amp;sheet=U0&amp;row=3547&amp;col=7&amp;number=0.0015&amp;sourceID=14","0.0015")</f>
        <v>0.0015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HYPERLINK("http://141.218.60.56/~jnz1568/getInfo.php?workbook=16_08.xlsx&amp;sheet=U0&amp;row=3548&amp;col=6&amp;number=3.4&amp;sourceID=14","3.4")</f>
        <v>3.4</v>
      </c>
      <c r="G3548" s="4" t="str">
        <f>HYPERLINK("http://141.218.60.56/~jnz1568/getInfo.php?workbook=16_08.xlsx&amp;sheet=U0&amp;row=3548&amp;col=7&amp;number=0.0015&amp;sourceID=14","0.0015")</f>
        <v>0.0015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HYPERLINK("http://141.218.60.56/~jnz1568/getInfo.php?workbook=16_08.xlsx&amp;sheet=U0&amp;row=3549&amp;col=6&amp;number=3.5&amp;sourceID=14","3.5")</f>
        <v>3.5</v>
      </c>
      <c r="G3549" s="4" t="str">
        <f>HYPERLINK("http://141.218.60.56/~jnz1568/getInfo.php?workbook=16_08.xlsx&amp;sheet=U0&amp;row=3549&amp;col=7&amp;number=0.0015&amp;sourceID=14","0.0015")</f>
        <v>0.0015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HYPERLINK("http://141.218.60.56/~jnz1568/getInfo.php?workbook=16_08.xlsx&amp;sheet=U0&amp;row=3550&amp;col=6&amp;number=3.6&amp;sourceID=14","3.6")</f>
        <v>3.6</v>
      </c>
      <c r="G3550" s="4" t="str">
        <f>HYPERLINK("http://141.218.60.56/~jnz1568/getInfo.php?workbook=16_08.xlsx&amp;sheet=U0&amp;row=3550&amp;col=7&amp;number=0.0015&amp;sourceID=14","0.0015")</f>
        <v>0.0015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HYPERLINK("http://141.218.60.56/~jnz1568/getInfo.php?workbook=16_08.xlsx&amp;sheet=U0&amp;row=3551&amp;col=6&amp;number=3.7&amp;sourceID=14","3.7")</f>
        <v>3.7</v>
      </c>
      <c r="G3551" s="4" t="str">
        <f>HYPERLINK("http://141.218.60.56/~jnz1568/getInfo.php?workbook=16_08.xlsx&amp;sheet=U0&amp;row=3551&amp;col=7&amp;number=0.0015&amp;sourceID=14","0.0015")</f>
        <v>0.0015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HYPERLINK("http://141.218.60.56/~jnz1568/getInfo.php?workbook=16_08.xlsx&amp;sheet=U0&amp;row=3552&amp;col=6&amp;number=3.8&amp;sourceID=14","3.8")</f>
        <v>3.8</v>
      </c>
      <c r="G3552" s="4" t="str">
        <f>HYPERLINK("http://141.218.60.56/~jnz1568/getInfo.php?workbook=16_08.xlsx&amp;sheet=U0&amp;row=3552&amp;col=7&amp;number=0.0015&amp;sourceID=14","0.0015")</f>
        <v>0.0015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HYPERLINK("http://141.218.60.56/~jnz1568/getInfo.php?workbook=16_08.xlsx&amp;sheet=U0&amp;row=3553&amp;col=6&amp;number=3.9&amp;sourceID=14","3.9")</f>
        <v>3.9</v>
      </c>
      <c r="G3553" s="4" t="str">
        <f>HYPERLINK("http://141.218.60.56/~jnz1568/getInfo.php?workbook=16_08.xlsx&amp;sheet=U0&amp;row=3553&amp;col=7&amp;number=0.00151&amp;sourceID=14","0.00151")</f>
        <v>0.00151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HYPERLINK("http://141.218.60.56/~jnz1568/getInfo.php?workbook=16_08.xlsx&amp;sheet=U0&amp;row=3554&amp;col=6&amp;number=4&amp;sourceID=14","4")</f>
        <v>4</v>
      </c>
      <c r="G3554" s="4" t="str">
        <f>HYPERLINK("http://141.218.60.56/~jnz1568/getInfo.php?workbook=16_08.xlsx&amp;sheet=U0&amp;row=3554&amp;col=7&amp;number=0.00151&amp;sourceID=14","0.00151")</f>
        <v>0.00151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HYPERLINK("http://141.218.60.56/~jnz1568/getInfo.php?workbook=16_08.xlsx&amp;sheet=U0&amp;row=3555&amp;col=6&amp;number=4.1&amp;sourceID=14","4.1")</f>
        <v>4.1</v>
      </c>
      <c r="G3555" s="4" t="str">
        <f>HYPERLINK("http://141.218.60.56/~jnz1568/getInfo.php?workbook=16_08.xlsx&amp;sheet=U0&amp;row=3555&amp;col=7&amp;number=0.00152&amp;sourceID=14","0.00152")</f>
        <v>0.00152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HYPERLINK("http://141.218.60.56/~jnz1568/getInfo.php?workbook=16_08.xlsx&amp;sheet=U0&amp;row=3556&amp;col=6&amp;number=4.2&amp;sourceID=14","4.2")</f>
        <v>4.2</v>
      </c>
      <c r="G3556" s="4" t="str">
        <f>HYPERLINK("http://141.218.60.56/~jnz1568/getInfo.php?workbook=16_08.xlsx&amp;sheet=U0&amp;row=3556&amp;col=7&amp;number=0.00152&amp;sourceID=14","0.00152")</f>
        <v>0.00152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HYPERLINK("http://141.218.60.56/~jnz1568/getInfo.php?workbook=16_08.xlsx&amp;sheet=U0&amp;row=3557&amp;col=6&amp;number=4.3&amp;sourceID=14","4.3")</f>
        <v>4.3</v>
      </c>
      <c r="G3557" s="4" t="str">
        <f>HYPERLINK("http://141.218.60.56/~jnz1568/getInfo.php?workbook=16_08.xlsx&amp;sheet=U0&amp;row=3557&amp;col=7&amp;number=0.00153&amp;sourceID=14","0.00153")</f>
        <v>0.00153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HYPERLINK("http://141.218.60.56/~jnz1568/getInfo.php?workbook=16_08.xlsx&amp;sheet=U0&amp;row=3558&amp;col=6&amp;number=4.4&amp;sourceID=14","4.4")</f>
        <v>4.4</v>
      </c>
      <c r="G3558" s="4" t="str">
        <f>HYPERLINK("http://141.218.60.56/~jnz1568/getInfo.php?workbook=16_08.xlsx&amp;sheet=U0&amp;row=3558&amp;col=7&amp;number=0.00154&amp;sourceID=14","0.00154")</f>
        <v>0.00154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HYPERLINK("http://141.218.60.56/~jnz1568/getInfo.php?workbook=16_08.xlsx&amp;sheet=U0&amp;row=3559&amp;col=6&amp;number=4.5&amp;sourceID=14","4.5")</f>
        <v>4.5</v>
      </c>
      <c r="G3559" s="4" t="str">
        <f>HYPERLINK("http://141.218.60.56/~jnz1568/getInfo.php?workbook=16_08.xlsx&amp;sheet=U0&amp;row=3559&amp;col=7&amp;number=0.00155&amp;sourceID=14","0.00155")</f>
        <v>0.00155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HYPERLINK("http://141.218.60.56/~jnz1568/getInfo.php?workbook=16_08.xlsx&amp;sheet=U0&amp;row=3560&amp;col=6&amp;number=4.6&amp;sourceID=14","4.6")</f>
        <v>4.6</v>
      </c>
      <c r="G3560" s="4" t="str">
        <f>HYPERLINK("http://141.218.60.56/~jnz1568/getInfo.php?workbook=16_08.xlsx&amp;sheet=U0&amp;row=3560&amp;col=7&amp;number=0.00157&amp;sourceID=14","0.00157")</f>
        <v>0.00157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HYPERLINK("http://141.218.60.56/~jnz1568/getInfo.php?workbook=16_08.xlsx&amp;sheet=U0&amp;row=3561&amp;col=6&amp;number=4.7&amp;sourceID=14","4.7")</f>
        <v>4.7</v>
      </c>
      <c r="G3561" s="4" t="str">
        <f>HYPERLINK("http://141.218.60.56/~jnz1568/getInfo.php?workbook=16_08.xlsx&amp;sheet=U0&amp;row=3561&amp;col=7&amp;number=0.00158&amp;sourceID=14","0.00158")</f>
        <v>0.00158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HYPERLINK("http://141.218.60.56/~jnz1568/getInfo.php?workbook=16_08.xlsx&amp;sheet=U0&amp;row=3562&amp;col=6&amp;number=4.8&amp;sourceID=14","4.8")</f>
        <v>4.8</v>
      </c>
      <c r="G3562" s="4" t="str">
        <f>HYPERLINK("http://141.218.60.56/~jnz1568/getInfo.php?workbook=16_08.xlsx&amp;sheet=U0&amp;row=3562&amp;col=7&amp;number=0.00161&amp;sourceID=14","0.00161")</f>
        <v>0.00161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HYPERLINK("http://141.218.60.56/~jnz1568/getInfo.php?workbook=16_08.xlsx&amp;sheet=U0&amp;row=3563&amp;col=6&amp;number=4.9&amp;sourceID=14","4.9")</f>
        <v>4.9</v>
      </c>
      <c r="G3563" s="4" t="str">
        <f>HYPERLINK("http://141.218.60.56/~jnz1568/getInfo.php?workbook=16_08.xlsx&amp;sheet=U0&amp;row=3563&amp;col=7&amp;number=0.00164&amp;sourceID=14","0.00164")</f>
        <v>0.00164</v>
      </c>
    </row>
    <row r="3564" spans="1:7">
      <c r="A3564" s="3">
        <v>16</v>
      </c>
      <c r="B3564" s="3">
        <v>8</v>
      </c>
      <c r="C3564" s="3">
        <v>3</v>
      </c>
      <c r="D3564" s="3">
        <v>13</v>
      </c>
      <c r="E3564" s="3">
        <v>1</v>
      </c>
      <c r="F3564" s="4" t="str">
        <f>HYPERLINK("http://141.218.60.56/~jnz1568/getInfo.php?workbook=16_08.xlsx&amp;sheet=U0&amp;row=3564&amp;col=6&amp;number=3&amp;sourceID=14","3")</f>
        <v>3</v>
      </c>
      <c r="G3564" s="4" t="str">
        <f>HYPERLINK("http://141.218.60.56/~jnz1568/getInfo.php?workbook=16_08.xlsx&amp;sheet=U0&amp;row=3564&amp;col=7&amp;number=0.00175&amp;sourceID=14","0.00175")</f>
        <v>0.00175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HYPERLINK("http://141.218.60.56/~jnz1568/getInfo.php?workbook=16_08.xlsx&amp;sheet=U0&amp;row=3565&amp;col=6&amp;number=3.1&amp;sourceID=14","3.1")</f>
        <v>3.1</v>
      </c>
      <c r="G3565" s="4" t="str">
        <f>HYPERLINK("http://141.218.60.56/~jnz1568/getInfo.php?workbook=16_08.xlsx&amp;sheet=U0&amp;row=3565&amp;col=7&amp;number=0.00175&amp;sourceID=14","0.00175")</f>
        <v>0.00175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HYPERLINK("http://141.218.60.56/~jnz1568/getInfo.php?workbook=16_08.xlsx&amp;sheet=U0&amp;row=3566&amp;col=6&amp;number=3.2&amp;sourceID=14","3.2")</f>
        <v>3.2</v>
      </c>
      <c r="G3566" s="4" t="str">
        <f>HYPERLINK("http://141.218.60.56/~jnz1568/getInfo.php?workbook=16_08.xlsx&amp;sheet=U0&amp;row=3566&amp;col=7&amp;number=0.00175&amp;sourceID=14","0.00175")</f>
        <v>0.00175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HYPERLINK("http://141.218.60.56/~jnz1568/getInfo.php?workbook=16_08.xlsx&amp;sheet=U0&amp;row=3567&amp;col=6&amp;number=3.3&amp;sourceID=14","3.3")</f>
        <v>3.3</v>
      </c>
      <c r="G3567" s="4" t="str">
        <f>HYPERLINK("http://141.218.60.56/~jnz1568/getInfo.php?workbook=16_08.xlsx&amp;sheet=U0&amp;row=3567&amp;col=7&amp;number=0.00175&amp;sourceID=14","0.00175")</f>
        <v>0.00175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HYPERLINK("http://141.218.60.56/~jnz1568/getInfo.php?workbook=16_08.xlsx&amp;sheet=U0&amp;row=3568&amp;col=6&amp;number=3.4&amp;sourceID=14","3.4")</f>
        <v>3.4</v>
      </c>
      <c r="G3568" s="4" t="str">
        <f>HYPERLINK("http://141.218.60.56/~jnz1568/getInfo.php?workbook=16_08.xlsx&amp;sheet=U0&amp;row=3568&amp;col=7&amp;number=0.00175&amp;sourceID=14","0.00175")</f>
        <v>0.00175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HYPERLINK("http://141.218.60.56/~jnz1568/getInfo.php?workbook=16_08.xlsx&amp;sheet=U0&amp;row=3569&amp;col=6&amp;number=3.5&amp;sourceID=14","3.5")</f>
        <v>3.5</v>
      </c>
      <c r="G3569" s="4" t="str">
        <f>HYPERLINK("http://141.218.60.56/~jnz1568/getInfo.php?workbook=16_08.xlsx&amp;sheet=U0&amp;row=3569&amp;col=7&amp;number=0.00175&amp;sourceID=14","0.00175")</f>
        <v>0.00175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HYPERLINK("http://141.218.60.56/~jnz1568/getInfo.php?workbook=16_08.xlsx&amp;sheet=U0&amp;row=3570&amp;col=6&amp;number=3.6&amp;sourceID=14","3.6")</f>
        <v>3.6</v>
      </c>
      <c r="G3570" s="4" t="str">
        <f>HYPERLINK("http://141.218.60.56/~jnz1568/getInfo.php?workbook=16_08.xlsx&amp;sheet=U0&amp;row=3570&amp;col=7&amp;number=0.00176&amp;sourceID=14","0.00176")</f>
        <v>0.00176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HYPERLINK("http://141.218.60.56/~jnz1568/getInfo.php?workbook=16_08.xlsx&amp;sheet=U0&amp;row=3571&amp;col=6&amp;number=3.7&amp;sourceID=14","3.7")</f>
        <v>3.7</v>
      </c>
      <c r="G3571" s="4" t="str">
        <f>HYPERLINK("http://141.218.60.56/~jnz1568/getInfo.php?workbook=16_08.xlsx&amp;sheet=U0&amp;row=3571&amp;col=7&amp;number=0.00176&amp;sourceID=14","0.00176")</f>
        <v>0.00176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HYPERLINK("http://141.218.60.56/~jnz1568/getInfo.php?workbook=16_08.xlsx&amp;sheet=U0&amp;row=3572&amp;col=6&amp;number=3.8&amp;sourceID=14","3.8")</f>
        <v>3.8</v>
      </c>
      <c r="G3572" s="4" t="str">
        <f>HYPERLINK("http://141.218.60.56/~jnz1568/getInfo.php?workbook=16_08.xlsx&amp;sheet=U0&amp;row=3572&amp;col=7&amp;number=0.00176&amp;sourceID=14","0.00176")</f>
        <v>0.00176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HYPERLINK("http://141.218.60.56/~jnz1568/getInfo.php?workbook=16_08.xlsx&amp;sheet=U0&amp;row=3573&amp;col=6&amp;number=3.9&amp;sourceID=14","3.9")</f>
        <v>3.9</v>
      </c>
      <c r="G3573" s="4" t="str">
        <f>HYPERLINK("http://141.218.60.56/~jnz1568/getInfo.php?workbook=16_08.xlsx&amp;sheet=U0&amp;row=3573&amp;col=7&amp;number=0.00176&amp;sourceID=14","0.00176")</f>
        <v>0.00176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HYPERLINK("http://141.218.60.56/~jnz1568/getInfo.php?workbook=16_08.xlsx&amp;sheet=U0&amp;row=3574&amp;col=6&amp;number=4&amp;sourceID=14","4")</f>
        <v>4</v>
      </c>
      <c r="G3574" s="4" t="str">
        <f>HYPERLINK("http://141.218.60.56/~jnz1568/getInfo.php?workbook=16_08.xlsx&amp;sheet=U0&amp;row=3574&amp;col=7&amp;number=0.00177&amp;sourceID=14","0.00177")</f>
        <v>0.00177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HYPERLINK("http://141.218.60.56/~jnz1568/getInfo.php?workbook=16_08.xlsx&amp;sheet=U0&amp;row=3575&amp;col=6&amp;number=4.1&amp;sourceID=14","4.1")</f>
        <v>4.1</v>
      </c>
      <c r="G3575" s="4" t="str">
        <f>HYPERLINK("http://141.218.60.56/~jnz1568/getInfo.php?workbook=16_08.xlsx&amp;sheet=U0&amp;row=3575&amp;col=7&amp;number=0.00177&amp;sourceID=14","0.00177")</f>
        <v>0.00177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HYPERLINK("http://141.218.60.56/~jnz1568/getInfo.php?workbook=16_08.xlsx&amp;sheet=U0&amp;row=3576&amp;col=6&amp;number=4.2&amp;sourceID=14","4.2")</f>
        <v>4.2</v>
      </c>
      <c r="G3576" s="4" t="str">
        <f>HYPERLINK("http://141.218.60.56/~jnz1568/getInfo.php?workbook=16_08.xlsx&amp;sheet=U0&amp;row=3576&amp;col=7&amp;number=0.00178&amp;sourceID=14","0.00178")</f>
        <v>0.00178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HYPERLINK("http://141.218.60.56/~jnz1568/getInfo.php?workbook=16_08.xlsx&amp;sheet=U0&amp;row=3577&amp;col=6&amp;number=4.3&amp;sourceID=14","4.3")</f>
        <v>4.3</v>
      </c>
      <c r="G3577" s="4" t="str">
        <f>HYPERLINK("http://141.218.60.56/~jnz1568/getInfo.php?workbook=16_08.xlsx&amp;sheet=U0&amp;row=3577&amp;col=7&amp;number=0.00179&amp;sourceID=14","0.00179")</f>
        <v>0.00179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HYPERLINK("http://141.218.60.56/~jnz1568/getInfo.php?workbook=16_08.xlsx&amp;sheet=U0&amp;row=3578&amp;col=6&amp;number=4.4&amp;sourceID=14","4.4")</f>
        <v>4.4</v>
      </c>
      <c r="G3578" s="4" t="str">
        <f>HYPERLINK("http://141.218.60.56/~jnz1568/getInfo.php?workbook=16_08.xlsx&amp;sheet=U0&amp;row=3578&amp;col=7&amp;number=0.0018&amp;sourceID=14","0.0018")</f>
        <v>0.0018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HYPERLINK("http://141.218.60.56/~jnz1568/getInfo.php?workbook=16_08.xlsx&amp;sheet=U0&amp;row=3579&amp;col=6&amp;number=4.5&amp;sourceID=14","4.5")</f>
        <v>4.5</v>
      </c>
      <c r="G3579" s="4" t="str">
        <f>HYPERLINK("http://141.218.60.56/~jnz1568/getInfo.php?workbook=16_08.xlsx&amp;sheet=U0&amp;row=3579&amp;col=7&amp;number=0.00181&amp;sourceID=14","0.00181")</f>
        <v>0.00181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HYPERLINK("http://141.218.60.56/~jnz1568/getInfo.php?workbook=16_08.xlsx&amp;sheet=U0&amp;row=3580&amp;col=6&amp;number=4.6&amp;sourceID=14","4.6")</f>
        <v>4.6</v>
      </c>
      <c r="G3580" s="4" t="str">
        <f>HYPERLINK("http://141.218.60.56/~jnz1568/getInfo.php?workbook=16_08.xlsx&amp;sheet=U0&amp;row=3580&amp;col=7&amp;number=0.00183&amp;sourceID=14","0.00183")</f>
        <v>0.00183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HYPERLINK("http://141.218.60.56/~jnz1568/getInfo.php?workbook=16_08.xlsx&amp;sheet=U0&amp;row=3581&amp;col=6&amp;number=4.7&amp;sourceID=14","4.7")</f>
        <v>4.7</v>
      </c>
      <c r="G3581" s="4" t="str">
        <f>HYPERLINK("http://141.218.60.56/~jnz1568/getInfo.php?workbook=16_08.xlsx&amp;sheet=U0&amp;row=3581&amp;col=7&amp;number=0.00185&amp;sourceID=14","0.00185")</f>
        <v>0.00185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HYPERLINK("http://141.218.60.56/~jnz1568/getInfo.php?workbook=16_08.xlsx&amp;sheet=U0&amp;row=3582&amp;col=6&amp;number=4.8&amp;sourceID=14","4.8")</f>
        <v>4.8</v>
      </c>
      <c r="G3582" s="4" t="str">
        <f>HYPERLINK("http://141.218.60.56/~jnz1568/getInfo.php?workbook=16_08.xlsx&amp;sheet=U0&amp;row=3582&amp;col=7&amp;number=0.00187&amp;sourceID=14","0.00187")</f>
        <v>0.00187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HYPERLINK("http://141.218.60.56/~jnz1568/getInfo.php?workbook=16_08.xlsx&amp;sheet=U0&amp;row=3583&amp;col=6&amp;number=4.9&amp;sourceID=14","4.9")</f>
        <v>4.9</v>
      </c>
      <c r="G3583" s="4" t="str">
        <f>HYPERLINK("http://141.218.60.56/~jnz1568/getInfo.php?workbook=16_08.xlsx&amp;sheet=U0&amp;row=3583&amp;col=7&amp;number=0.00191&amp;sourceID=14","0.00191")</f>
        <v>0.00191</v>
      </c>
    </row>
    <row r="3584" spans="1:7">
      <c r="A3584" s="3">
        <v>16</v>
      </c>
      <c r="B3584" s="3">
        <v>8</v>
      </c>
      <c r="C3584" s="3">
        <v>3</v>
      </c>
      <c r="D3584" s="3">
        <v>14</v>
      </c>
      <c r="E3584" s="3">
        <v>1</v>
      </c>
      <c r="F3584" s="4" t="str">
        <f>HYPERLINK("http://141.218.60.56/~jnz1568/getInfo.php?workbook=16_08.xlsx&amp;sheet=U0&amp;row=3584&amp;col=6&amp;number=3&amp;sourceID=14","3")</f>
        <v>3</v>
      </c>
      <c r="G3584" s="4" t="str">
        <f>HYPERLINK("http://141.218.60.56/~jnz1568/getInfo.php?workbook=16_08.xlsx&amp;sheet=U0&amp;row=3584&amp;col=7&amp;number=0.00123&amp;sourceID=14","0.00123")</f>
        <v>0.00123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HYPERLINK("http://141.218.60.56/~jnz1568/getInfo.php?workbook=16_08.xlsx&amp;sheet=U0&amp;row=3585&amp;col=6&amp;number=3.1&amp;sourceID=14","3.1")</f>
        <v>3.1</v>
      </c>
      <c r="G3585" s="4" t="str">
        <f>HYPERLINK("http://141.218.60.56/~jnz1568/getInfo.php?workbook=16_08.xlsx&amp;sheet=U0&amp;row=3585&amp;col=7&amp;number=0.00123&amp;sourceID=14","0.00123")</f>
        <v>0.00123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HYPERLINK("http://141.218.60.56/~jnz1568/getInfo.php?workbook=16_08.xlsx&amp;sheet=U0&amp;row=3586&amp;col=6&amp;number=3.2&amp;sourceID=14","3.2")</f>
        <v>3.2</v>
      </c>
      <c r="G3586" s="4" t="str">
        <f>HYPERLINK("http://141.218.60.56/~jnz1568/getInfo.php?workbook=16_08.xlsx&amp;sheet=U0&amp;row=3586&amp;col=7&amp;number=0.00123&amp;sourceID=14","0.00123")</f>
        <v>0.00123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HYPERLINK("http://141.218.60.56/~jnz1568/getInfo.php?workbook=16_08.xlsx&amp;sheet=U0&amp;row=3587&amp;col=6&amp;number=3.3&amp;sourceID=14","3.3")</f>
        <v>3.3</v>
      </c>
      <c r="G3587" s="4" t="str">
        <f>HYPERLINK("http://141.218.60.56/~jnz1568/getInfo.php?workbook=16_08.xlsx&amp;sheet=U0&amp;row=3587&amp;col=7&amp;number=0.00123&amp;sourceID=14","0.00123")</f>
        <v>0.00123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HYPERLINK("http://141.218.60.56/~jnz1568/getInfo.php?workbook=16_08.xlsx&amp;sheet=U0&amp;row=3588&amp;col=6&amp;number=3.4&amp;sourceID=14","3.4")</f>
        <v>3.4</v>
      </c>
      <c r="G3588" s="4" t="str">
        <f>HYPERLINK("http://141.218.60.56/~jnz1568/getInfo.php?workbook=16_08.xlsx&amp;sheet=U0&amp;row=3588&amp;col=7&amp;number=0.00123&amp;sourceID=14","0.00123")</f>
        <v>0.00123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HYPERLINK("http://141.218.60.56/~jnz1568/getInfo.php?workbook=16_08.xlsx&amp;sheet=U0&amp;row=3589&amp;col=6&amp;number=3.5&amp;sourceID=14","3.5")</f>
        <v>3.5</v>
      </c>
      <c r="G3589" s="4" t="str">
        <f>HYPERLINK("http://141.218.60.56/~jnz1568/getInfo.php?workbook=16_08.xlsx&amp;sheet=U0&amp;row=3589&amp;col=7&amp;number=0.00123&amp;sourceID=14","0.00123")</f>
        <v>0.00123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HYPERLINK("http://141.218.60.56/~jnz1568/getInfo.php?workbook=16_08.xlsx&amp;sheet=U0&amp;row=3590&amp;col=6&amp;number=3.6&amp;sourceID=14","3.6")</f>
        <v>3.6</v>
      </c>
      <c r="G3590" s="4" t="str">
        <f>HYPERLINK("http://141.218.60.56/~jnz1568/getInfo.php?workbook=16_08.xlsx&amp;sheet=U0&amp;row=3590&amp;col=7&amp;number=0.00123&amp;sourceID=14","0.00123")</f>
        <v>0.00123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HYPERLINK("http://141.218.60.56/~jnz1568/getInfo.php?workbook=16_08.xlsx&amp;sheet=U0&amp;row=3591&amp;col=6&amp;number=3.7&amp;sourceID=14","3.7")</f>
        <v>3.7</v>
      </c>
      <c r="G3591" s="4" t="str">
        <f>HYPERLINK("http://141.218.60.56/~jnz1568/getInfo.php?workbook=16_08.xlsx&amp;sheet=U0&amp;row=3591&amp;col=7&amp;number=0.00123&amp;sourceID=14","0.00123")</f>
        <v>0.00123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HYPERLINK("http://141.218.60.56/~jnz1568/getInfo.php?workbook=16_08.xlsx&amp;sheet=U0&amp;row=3592&amp;col=6&amp;number=3.8&amp;sourceID=14","3.8")</f>
        <v>3.8</v>
      </c>
      <c r="G3592" s="4" t="str">
        <f>HYPERLINK("http://141.218.60.56/~jnz1568/getInfo.php?workbook=16_08.xlsx&amp;sheet=U0&amp;row=3592&amp;col=7&amp;number=0.00123&amp;sourceID=14","0.00123")</f>
        <v>0.00123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HYPERLINK("http://141.218.60.56/~jnz1568/getInfo.php?workbook=16_08.xlsx&amp;sheet=U0&amp;row=3593&amp;col=6&amp;number=3.9&amp;sourceID=14","3.9")</f>
        <v>3.9</v>
      </c>
      <c r="G3593" s="4" t="str">
        <f>HYPERLINK("http://141.218.60.56/~jnz1568/getInfo.php?workbook=16_08.xlsx&amp;sheet=U0&amp;row=3593&amp;col=7&amp;number=0.00123&amp;sourceID=14","0.00123")</f>
        <v>0.00123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HYPERLINK("http://141.218.60.56/~jnz1568/getInfo.php?workbook=16_08.xlsx&amp;sheet=U0&amp;row=3594&amp;col=6&amp;number=4&amp;sourceID=14","4")</f>
        <v>4</v>
      </c>
      <c r="G3594" s="4" t="str">
        <f>HYPERLINK("http://141.218.60.56/~jnz1568/getInfo.php?workbook=16_08.xlsx&amp;sheet=U0&amp;row=3594&amp;col=7&amp;number=0.00123&amp;sourceID=14","0.00123")</f>
        <v>0.00123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HYPERLINK("http://141.218.60.56/~jnz1568/getInfo.php?workbook=16_08.xlsx&amp;sheet=U0&amp;row=3595&amp;col=6&amp;number=4.1&amp;sourceID=14","4.1")</f>
        <v>4.1</v>
      </c>
      <c r="G3595" s="4" t="str">
        <f>HYPERLINK("http://141.218.60.56/~jnz1568/getInfo.php?workbook=16_08.xlsx&amp;sheet=U0&amp;row=3595&amp;col=7&amp;number=0.00123&amp;sourceID=14","0.00123")</f>
        <v>0.00123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HYPERLINK("http://141.218.60.56/~jnz1568/getInfo.php?workbook=16_08.xlsx&amp;sheet=U0&amp;row=3596&amp;col=6&amp;number=4.2&amp;sourceID=14","4.2")</f>
        <v>4.2</v>
      </c>
      <c r="G3596" s="4" t="str">
        <f>HYPERLINK("http://141.218.60.56/~jnz1568/getInfo.php?workbook=16_08.xlsx&amp;sheet=U0&amp;row=3596&amp;col=7&amp;number=0.00123&amp;sourceID=14","0.00123")</f>
        <v>0.00123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HYPERLINK("http://141.218.60.56/~jnz1568/getInfo.php?workbook=16_08.xlsx&amp;sheet=U0&amp;row=3597&amp;col=6&amp;number=4.3&amp;sourceID=14","4.3")</f>
        <v>4.3</v>
      </c>
      <c r="G3597" s="4" t="str">
        <f>HYPERLINK("http://141.218.60.56/~jnz1568/getInfo.php?workbook=16_08.xlsx&amp;sheet=U0&amp;row=3597&amp;col=7&amp;number=0.00123&amp;sourceID=14","0.00123")</f>
        <v>0.00123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HYPERLINK("http://141.218.60.56/~jnz1568/getInfo.php?workbook=16_08.xlsx&amp;sheet=U0&amp;row=3598&amp;col=6&amp;number=4.4&amp;sourceID=14","4.4")</f>
        <v>4.4</v>
      </c>
      <c r="G3598" s="4" t="str">
        <f>HYPERLINK("http://141.218.60.56/~jnz1568/getInfo.php?workbook=16_08.xlsx&amp;sheet=U0&amp;row=3598&amp;col=7&amp;number=0.00123&amp;sourceID=14","0.00123")</f>
        <v>0.00123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HYPERLINK("http://141.218.60.56/~jnz1568/getInfo.php?workbook=16_08.xlsx&amp;sheet=U0&amp;row=3599&amp;col=6&amp;number=4.5&amp;sourceID=14","4.5")</f>
        <v>4.5</v>
      </c>
      <c r="G3599" s="4" t="str">
        <f>HYPERLINK("http://141.218.60.56/~jnz1568/getInfo.php?workbook=16_08.xlsx&amp;sheet=U0&amp;row=3599&amp;col=7&amp;number=0.00122&amp;sourceID=14","0.00122")</f>
        <v>0.00122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HYPERLINK("http://141.218.60.56/~jnz1568/getInfo.php?workbook=16_08.xlsx&amp;sheet=U0&amp;row=3600&amp;col=6&amp;number=4.6&amp;sourceID=14","4.6")</f>
        <v>4.6</v>
      </c>
      <c r="G3600" s="4" t="str">
        <f>HYPERLINK("http://141.218.60.56/~jnz1568/getInfo.php?workbook=16_08.xlsx&amp;sheet=U0&amp;row=3600&amp;col=7&amp;number=0.00122&amp;sourceID=14","0.00122")</f>
        <v>0.00122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HYPERLINK("http://141.218.60.56/~jnz1568/getInfo.php?workbook=16_08.xlsx&amp;sheet=U0&amp;row=3601&amp;col=6&amp;number=4.7&amp;sourceID=14","4.7")</f>
        <v>4.7</v>
      </c>
      <c r="G3601" s="4" t="str">
        <f>HYPERLINK("http://141.218.60.56/~jnz1568/getInfo.php?workbook=16_08.xlsx&amp;sheet=U0&amp;row=3601&amp;col=7&amp;number=0.00122&amp;sourceID=14","0.00122")</f>
        <v>0.00122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HYPERLINK("http://141.218.60.56/~jnz1568/getInfo.php?workbook=16_08.xlsx&amp;sheet=U0&amp;row=3602&amp;col=6&amp;number=4.8&amp;sourceID=14","4.8")</f>
        <v>4.8</v>
      </c>
      <c r="G3602" s="4" t="str">
        <f>HYPERLINK("http://141.218.60.56/~jnz1568/getInfo.php?workbook=16_08.xlsx&amp;sheet=U0&amp;row=3602&amp;col=7&amp;number=0.00122&amp;sourceID=14","0.00122")</f>
        <v>0.00122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HYPERLINK("http://141.218.60.56/~jnz1568/getInfo.php?workbook=16_08.xlsx&amp;sheet=U0&amp;row=3603&amp;col=6&amp;number=4.9&amp;sourceID=14","4.9")</f>
        <v>4.9</v>
      </c>
      <c r="G3603" s="4" t="str">
        <f>HYPERLINK("http://141.218.60.56/~jnz1568/getInfo.php?workbook=16_08.xlsx&amp;sheet=U0&amp;row=3603&amp;col=7&amp;number=0.00121&amp;sourceID=14","0.00121")</f>
        <v>0.00121</v>
      </c>
    </row>
    <row r="3604" spans="1:7">
      <c r="A3604" s="3">
        <v>16</v>
      </c>
      <c r="B3604" s="3">
        <v>8</v>
      </c>
      <c r="C3604" s="3">
        <v>3</v>
      </c>
      <c r="D3604" s="3">
        <v>15</v>
      </c>
      <c r="E3604" s="3">
        <v>1</v>
      </c>
      <c r="F3604" s="4" t="str">
        <f>HYPERLINK("http://141.218.60.56/~jnz1568/getInfo.php?workbook=16_08.xlsx&amp;sheet=U0&amp;row=3604&amp;col=6&amp;number=3&amp;sourceID=14","3")</f>
        <v>3</v>
      </c>
      <c r="G3604" s="4" t="str">
        <f>HYPERLINK("http://141.218.60.56/~jnz1568/getInfo.php?workbook=16_08.xlsx&amp;sheet=U0&amp;row=3604&amp;col=7&amp;number=7.78e-06&amp;sourceID=14","7.78e-06")</f>
        <v>7.78e-06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HYPERLINK("http://141.218.60.56/~jnz1568/getInfo.php?workbook=16_08.xlsx&amp;sheet=U0&amp;row=3605&amp;col=6&amp;number=3.1&amp;sourceID=14","3.1")</f>
        <v>3.1</v>
      </c>
      <c r="G3605" s="4" t="str">
        <f>HYPERLINK("http://141.218.60.56/~jnz1568/getInfo.php?workbook=16_08.xlsx&amp;sheet=U0&amp;row=3605&amp;col=7&amp;number=7.78e-06&amp;sourceID=14","7.78e-06")</f>
        <v>7.78e-06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HYPERLINK("http://141.218.60.56/~jnz1568/getInfo.php?workbook=16_08.xlsx&amp;sheet=U0&amp;row=3606&amp;col=6&amp;number=3.2&amp;sourceID=14","3.2")</f>
        <v>3.2</v>
      </c>
      <c r="G3606" s="4" t="str">
        <f>HYPERLINK("http://141.218.60.56/~jnz1568/getInfo.php?workbook=16_08.xlsx&amp;sheet=U0&amp;row=3606&amp;col=7&amp;number=7.78e-06&amp;sourceID=14","7.78e-06")</f>
        <v>7.78e-06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HYPERLINK("http://141.218.60.56/~jnz1568/getInfo.php?workbook=16_08.xlsx&amp;sheet=U0&amp;row=3607&amp;col=6&amp;number=3.3&amp;sourceID=14","3.3")</f>
        <v>3.3</v>
      </c>
      <c r="G3607" s="4" t="str">
        <f>HYPERLINK("http://141.218.60.56/~jnz1568/getInfo.php?workbook=16_08.xlsx&amp;sheet=U0&amp;row=3607&amp;col=7&amp;number=7.78e-06&amp;sourceID=14","7.78e-06")</f>
        <v>7.78e-06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HYPERLINK("http://141.218.60.56/~jnz1568/getInfo.php?workbook=16_08.xlsx&amp;sheet=U0&amp;row=3608&amp;col=6&amp;number=3.4&amp;sourceID=14","3.4")</f>
        <v>3.4</v>
      </c>
      <c r="G3608" s="4" t="str">
        <f>HYPERLINK("http://141.218.60.56/~jnz1568/getInfo.php?workbook=16_08.xlsx&amp;sheet=U0&amp;row=3608&amp;col=7&amp;number=7.78e-06&amp;sourceID=14","7.78e-06")</f>
        <v>7.78e-06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HYPERLINK("http://141.218.60.56/~jnz1568/getInfo.php?workbook=16_08.xlsx&amp;sheet=U0&amp;row=3609&amp;col=6&amp;number=3.5&amp;sourceID=14","3.5")</f>
        <v>3.5</v>
      </c>
      <c r="G3609" s="4" t="str">
        <f>HYPERLINK("http://141.218.60.56/~jnz1568/getInfo.php?workbook=16_08.xlsx&amp;sheet=U0&amp;row=3609&amp;col=7&amp;number=7.78e-06&amp;sourceID=14","7.78e-06")</f>
        <v>7.78e-06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HYPERLINK("http://141.218.60.56/~jnz1568/getInfo.php?workbook=16_08.xlsx&amp;sheet=U0&amp;row=3610&amp;col=6&amp;number=3.6&amp;sourceID=14","3.6")</f>
        <v>3.6</v>
      </c>
      <c r="G3610" s="4" t="str">
        <f>HYPERLINK("http://141.218.60.56/~jnz1568/getInfo.php?workbook=16_08.xlsx&amp;sheet=U0&amp;row=3610&amp;col=7&amp;number=7.78e-06&amp;sourceID=14","7.78e-06")</f>
        <v>7.78e-06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HYPERLINK("http://141.218.60.56/~jnz1568/getInfo.php?workbook=16_08.xlsx&amp;sheet=U0&amp;row=3611&amp;col=6&amp;number=3.7&amp;sourceID=14","3.7")</f>
        <v>3.7</v>
      </c>
      <c r="G3611" s="4" t="str">
        <f>HYPERLINK("http://141.218.60.56/~jnz1568/getInfo.php?workbook=16_08.xlsx&amp;sheet=U0&amp;row=3611&amp;col=7&amp;number=7.78e-06&amp;sourceID=14","7.78e-06")</f>
        <v>7.78e-06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HYPERLINK("http://141.218.60.56/~jnz1568/getInfo.php?workbook=16_08.xlsx&amp;sheet=U0&amp;row=3612&amp;col=6&amp;number=3.8&amp;sourceID=14","3.8")</f>
        <v>3.8</v>
      </c>
      <c r="G3612" s="4" t="str">
        <f>HYPERLINK("http://141.218.60.56/~jnz1568/getInfo.php?workbook=16_08.xlsx&amp;sheet=U0&amp;row=3612&amp;col=7&amp;number=7.77e-06&amp;sourceID=14","7.77e-06")</f>
        <v>7.77e-06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HYPERLINK("http://141.218.60.56/~jnz1568/getInfo.php?workbook=16_08.xlsx&amp;sheet=U0&amp;row=3613&amp;col=6&amp;number=3.9&amp;sourceID=14","3.9")</f>
        <v>3.9</v>
      </c>
      <c r="G3613" s="4" t="str">
        <f>HYPERLINK("http://141.218.60.56/~jnz1568/getInfo.php?workbook=16_08.xlsx&amp;sheet=U0&amp;row=3613&amp;col=7&amp;number=7.77e-06&amp;sourceID=14","7.77e-06")</f>
        <v>7.77e-06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HYPERLINK("http://141.218.60.56/~jnz1568/getInfo.php?workbook=16_08.xlsx&amp;sheet=U0&amp;row=3614&amp;col=6&amp;number=4&amp;sourceID=14","4")</f>
        <v>4</v>
      </c>
      <c r="G3614" s="4" t="str">
        <f>HYPERLINK("http://141.218.60.56/~jnz1568/getInfo.php?workbook=16_08.xlsx&amp;sheet=U0&amp;row=3614&amp;col=7&amp;number=7.77e-06&amp;sourceID=14","7.77e-06")</f>
        <v>7.77e-06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HYPERLINK("http://141.218.60.56/~jnz1568/getInfo.php?workbook=16_08.xlsx&amp;sheet=U0&amp;row=3615&amp;col=6&amp;number=4.1&amp;sourceID=14","4.1")</f>
        <v>4.1</v>
      </c>
      <c r="G3615" s="4" t="str">
        <f>HYPERLINK("http://141.218.60.56/~jnz1568/getInfo.php?workbook=16_08.xlsx&amp;sheet=U0&amp;row=3615&amp;col=7&amp;number=7.76e-06&amp;sourceID=14","7.76e-06")</f>
        <v>7.76e-06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HYPERLINK("http://141.218.60.56/~jnz1568/getInfo.php?workbook=16_08.xlsx&amp;sheet=U0&amp;row=3616&amp;col=6&amp;number=4.2&amp;sourceID=14","4.2")</f>
        <v>4.2</v>
      </c>
      <c r="G3616" s="4" t="str">
        <f>HYPERLINK("http://141.218.60.56/~jnz1568/getInfo.php?workbook=16_08.xlsx&amp;sheet=U0&amp;row=3616&amp;col=7&amp;number=7.76e-06&amp;sourceID=14","7.76e-06")</f>
        <v>7.76e-06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HYPERLINK("http://141.218.60.56/~jnz1568/getInfo.php?workbook=16_08.xlsx&amp;sheet=U0&amp;row=3617&amp;col=6&amp;number=4.3&amp;sourceID=14","4.3")</f>
        <v>4.3</v>
      </c>
      <c r="G3617" s="4" t="str">
        <f>HYPERLINK("http://141.218.60.56/~jnz1568/getInfo.php?workbook=16_08.xlsx&amp;sheet=U0&amp;row=3617&amp;col=7&amp;number=7.75e-06&amp;sourceID=14","7.75e-06")</f>
        <v>7.75e-06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HYPERLINK("http://141.218.60.56/~jnz1568/getInfo.php?workbook=16_08.xlsx&amp;sheet=U0&amp;row=3618&amp;col=6&amp;number=4.4&amp;sourceID=14","4.4")</f>
        <v>4.4</v>
      </c>
      <c r="G3618" s="4" t="str">
        <f>HYPERLINK("http://141.218.60.56/~jnz1568/getInfo.php?workbook=16_08.xlsx&amp;sheet=U0&amp;row=3618&amp;col=7&amp;number=7.74e-06&amp;sourceID=14","7.74e-06")</f>
        <v>7.74e-06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HYPERLINK("http://141.218.60.56/~jnz1568/getInfo.php?workbook=16_08.xlsx&amp;sheet=U0&amp;row=3619&amp;col=6&amp;number=4.5&amp;sourceID=14","4.5")</f>
        <v>4.5</v>
      </c>
      <c r="G3619" s="4" t="str">
        <f>HYPERLINK("http://141.218.60.56/~jnz1568/getInfo.php?workbook=16_08.xlsx&amp;sheet=U0&amp;row=3619&amp;col=7&amp;number=7.73e-06&amp;sourceID=14","7.73e-06")</f>
        <v>7.73e-06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HYPERLINK("http://141.218.60.56/~jnz1568/getInfo.php?workbook=16_08.xlsx&amp;sheet=U0&amp;row=3620&amp;col=6&amp;number=4.6&amp;sourceID=14","4.6")</f>
        <v>4.6</v>
      </c>
      <c r="G3620" s="4" t="str">
        <f>HYPERLINK("http://141.218.60.56/~jnz1568/getInfo.php?workbook=16_08.xlsx&amp;sheet=U0&amp;row=3620&amp;col=7&amp;number=7.72e-06&amp;sourceID=14","7.72e-06")</f>
        <v>7.72e-06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HYPERLINK("http://141.218.60.56/~jnz1568/getInfo.php?workbook=16_08.xlsx&amp;sheet=U0&amp;row=3621&amp;col=6&amp;number=4.7&amp;sourceID=14","4.7")</f>
        <v>4.7</v>
      </c>
      <c r="G3621" s="4" t="str">
        <f>HYPERLINK("http://141.218.60.56/~jnz1568/getInfo.php?workbook=16_08.xlsx&amp;sheet=U0&amp;row=3621&amp;col=7&amp;number=7.7e-06&amp;sourceID=14","7.7e-06")</f>
        <v>7.7e-06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HYPERLINK("http://141.218.60.56/~jnz1568/getInfo.php?workbook=16_08.xlsx&amp;sheet=U0&amp;row=3622&amp;col=6&amp;number=4.8&amp;sourceID=14","4.8")</f>
        <v>4.8</v>
      </c>
      <c r="G3622" s="4" t="str">
        <f>HYPERLINK("http://141.218.60.56/~jnz1568/getInfo.php?workbook=16_08.xlsx&amp;sheet=U0&amp;row=3622&amp;col=7&amp;number=7.68e-06&amp;sourceID=14","7.68e-06")</f>
        <v>7.68e-06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HYPERLINK("http://141.218.60.56/~jnz1568/getInfo.php?workbook=16_08.xlsx&amp;sheet=U0&amp;row=3623&amp;col=6&amp;number=4.9&amp;sourceID=14","4.9")</f>
        <v>4.9</v>
      </c>
      <c r="G3623" s="4" t="str">
        <f>HYPERLINK("http://141.218.60.56/~jnz1568/getInfo.php?workbook=16_08.xlsx&amp;sheet=U0&amp;row=3623&amp;col=7&amp;number=7.66e-06&amp;sourceID=14","7.66e-06")</f>
        <v>7.66e-06</v>
      </c>
    </row>
    <row r="3624" spans="1:7">
      <c r="A3624" s="3">
        <v>16</v>
      </c>
      <c r="B3624" s="3">
        <v>8</v>
      </c>
      <c r="C3624" s="3">
        <v>3</v>
      </c>
      <c r="D3624" s="3">
        <v>16</v>
      </c>
      <c r="E3624" s="3">
        <v>1</v>
      </c>
      <c r="F3624" s="4" t="str">
        <f>HYPERLINK("http://141.218.60.56/~jnz1568/getInfo.php?workbook=16_08.xlsx&amp;sheet=U0&amp;row=3624&amp;col=6&amp;number=3&amp;sourceID=14","3")</f>
        <v>3</v>
      </c>
      <c r="G3624" s="4" t="str">
        <f>HYPERLINK("http://141.218.60.56/~jnz1568/getInfo.php?workbook=16_08.xlsx&amp;sheet=U0&amp;row=3624&amp;col=7&amp;number=0.000821&amp;sourceID=14","0.000821")</f>
        <v>0.000821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HYPERLINK("http://141.218.60.56/~jnz1568/getInfo.php?workbook=16_08.xlsx&amp;sheet=U0&amp;row=3625&amp;col=6&amp;number=3.1&amp;sourceID=14","3.1")</f>
        <v>3.1</v>
      </c>
      <c r="G3625" s="4" t="str">
        <f>HYPERLINK("http://141.218.60.56/~jnz1568/getInfo.php?workbook=16_08.xlsx&amp;sheet=U0&amp;row=3625&amp;col=7&amp;number=0.000821&amp;sourceID=14","0.000821")</f>
        <v>0.000821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HYPERLINK("http://141.218.60.56/~jnz1568/getInfo.php?workbook=16_08.xlsx&amp;sheet=U0&amp;row=3626&amp;col=6&amp;number=3.2&amp;sourceID=14","3.2")</f>
        <v>3.2</v>
      </c>
      <c r="G3626" s="4" t="str">
        <f>HYPERLINK("http://141.218.60.56/~jnz1568/getInfo.php?workbook=16_08.xlsx&amp;sheet=U0&amp;row=3626&amp;col=7&amp;number=0.000821&amp;sourceID=14","0.000821")</f>
        <v>0.000821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HYPERLINK("http://141.218.60.56/~jnz1568/getInfo.php?workbook=16_08.xlsx&amp;sheet=U0&amp;row=3627&amp;col=6&amp;number=3.3&amp;sourceID=14","3.3")</f>
        <v>3.3</v>
      </c>
      <c r="G3627" s="4" t="str">
        <f>HYPERLINK("http://141.218.60.56/~jnz1568/getInfo.php?workbook=16_08.xlsx&amp;sheet=U0&amp;row=3627&amp;col=7&amp;number=0.000821&amp;sourceID=14","0.000821")</f>
        <v>0.000821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HYPERLINK("http://141.218.60.56/~jnz1568/getInfo.php?workbook=16_08.xlsx&amp;sheet=U0&amp;row=3628&amp;col=6&amp;number=3.4&amp;sourceID=14","3.4")</f>
        <v>3.4</v>
      </c>
      <c r="G3628" s="4" t="str">
        <f>HYPERLINK("http://141.218.60.56/~jnz1568/getInfo.php?workbook=16_08.xlsx&amp;sheet=U0&amp;row=3628&amp;col=7&amp;number=0.000821&amp;sourceID=14","0.000821")</f>
        <v>0.000821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HYPERLINK("http://141.218.60.56/~jnz1568/getInfo.php?workbook=16_08.xlsx&amp;sheet=U0&amp;row=3629&amp;col=6&amp;number=3.5&amp;sourceID=14","3.5")</f>
        <v>3.5</v>
      </c>
      <c r="G3629" s="4" t="str">
        <f>HYPERLINK("http://141.218.60.56/~jnz1568/getInfo.php?workbook=16_08.xlsx&amp;sheet=U0&amp;row=3629&amp;col=7&amp;number=0.00082&amp;sourceID=14","0.00082")</f>
        <v>0.00082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HYPERLINK("http://141.218.60.56/~jnz1568/getInfo.php?workbook=16_08.xlsx&amp;sheet=U0&amp;row=3630&amp;col=6&amp;number=3.6&amp;sourceID=14","3.6")</f>
        <v>3.6</v>
      </c>
      <c r="G3630" s="4" t="str">
        <f>HYPERLINK("http://141.218.60.56/~jnz1568/getInfo.php?workbook=16_08.xlsx&amp;sheet=U0&amp;row=3630&amp;col=7&amp;number=0.00082&amp;sourceID=14","0.00082")</f>
        <v>0.00082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HYPERLINK("http://141.218.60.56/~jnz1568/getInfo.php?workbook=16_08.xlsx&amp;sheet=U0&amp;row=3631&amp;col=6&amp;number=3.7&amp;sourceID=14","3.7")</f>
        <v>3.7</v>
      </c>
      <c r="G3631" s="4" t="str">
        <f>HYPERLINK("http://141.218.60.56/~jnz1568/getInfo.php?workbook=16_08.xlsx&amp;sheet=U0&amp;row=3631&amp;col=7&amp;number=0.00082&amp;sourceID=14","0.00082")</f>
        <v>0.00082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HYPERLINK("http://141.218.60.56/~jnz1568/getInfo.php?workbook=16_08.xlsx&amp;sheet=U0&amp;row=3632&amp;col=6&amp;number=3.8&amp;sourceID=14","3.8")</f>
        <v>3.8</v>
      </c>
      <c r="G3632" s="4" t="str">
        <f>HYPERLINK("http://141.218.60.56/~jnz1568/getInfo.php?workbook=16_08.xlsx&amp;sheet=U0&amp;row=3632&amp;col=7&amp;number=0.00082&amp;sourceID=14","0.00082")</f>
        <v>0.00082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HYPERLINK("http://141.218.60.56/~jnz1568/getInfo.php?workbook=16_08.xlsx&amp;sheet=U0&amp;row=3633&amp;col=6&amp;number=3.9&amp;sourceID=14","3.9")</f>
        <v>3.9</v>
      </c>
      <c r="G3633" s="4" t="str">
        <f>HYPERLINK("http://141.218.60.56/~jnz1568/getInfo.php?workbook=16_08.xlsx&amp;sheet=U0&amp;row=3633&amp;col=7&amp;number=0.000819&amp;sourceID=14","0.000819")</f>
        <v>0.000819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HYPERLINK("http://141.218.60.56/~jnz1568/getInfo.php?workbook=16_08.xlsx&amp;sheet=U0&amp;row=3634&amp;col=6&amp;number=4&amp;sourceID=14","4")</f>
        <v>4</v>
      </c>
      <c r="G3634" s="4" t="str">
        <f>HYPERLINK("http://141.218.60.56/~jnz1568/getInfo.php?workbook=16_08.xlsx&amp;sheet=U0&amp;row=3634&amp;col=7&amp;number=0.000819&amp;sourceID=14","0.000819")</f>
        <v>0.000819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HYPERLINK("http://141.218.60.56/~jnz1568/getInfo.php?workbook=16_08.xlsx&amp;sheet=U0&amp;row=3635&amp;col=6&amp;number=4.1&amp;sourceID=14","4.1")</f>
        <v>4.1</v>
      </c>
      <c r="G3635" s="4" t="str">
        <f>HYPERLINK("http://141.218.60.56/~jnz1568/getInfo.php?workbook=16_08.xlsx&amp;sheet=U0&amp;row=3635&amp;col=7&amp;number=0.000818&amp;sourceID=14","0.000818")</f>
        <v>0.000818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HYPERLINK("http://141.218.60.56/~jnz1568/getInfo.php?workbook=16_08.xlsx&amp;sheet=U0&amp;row=3636&amp;col=6&amp;number=4.2&amp;sourceID=14","4.2")</f>
        <v>4.2</v>
      </c>
      <c r="G3636" s="4" t="str">
        <f>HYPERLINK("http://141.218.60.56/~jnz1568/getInfo.php?workbook=16_08.xlsx&amp;sheet=U0&amp;row=3636&amp;col=7&amp;number=0.000817&amp;sourceID=14","0.000817")</f>
        <v>0.000817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HYPERLINK("http://141.218.60.56/~jnz1568/getInfo.php?workbook=16_08.xlsx&amp;sheet=U0&amp;row=3637&amp;col=6&amp;number=4.3&amp;sourceID=14","4.3")</f>
        <v>4.3</v>
      </c>
      <c r="G3637" s="4" t="str">
        <f>HYPERLINK("http://141.218.60.56/~jnz1568/getInfo.php?workbook=16_08.xlsx&amp;sheet=U0&amp;row=3637&amp;col=7&amp;number=0.000816&amp;sourceID=14","0.000816")</f>
        <v>0.000816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HYPERLINK("http://141.218.60.56/~jnz1568/getInfo.php?workbook=16_08.xlsx&amp;sheet=U0&amp;row=3638&amp;col=6&amp;number=4.4&amp;sourceID=14","4.4")</f>
        <v>4.4</v>
      </c>
      <c r="G3638" s="4" t="str">
        <f>HYPERLINK("http://141.218.60.56/~jnz1568/getInfo.php?workbook=16_08.xlsx&amp;sheet=U0&amp;row=3638&amp;col=7&amp;number=0.000815&amp;sourceID=14","0.000815")</f>
        <v>0.000815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HYPERLINK("http://141.218.60.56/~jnz1568/getInfo.php?workbook=16_08.xlsx&amp;sheet=U0&amp;row=3639&amp;col=6&amp;number=4.5&amp;sourceID=14","4.5")</f>
        <v>4.5</v>
      </c>
      <c r="G3639" s="4" t="str">
        <f>HYPERLINK("http://141.218.60.56/~jnz1568/getInfo.php?workbook=16_08.xlsx&amp;sheet=U0&amp;row=3639&amp;col=7&amp;number=0.000813&amp;sourceID=14","0.000813")</f>
        <v>0.000813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HYPERLINK("http://141.218.60.56/~jnz1568/getInfo.php?workbook=16_08.xlsx&amp;sheet=U0&amp;row=3640&amp;col=6&amp;number=4.6&amp;sourceID=14","4.6")</f>
        <v>4.6</v>
      </c>
      <c r="G3640" s="4" t="str">
        <f>HYPERLINK("http://141.218.60.56/~jnz1568/getInfo.php?workbook=16_08.xlsx&amp;sheet=U0&amp;row=3640&amp;col=7&amp;number=0.000811&amp;sourceID=14","0.000811")</f>
        <v>0.000811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HYPERLINK("http://141.218.60.56/~jnz1568/getInfo.php?workbook=16_08.xlsx&amp;sheet=U0&amp;row=3641&amp;col=6&amp;number=4.7&amp;sourceID=14","4.7")</f>
        <v>4.7</v>
      </c>
      <c r="G3641" s="4" t="str">
        <f>HYPERLINK("http://141.218.60.56/~jnz1568/getInfo.php?workbook=16_08.xlsx&amp;sheet=U0&amp;row=3641&amp;col=7&amp;number=0.000808&amp;sourceID=14","0.000808")</f>
        <v>0.000808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HYPERLINK("http://141.218.60.56/~jnz1568/getInfo.php?workbook=16_08.xlsx&amp;sheet=U0&amp;row=3642&amp;col=6&amp;number=4.8&amp;sourceID=14","4.8")</f>
        <v>4.8</v>
      </c>
      <c r="G3642" s="4" t="str">
        <f>HYPERLINK("http://141.218.60.56/~jnz1568/getInfo.php?workbook=16_08.xlsx&amp;sheet=U0&amp;row=3642&amp;col=7&amp;number=0.000805&amp;sourceID=14","0.000805")</f>
        <v>0.000805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HYPERLINK("http://141.218.60.56/~jnz1568/getInfo.php?workbook=16_08.xlsx&amp;sheet=U0&amp;row=3643&amp;col=6&amp;number=4.9&amp;sourceID=14","4.9")</f>
        <v>4.9</v>
      </c>
      <c r="G3643" s="4" t="str">
        <f>HYPERLINK("http://141.218.60.56/~jnz1568/getInfo.php?workbook=16_08.xlsx&amp;sheet=U0&amp;row=3643&amp;col=7&amp;number=0.000801&amp;sourceID=14","0.000801")</f>
        <v>0.000801</v>
      </c>
    </row>
    <row r="3644" spans="1:7">
      <c r="A3644" s="3">
        <v>16</v>
      </c>
      <c r="B3644" s="3">
        <v>8</v>
      </c>
      <c r="C3644" s="3">
        <v>3</v>
      </c>
      <c r="D3644" s="3">
        <v>17</v>
      </c>
      <c r="E3644" s="3">
        <v>1</v>
      </c>
      <c r="F3644" s="4" t="str">
        <f>HYPERLINK("http://141.218.60.56/~jnz1568/getInfo.php?workbook=16_08.xlsx&amp;sheet=U0&amp;row=3644&amp;col=6&amp;number=3&amp;sourceID=14","3")</f>
        <v>3</v>
      </c>
      <c r="G3644" s="4" t="str">
        <f>HYPERLINK("http://141.218.60.56/~jnz1568/getInfo.php?workbook=16_08.xlsx&amp;sheet=U0&amp;row=3644&amp;col=7&amp;number=0.00365&amp;sourceID=14","0.00365")</f>
        <v>0.00365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HYPERLINK("http://141.218.60.56/~jnz1568/getInfo.php?workbook=16_08.xlsx&amp;sheet=U0&amp;row=3645&amp;col=6&amp;number=3.1&amp;sourceID=14","3.1")</f>
        <v>3.1</v>
      </c>
      <c r="G3645" s="4" t="str">
        <f>HYPERLINK("http://141.218.60.56/~jnz1568/getInfo.php?workbook=16_08.xlsx&amp;sheet=U0&amp;row=3645&amp;col=7&amp;number=0.00365&amp;sourceID=14","0.00365")</f>
        <v>0.00365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HYPERLINK("http://141.218.60.56/~jnz1568/getInfo.php?workbook=16_08.xlsx&amp;sheet=U0&amp;row=3646&amp;col=6&amp;number=3.2&amp;sourceID=14","3.2")</f>
        <v>3.2</v>
      </c>
      <c r="G3646" s="4" t="str">
        <f>HYPERLINK("http://141.218.60.56/~jnz1568/getInfo.php?workbook=16_08.xlsx&amp;sheet=U0&amp;row=3646&amp;col=7&amp;number=0.00365&amp;sourceID=14","0.00365")</f>
        <v>0.00365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HYPERLINK("http://141.218.60.56/~jnz1568/getInfo.php?workbook=16_08.xlsx&amp;sheet=U0&amp;row=3647&amp;col=6&amp;number=3.3&amp;sourceID=14","3.3")</f>
        <v>3.3</v>
      </c>
      <c r="G3647" s="4" t="str">
        <f>HYPERLINK("http://141.218.60.56/~jnz1568/getInfo.php?workbook=16_08.xlsx&amp;sheet=U0&amp;row=3647&amp;col=7&amp;number=0.00365&amp;sourceID=14","0.00365")</f>
        <v>0.00365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HYPERLINK("http://141.218.60.56/~jnz1568/getInfo.php?workbook=16_08.xlsx&amp;sheet=U0&amp;row=3648&amp;col=6&amp;number=3.4&amp;sourceID=14","3.4")</f>
        <v>3.4</v>
      </c>
      <c r="G3648" s="4" t="str">
        <f>HYPERLINK("http://141.218.60.56/~jnz1568/getInfo.php?workbook=16_08.xlsx&amp;sheet=U0&amp;row=3648&amp;col=7&amp;number=0.00365&amp;sourceID=14","0.00365")</f>
        <v>0.00365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HYPERLINK("http://141.218.60.56/~jnz1568/getInfo.php?workbook=16_08.xlsx&amp;sheet=U0&amp;row=3649&amp;col=6&amp;number=3.5&amp;sourceID=14","3.5")</f>
        <v>3.5</v>
      </c>
      <c r="G3649" s="4" t="str">
        <f>HYPERLINK("http://141.218.60.56/~jnz1568/getInfo.php?workbook=16_08.xlsx&amp;sheet=U0&amp;row=3649&amp;col=7&amp;number=0.00365&amp;sourceID=14","0.00365")</f>
        <v>0.00365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HYPERLINK("http://141.218.60.56/~jnz1568/getInfo.php?workbook=16_08.xlsx&amp;sheet=U0&amp;row=3650&amp;col=6&amp;number=3.6&amp;sourceID=14","3.6")</f>
        <v>3.6</v>
      </c>
      <c r="G3650" s="4" t="str">
        <f>HYPERLINK("http://141.218.60.56/~jnz1568/getInfo.php?workbook=16_08.xlsx&amp;sheet=U0&amp;row=3650&amp;col=7&amp;number=0.00365&amp;sourceID=14","0.00365")</f>
        <v>0.00365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HYPERLINK("http://141.218.60.56/~jnz1568/getInfo.php?workbook=16_08.xlsx&amp;sheet=U0&amp;row=3651&amp;col=6&amp;number=3.7&amp;sourceID=14","3.7")</f>
        <v>3.7</v>
      </c>
      <c r="G3651" s="4" t="str">
        <f>HYPERLINK("http://141.218.60.56/~jnz1568/getInfo.php?workbook=16_08.xlsx&amp;sheet=U0&amp;row=3651&amp;col=7&amp;number=0.00365&amp;sourceID=14","0.00365")</f>
        <v>0.00365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HYPERLINK("http://141.218.60.56/~jnz1568/getInfo.php?workbook=16_08.xlsx&amp;sheet=U0&amp;row=3652&amp;col=6&amp;number=3.8&amp;sourceID=14","3.8")</f>
        <v>3.8</v>
      </c>
      <c r="G3652" s="4" t="str">
        <f>HYPERLINK("http://141.218.60.56/~jnz1568/getInfo.php?workbook=16_08.xlsx&amp;sheet=U0&amp;row=3652&amp;col=7&amp;number=0.00364&amp;sourceID=14","0.00364")</f>
        <v>0.00364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HYPERLINK("http://141.218.60.56/~jnz1568/getInfo.php?workbook=16_08.xlsx&amp;sheet=U0&amp;row=3653&amp;col=6&amp;number=3.9&amp;sourceID=14","3.9")</f>
        <v>3.9</v>
      </c>
      <c r="G3653" s="4" t="str">
        <f>HYPERLINK("http://141.218.60.56/~jnz1568/getInfo.php?workbook=16_08.xlsx&amp;sheet=U0&amp;row=3653&amp;col=7&amp;number=0.00364&amp;sourceID=14","0.00364")</f>
        <v>0.00364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HYPERLINK("http://141.218.60.56/~jnz1568/getInfo.php?workbook=16_08.xlsx&amp;sheet=U0&amp;row=3654&amp;col=6&amp;number=4&amp;sourceID=14","4")</f>
        <v>4</v>
      </c>
      <c r="G3654" s="4" t="str">
        <f>HYPERLINK("http://141.218.60.56/~jnz1568/getInfo.php?workbook=16_08.xlsx&amp;sheet=U0&amp;row=3654&amp;col=7&amp;number=0.00364&amp;sourceID=14","0.00364")</f>
        <v>0.00364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HYPERLINK("http://141.218.60.56/~jnz1568/getInfo.php?workbook=16_08.xlsx&amp;sheet=U0&amp;row=3655&amp;col=6&amp;number=4.1&amp;sourceID=14","4.1")</f>
        <v>4.1</v>
      </c>
      <c r="G3655" s="4" t="str">
        <f>HYPERLINK("http://141.218.60.56/~jnz1568/getInfo.php?workbook=16_08.xlsx&amp;sheet=U0&amp;row=3655&amp;col=7&amp;number=0.00364&amp;sourceID=14","0.00364")</f>
        <v>0.00364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HYPERLINK("http://141.218.60.56/~jnz1568/getInfo.php?workbook=16_08.xlsx&amp;sheet=U0&amp;row=3656&amp;col=6&amp;number=4.2&amp;sourceID=14","4.2")</f>
        <v>4.2</v>
      </c>
      <c r="G3656" s="4" t="str">
        <f>HYPERLINK("http://141.218.60.56/~jnz1568/getInfo.php?workbook=16_08.xlsx&amp;sheet=U0&amp;row=3656&amp;col=7&amp;number=0.00363&amp;sourceID=14","0.00363")</f>
        <v>0.00363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HYPERLINK("http://141.218.60.56/~jnz1568/getInfo.php?workbook=16_08.xlsx&amp;sheet=U0&amp;row=3657&amp;col=6&amp;number=4.3&amp;sourceID=14","4.3")</f>
        <v>4.3</v>
      </c>
      <c r="G3657" s="4" t="str">
        <f>HYPERLINK("http://141.218.60.56/~jnz1568/getInfo.php?workbook=16_08.xlsx&amp;sheet=U0&amp;row=3657&amp;col=7&amp;number=0.00363&amp;sourceID=14","0.00363")</f>
        <v>0.00363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HYPERLINK("http://141.218.60.56/~jnz1568/getInfo.php?workbook=16_08.xlsx&amp;sheet=U0&amp;row=3658&amp;col=6&amp;number=4.4&amp;sourceID=14","4.4")</f>
        <v>4.4</v>
      </c>
      <c r="G3658" s="4" t="str">
        <f>HYPERLINK("http://141.218.60.56/~jnz1568/getInfo.php?workbook=16_08.xlsx&amp;sheet=U0&amp;row=3658&amp;col=7&amp;number=0.00362&amp;sourceID=14","0.00362")</f>
        <v>0.00362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HYPERLINK("http://141.218.60.56/~jnz1568/getInfo.php?workbook=16_08.xlsx&amp;sheet=U0&amp;row=3659&amp;col=6&amp;number=4.5&amp;sourceID=14","4.5")</f>
        <v>4.5</v>
      </c>
      <c r="G3659" s="4" t="str">
        <f>HYPERLINK("http://141.218.60.56/~jnz1568/getInfo.php?workbook=16_08.xlsx&amp;sheet=U0&amp;row=3659&amp;col=7&amp;number=0.00362&amp;sourceID=14","0.00362")</f>
        <v>0.00362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HYPERLINK("http://141.218.60.56/~jnz1568/getInfo.php?workbook=16_08.xlsx&amp;sheet=U0&amp;row=3660&amp;col=6&amp;number=4.6&amp;sourceID=14","4.6")</f>
        <v>4.6</v>
      </c>
      <c r="G3660" s="4" t="str">
        <f>HYPERLINK("http://141.218.60.56/~jnz1568/getInfo.php?workbook=16_08.xlsx&amp;sheet=U0&amp;row=3660&amp;col=7&amp;number=0.00361&amp;sourceID=14","0.00361")</f>
        <v>0.00361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HYPERLINK("http://141.218.60.56/~jnz1568/getInfo.php?workbook=16_08.xlsx&amp;sheet=U0&amp;row=3661&amp;col=6&amp;number=4.7&amp;sourceID=14","4.7")</f>
        <v>4.7</v>
      </c>
      <c r="G3661" s="4" t="str">
        <f>HYPERLINK("http://141.218.60.56/~jnz1568/getInfo.php?workbook=16_08.xlsx&amp;sheet=U0&amp;row=3661&amp;col=7&amp;number=0.0036&amp;sourceID=14","0.0036")</f>
        <v>0.0036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HYPERLINK("http://141.218.60.56/~jnz1568/getInfo.php?workbook=16_08.xlsx&amp;sheet=U0&amp;row=3662&amp;col=6&amp;number=4.8&amp;sourceID=14","4.8")</f>
        <v>4.8</v>
      </c>
      <c r="G3662" s="4" t="str">
        <f>HYPERLINK("http://141.218.60.56/~jnz1568/getInfo.php?workbook=16_08.xlsx&amp;sheet=U0&amp;row=3662&amp;col=7&amp;number=0.00358&amp;sourceID=14","0.00358")</f>
        <v>0.00358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HYPERLINK("http://141.218.60.56/~jnz1568/getInfo.php?workbook=16_08.xlsx&amp;sheet=U0&amp;row=3663&amp;col=6&amp;number=4.9&amp;sourceID=14","4.9")</f>
        <v>4.9</v>
      </c>
      <c r="G3663" s="4" t="str">
        <f>HYPERLINK("http://141.218.60.56/~jnz1568/getInfo.php?workbook=16_08.xlsx&amp;sheet=U0&amp;row=3663&amp;col=7&amp;number=0.00357&amp;sourceID=14","0.00357")</f>
        <v>0.00357</v>
      </c>
    </row>
    <row r="3664" spans="1:7">
      <c r="A3664" s="3">
        <v>16</v>
      </c>
      <c r="B3664" s="3">
        <v>8</v>
      </c>
      <c r="C3664" s="3">
        <v>3</v>
      </c>
      <c r="D3664" s="3">
        <v>18</v>
      </c>
      <c r="E3664" s="3">
        <v>1</v>
      </c>
      <c r="F3664" s="4" t="str">
        <f>HYPERLINK("http://141.218.60.56/~jnz1568/getInfo.php?workbook=16_08.xlsx&amp;sheet=U0&amp;row=3664&amp;col=6&amp;number=3&amp;sourceID=14","3")</f>
        <v>3</v>
      </c>
      <c r="G3664" s="4" t="str">
        <f>HYPERLINK("http://141.218.60.56/~jnz1568/getInfo.php?workbook=16_08.xlsx&amp;sheet=U0&amp;row=3664&amp;col=7&amp;number=0.00373&amp;sourceID=14","0.00373")</f>
        <v>0.00373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HYPERLINK("http://141.218.60.56/~jnz1568/getInfo.php?workbook=16_08.xlsx&amp;sheet=U0&amp;row=3665&amp;col=6&amp;number=3.1&amp;sourceID=14","3.1")</f>
        <v>3.1</v>
      </c>
      <c r="G3665" s="4" t="str">
        <f>HYPERLINK("http://141.218.60.56/~jnz1568/getInfo.php?workbook=16_08.xlsx&amp;sheet=U0&amp;row=3665&amp;col=7&amp;number=0.00373&amp;sourceID=14","0.00373")</f>
        <v>0.00373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HYPERLINK("http://141.218.60.56/~jnz1568/getInfo.php?workbook=16_08.xlsx&amp;sheet=U0&amp;row=3666&amp;col=6&amp;number=3.2&amp;sourceID=14","3.2")</f>
        <v>3.2</v>
      </c>
      <c r="G3666" s="4" t="str">
        <f>HYPERLINK("http://141.218.60.56/~jnz1568/getInfo.php?workbook=16_08.xlsx&amp;sheet=U0&amp;row=3666&amp;col=7&amp;number=0.00373&amp;sourceID=14","0.00373")</f>
        <v>0.00373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HYPERLINK("http://141.218.60.56/~jnz1568/getInfo.php?workbook=16_08.xlsx&amp;sheet=U0&amp;row=3667&amp;col=6&amp;number=3.3&amp;sourceID=14","3.3")</f>
        <v>3.3</v>
      </c>
      <c r="G3667" s="4" t="str">
        <f>HYPERLINK("http://141.218.60.56/~jnz1568/getInfo.php?workbook=16_08.xlsx&amp;sheet=U0&amp;row=3667&amp;col=7&amp;number=0.00373&amp;sourceID=14","0.00373")</f>
        <v>0.00373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HYPERLINK("http://141.218.60.56/~jnz1568/getInfo.php?workbook=16_08.xlsx&amp;sheet=U0&amp;row=3668&amp;col=6&amp;number=3.4&amp;sourceID=14","3.4")</f>
        <v>3.4</v>
      </c>
      <c r="G3668" s="4" t="str">
        <f>HYPERLINK("http://141.218.60.56/~jnz1568/getInfo.php?workbook=16_08.xlsx&amp;sheet=U0&amp;row=3668&amp;col=7&amp;number=0.00373&amp;sourceID=14","0.00373")</f>
        <v>0.00373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HYPERLINK("http://141.218.60.56/~jnz1568/getInfo.php?workbook=16_08.xlsx&amp;sheet=U0&amp;row=3669&amp;col=6&amp;number=3.5&amp;sourceID=14","3.5")</f>
        <v>3.5</v>
      </c>
      <c r="G3669" s="4" t="str">
        <f>HYPERLINK("http://141.218.60.56/~jnz1568/getInfo.php?workbook=16_08.xlsx&amp;sheet=U0&amp;row=3669&amp;col=7&amp;number=0.00372&amp;sourceID=14","0.00372")</f>
        <v>0.00372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HYPERLINK("http://141.218.60.56/~jnz1568/getInfo.php?workbook=16_08.xlsx&amp;sheet=U0&amp;row=3670&amp;col=6&amp;number=3.6&amp;sourceID=14","3.6")</f>
        <v>3.6</v>
      </c>
      <c r="G3670" s="4" t="str">
        <f>HYPERLINK("http://141.218.60.56/~jnz1568/getInfo.php?workbook=16_08.xlsx&amp;sheet=U0&amp;row=3670&amp;col=7&amp;number=0.00372&amp;sourceID=14","0.00372")</f>
        <v>0.00372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HYPERLINK("http://141.218.60.56/~jnz1568/getInfo.php?workbook=16_08.xlsx&amp;sheet=U0&amp;row=3671&amp;col=6&amp;number=3.7&amp;sourceID=14","3.7")</f>
        <v>3.7</v>
      </c>
      <c r="G3671" s="4" t="str">
        <f>HYPERLINK("http://141.218.60.56/~jnz1568/getInfo.php?workbook=16_08.xlsx&amp;sheet=U0&amp;row=3671&amp;col=7&amp;number=0.00372&amp;sourceID=14","0.00372")</f>
        <v>0.00372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HYPERLINK("http://141.218.60.56/~jnz1568/getInfo.php?workbook=16_08.xlsx&amp;sheet=U0&amp;row=3672&amp;col=6&amp;number=3.8&amp;sourceID=14","3.8")</f>
        <v>3.8</v>
      </c>
      <c r="G3672" s="4" t="str">
        <f>HYPERLINK("http://141.218.60.56/~jnz1568/getInfo.php?workbook=16_08.xlsx&amp;sheet=U0&amp;row=3672&amp;col=7&amp;number=0.00372&amp;sourceID=14","0.00372")</f>
        <v>0.00372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HYPERLINK("http://141.218.60.56/~jnz1568/getInfo.php?workbook=16_08.xlsx&amp;sheet=U0&amp;row=3673&amp;col=6&amp;number=3.9&amp;sourceID=14","3.9")</f>
        <v>3.9</v>
      </c>
      <c r="G3673" s="4" t="str">
        <f>HYPERLINK("http://141.218.60.56/~jnz1568/getInfo.php?workbook=16_08.xlsx&amp;sheet=U0&amp;row=3673&amp;col=7&amp;number=0.00372&amp;sourceID=14","0.00372")</f>
        <v>0.00372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HYPERLINK("http://141.218.60.56/~jnz1568/getInfo.php?workbook=16_08.xlsx&amp;sheet=U0&amp;row=3674&amp;col=6&amp;number=4&amp;sourceID=14","4")</f>
        <v>4</v>
      </c>
      <c r="G3674" s="4" t="str">
        <f>HYPERLINK("http://141.218.60.56/~jnz1568/getInfo.php?workbook=16_08.xlsx&amp;sheet=U0&amp;row=3674&amp;col=7&amp;number=0.00371&amp;sourceID=14","0.00371")</f>
        <v>0.00371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HYPERLINK("http://141.218.60.56/~jnz1568/getInfo.php?workbook=16_08.xlsx&amp;sheet=U0&amp;row=3675&amp;col=6&amp;number=4.1&amp;sourceID=14","4.1")</f>
        <v>4.1</v>
      </c>
      <c r="G3675" s="4" t="str">
        <f>HYPERLINK("http://141.218.60.56/~jnz1568/getInfo.php?workbook=16_08.xlsx&amp;sheet=U0&amp;row=3675&amp;col=7&amp;number=0.00371&amp;sourceID=14","0.00371")</f>
        <v>0.00371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HYPERLINK("http://141.218.60.56/~jnz1568/getInfo.php?workbook=16_08.xlsx&amp;sheet=U0&amp;row=3676&amp;col=6&amp;number=4.2&amp;sourceID=14","4.2")</f>
        <v>4.2</v>
      </c>
      <c r="G3676" s="4" t="str">
        <f>HYPERLINK("http://141.218.60.56/~jnz1568/getInfo.php?workbook=16_08.xlsx&amp;sheet=U0&amp;row=3676&amp;col=7&amp;number=0.0037&amp;sourceID=14","0.0037")</f>
        <v>0.0037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HYPERLINK("http://141.218.60.56/~jnz1568/getInfo.php?workbook=16_08.xlsx&amp;sheet=U0&amp;row=3677&amp;col=6&amp;number=4.3&amp;sourceID=14","4.3")</f>
        <v>4.3</v>
      </c>
      <c r="G3677" s="4" t="str">
        <f>HYPERLINK("http://141.218.60.56/~jnz1568/getInfo.php?workbook=16_08.xlsx&amp;sheet=U0&amp;row=3677&amp;col=7&amp;number=0.0037&amp;sourceID=14","0.0037")</f>
        <v>0.0037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HYPERLINK("http://141.218.60.56/~jnz1568/getInfo.php?workbook=16_08.xlsx&amp;sheet=U0&amp;row=3678&amp;col=6&amp;number=4.4&amp;sourceID=14","4.4")</f>
        <v>4.4</v>
      </c>
      <c r="G3678" s="4" t="str">
        <f>HYPERLINK("http://141.218.60.56/~jnz1568/getInfo.php?workbook=16_08.xlsx&amp;sheet=U0&amp;row=3678&amp;col=7&amp;number=0.00369&amp;sourceID=14","0.00369")</f>
        <v>0.00369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HYPERLINK("http://141.218.60.56/~jnz1568/getInfo.php?workbook=16_08.xlsx&amp;sheet=U0&amp;row=3679&amp;col=6&amp;number=4.5&amp;sourceID=14","4.5")</f>
        <v>4.5</v>
      </c>
      <c r="G3679" s="4" t="str">
        <f>HYPERLINK("http://141.218.60.56/~jnz1568/getInfo.php?workbook=16_08.xlsx&amp;sheet=U0&amp;row=3679&amp;col=7&amp;number=0.00368&amp;sourceID=14","0.00368")</f>
        <v>0.00368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HYPERLINK("http://141.218.60.56/~jnz1568/getInfo.php?workbook=16_08.xlsx&amp;sheet=U0&amp;row=3680&amp;col=6&amp;number=4.6&amp;sourceID=14","4.6")</f>
        <v>4.6</v>
      </c>
      <c r="G3680" s="4" t="str">
        <f>HYPERLINK("http://141.218.60.56/~jnz1568/getInfo.php?workbook=16_08.xlsx&amp;sheet=U0&amp;row=3680&amp;col=7&amp;number=0.00366&amp;sourceID=14","0.00366")</f>
        <v>0.00366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HYPERLINK("http://141.218.60.56/~jnz1568/getInfo.php?workbook=16_08.xlsx&amp;sheet=U0&amp;row=3681&amp;col=6&amp;number=4.7&amp;sourceID=14","4.7")</f>
        <v>4.7</v>
      </c>
      <c r="G3681" s="4" t="str">
        <f>HYPERLINK("http://141.218.60.56/~jnz1568/getInfo.php?workbook=16_08.xlsx&amp;sheet=U0&amp;row=3681&amp;col=7&amp;number=0.00365&amp;sourceID=14","0.00365")</f>
        <v>0.00365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HYPERLINK("http://141.218.60.56/~jnz1568/getInfo.php?workbook=16_08.xlsx&amp;sheet=U0&amp;row=3682&amp;col=6&amp;number=4.8&amp;sourceID=14","4.8")</f>
        <v>4.8</v>
      </c>
      <c r="G3682" s="4" t="str">
        <f>HYPERLINK("http://141.218.60.56/~jnz1568/getInfo.php?workbook=16_08.xlsx&amp;sheet=U0&amp;row=3682&amp;col=7&amp;number=0.00363&amp;sourceID=14","0.00363")</f>
        <v>0.00363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HYPERLINK("http://141.218.60.56/~jnz1568/getInfo.php?workbook=16_08.xlsx&amp;sheet=U0&amp;row=3683&amp;col=6&amp;number=4.9&amp;sourceID=14","4.9")</f>
        <v>4.9</v>
      </c>
      <c r="G3683" s="4" t="str">
        <f>HYPERLINK("http://141.218.60.56/~jnz1568/getInfo.php?workbook=16_08.xlsx&amp;sheet=U0&amp;row=3683&amp;col=7&amp;number=0.0036&amp;sourceID=14","0.0036")</f>
        <v>0.0036</v>
      </c>
    </row>
    <row r="3684" spans="1:7">
      <c r="A3684" s="3">
        <v>16</v>
      </c>
      <c r="B3684" s="3">
        <v>8</v>
      </c>
      <c r="C3684" s="3">
        <v>3</v>
      </c>
      <c r="D3684" s="3">
        <v>19</v>
      </c>
      <c r="E3684" s="3">
        <v>1</v>
      </c>
      <c r="F3684" s="4" t="str">
        <f>HYPERLINK("http://141.218.60.56/~jnz1568/getInfo.php?workbook=16_08.xlsx&amp;sheet=U0&amp;row=3684&amp;col=6&amp;number=3&amp;sourceID=14","3")</f>
        <v>3</v>
      </c>
      <c r="G3684" s="4" t="str">
        <f>HYPERLINK("http://141.218.60.56/~jnz1568/getInfo.php?workbook=16_08.xlsx&amp;sheet=U0&amp;row=3684&amp;col=7&amp;number=0.00658&amp;sourceID=14","0.00658")</f>
        <v>0.00658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HYPERLINK("http://141.218.60.56/~jnz1568/getInfo.php?workbook=16_08.xlsx&amp;sheet=U0&amp;row=3685&amp;col=6&amp;number=3.1&amp;sourceID=14","3.1")</f>
        <v>3.1</v>
      </c>
      <c r="G3685" s="4" t="str">
        <f>HYPERLINK("http://141.218.60.56/~jnz1568/getInfo.php?workbook=16_08.xlsx&amp;sheet=U0&amp;row=3685&amp;col=7&amp;number=0.00658&amp;sourceID=14","0.00658")</f>
        <v>0.00658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HYPERLINK("http://141.218.60.56/~jnz1568/getInfo.php?workbook=16_08.xlsx&amp;sheet=U0&amp;row=3686&amp;col=6&amp;number=3.2&amp;sourceID=14","3.2")</f>
        <v>3.2</v>
      </c>
      <c r="G3686" s="4" t="str">
        <f>HYPERLINK("http://141.218.60.56/~jnz1568/getInfo.php?workbook=16_08.xlsx&amp;sheet=U0&amp;row=3686&amp;col=7&amp;number=0.00657&amp;sourceID=14","0.00657")</f>
        <v>0.00657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HYPERLINK("http://141.218.60.56/~jnz1568/getInfo.php?workbook=16_08.xlsx&amp;sheet=U0&amp;row=3687&amp;col=6&amp;number=3.3&amp;sourceID=14","3.3")</f>
        <v>3.3</v>
      </c>
      <c r="G3687" s="4" t="str">
        <f>HYPERLINK("http://141.218.60.56/~jnz1568/getInfo.php?workbook=16_08.xlsx&amp;sheet=U0&amp;row=3687&amp;col=7&amp;number=0.00657&amp;sourceID=14","0.00657")</f>
        <v>0.00657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HYPERLINK("http://141.218.60.56/~jnz1568/getInfo.php?workbook=16_08.xlsx&amp;sheet=U0&amp;row=3688&amp;col=6&amp;number=3.4&amp;sourceID=14","3.4")</f>
        <v>3.4</v>
      </c>
      <c r="G3688" s="4" t="str">
        <f>HYPERLINK("http://141.218.60.56/~jnz1568/getInfo.php?workbook=16_08.xlsx&amp;sheet=U0&amp;row=3688&amp;col=7&amp;number=0.00657&amp;sourceID=14","0.00657")</f>
        <v>0.00657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HYPERLINK("http://141.218.60.56/~jnz1568/getInfo.php?workbook=16_08.xlsx&amp;sheet=U0&amp;row=3689&amp;col=6&amp;number=3.5&amp;sourceID=14","3.5")</f>
        <v>3.5</v>
      </c>
      <c r="G3689" s="4" t="str">
        <f>HYPERLINK("http://141.218.60.56/~jnz1568/getInfo.php?workbook=16_08.xlsx&amp;sheet=U0&amp;row=3689&amp;col=7&amp;number=0.00657&amp;sourceID=14","0.00657")</f>
        <v>0.00657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HYPERLINK("http://141.218.60.56/~jnz1568/getInfo.php?workbook=16_08.xlsx&amp;sheet=U0&amp;row=3690&amp;col=6&amp;number=3.6&amp;sourceID=14","3.6")</f>
        <v>3.6</v>
      </c>
      <c r="G3690" s="4" t="str">
        <f>HYPERLINK("http://141.218.60.56/~jnz1568/getInfo.php?workbook=16_08.xlsx&amp;sheet=U0&amp;row=3690&amp;col=7&amp;number=0.00657&amp;sourceID=14","0.00657")</f>
        <v>0.00657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HYPERLINK("http://141.218.60.56/~jnz1568/getInfo.php?workbook=16_08.xlsx&amp;sheet=U0&amp;row=3691&amp;col=6&amp;number=3.7&amp;sourceID=14","3.7")</f>
        <v>3.7</v>
      </c>
      <c r="G3691" s="4" t="str">
        <f>HYPERLINK("http://141.218.60.56/~jnz1568/getInfo.php?workbook=16_08.xlsx&amp;sheet=U0&amp;row=3691&amp;col=7&amp;number=0.00656&amp;sourceID=14","0.00656")</f>
        <v>0.00656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HYPERLINK("http://141.218.60.56/~jnz1568/getInfo.php?workbook=16_08.xlsx&amp;sheet=U0&amp;row=3692&amp;col=6&amp;number=3.8&amp;sourceID=14","3.8")</f>
        <v>3.8</v>
      </c>
      <c r="G3692" s="4" t="str">
        <f>HYPERLINK("http://141.218.60.56/~jnz1568/getInfo.php?workbook=16_08.xlsx&amp;sheet=U0&amp;row=3692&amp;col=7&amp;number=0.00656&amp;sourceID=14","0.00656")</f>
        <v>0.00656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HYPERLINK("http://141.218.60.56/~jnz1568/getInfo.php?workbook=16_08.xlsx&amp;sheet=U0&amp;row=3693&amp;col=6&amp;number=3.9&amp;sourceID=14","3.9")</f>
        <v>3.9</v>
      </c>
      <c r="G3693" s="4" t="str">
        <f>HYPERLINK("http://141.218.60.56/~jnz1568/getInfo.php?workbook=16_08.xlsx&amp;sheet=U0&amp;row=3693&amp;col=7&amp;number=0.00656&amp;sourceID=14","0.00656")</f>
        <v>0.00656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HYPERLINK("http://141.218.60.56/~jnz1568/getInfo.php?workbook=16_08.xlsx&amp;sheet=U0&amp;row=3694&amp;col=6&amp;number=4&amp;sourceID=14","4")</f>
        <v>4</v>
      </c>
      <c r="G3694" s="4" t="str">
        <f>HYPERLINK("http://141.218.60.56/~jnz1568/getInfo.php?workbook=16_08.xlsx&amp;sheet=U0&amp;row=3694&amp;col=7&amp;number=0.00655&amp;sourceID=14","0.00655")</f>
        <v>0.00655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HYPERLINK("http://141.218.60.56/~jnz1568/getInfo.php?workbook=16_08.xlsx&amp;sheet=U0&amp;row=3695&amp;col=6&amp;number=4.1&amp;sourceID=14","4.1")</f>
        <v>4.1</v>
      </c>
      <c r="G3695" s="4" t="str">
        <f>HYPERLINK("http://141.218.60.56/~jnz1568/getInfo.php?workbook=16_08.xlsx&amp;sheet=U0&amp;row=3695&amp;col=7&amp;number=0.00654&amp;sourceID=14","0.00654")</f>
        <v>0.00654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HYPERLINK("http://141.218.60.56/~jnz1568/getInfo.php?workbook=16_08.xlsx&amp;sheet=U0&amp;row=3696&amp;col=6&amp;number=4.2&amp;sourceID=14","4.2")</f>
        <v>4.2</v>
      </c>
      <c r="G3696" s="4" t="str">
        <f>HYPERLINK("http://141.218.60.56/~jnz1568/getInfo.php?workbook=16_08.xlsx&amp;sheet=U0&amp;row=3696&amp;col=7&amp;number=0.00653&amp;sourceID=14","0.00653")</f>
        <v>0.00653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HYPERLINK("http://141.218.60.56/~jnz1568/getInfo.php?workbook=16_08.xlsx&amp;sheet=U0&amp;row=3697&amp;col=6&amp;number=4.3&amp;sourceID=14","4.3")</f>
        <v>4.3</v>
      </c>
      <c r="G3697" s="4" t="str">
        <f>HYPERLINK("http://141.218.60.56/~jnz1568/getInfo.php?workbook=16_08.xlsx&amp;sheet=U0&amp;row=3697&amp;col=7&amp;number=0.00652&amp;sourceID=14","0.00652")</f>
        <v>0.00652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HYPERLINK("http://141.218.60.56/~jnz1568/getInfo.php?workbook=16_08.xlsx&amp;sheet=U0&amp;row=3698&amp;col=6&amp;number=4.4&amp;sourceID=14","4.4")</f>
        <v>4.4</v>
      </c>
      <c r="G3698" s="4" t="str">
        <f>HYPERLINK("http://141.218.60.56/~jnz1568/getInfo.php?workbook=16_08.xlsx&amp;sheet=U0&amp;row=3698&amp;col=7&amp;number=0.00651&amp;sourceID=14","0.00651")</f>
        <v>0.00651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HYPERLINK("http://141.218.60.56/~jnz1568/getInfo.php?workbook=16_08.xlsx&amp;sheet=U0&amp;row=3699&amp;col=6&amp;number=4.5&amp;sourceID=14","4.5")</f>
        <v>4.5</v>
      </c>
      <c r="G3699" s="4" t="str">
        <f>HYPERLINK("http://141.218.60.56/~jnz1568/getInfo.php?workbook=16_08.xlsx&amp;sheet=U0&amp;row=3699&amp;col=7&amp;number=0.00649&amp;sourceID=14","0.00649")</f>
        <v>0.00649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HYPERLINK("http://141.218.60.56/~jnz1568/getInfo.php?workbook=16_08.xlsx&amp;sheet=U0&amp;row=3700&amp;col=6&amp;number=4.6&amp;sourceID=14","4.6")</f>
        <v>4.6</v>
      </c>
      <c r="G3700" s="4" t="str">
        <f>HYPERLINK("http://141.218.60.56/~jnz1568/getInfo.php?workbook=16_08.xlsx&amp;sheet=U0&amp;row=3700&amp;col=7&amp;number=0.00647&amp;sourceID=14","0.00647")</f>
        <v>0.00647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HYPERLINK("http://141.218.60.56/~jnz1568/getInfo.php?workbook=16_08.xlsx&amp;sheet=U0&amp;row=3701&amp;col=6&amp;number=4.7&amp;sourceID=14","4.7")</f>
        <v>4.7</v>
      </c>
      <c r="G3701" s="4" t="str">
        <f>HYPERLINK("http://141.218.60.56/~jnz1568/getInfo.php?workbook=16_08.xlsx&amp;sheet=U0&amp;row=3701&amp;col=7&amp;number=0.00644&amp;sourceID=14","0.00644")</f>
        <v>0.00644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HYPERLINK("http://141.218.60.56/~jnz1568/getInfo.php?workbook=16_08.xlsx&amp;sheet=U0&amp;row=3702&amp;col=6&amp;number=4.8&amp;sourceID=14","4.8")</f>
        <v>4.8</v>
      </c>
      <c r="G3702" s="4" t="str">
        <f>HYPERLINK("http://141.218.60.56/~jnz1568/getInfo.php?workbook=16_08.xlsx&amp;sheet=U0&amp;row=3702&amp;col=7&amp;number=0.0064&amp;sourceID=14","0.0064")</f>
        <v>0.0064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HYPERLINK("http://141.218.60.56/~jnz1568/getInfo.php?workbook=16_08.xlsx&amp;sheet=U0&amp;row=3703&amp;col=6&amp;number=4.9&amp;sourceID=14","4.9")</f>
        <v>4.9</v>
      </c>
      <c r="G3703" s="4" t="str">
        <f>HYPERLINK("http://141.218.60.56/~jnz1568/getInfo.php?workbook=16_08.xlsx&amp;sheet=U0&amp;row=3703&amp;col=7&amp;number=0.00636&amp;sourceID=14","0.00636")</f>
        <v>0.00636</v>
      </c>
    </row>
    <row r="3704" spans="1:7">
      <c r="A3704" s="3">
        <v>16</v>
      </c>
      <c r="B3704" s="3">
        <v>8</v>
      </c>
      <c r="C3704" s="3">
        <v>3</v>
      </c>
      <c r="D3704" s="3">
        <v>20</v>
      </c>
      <c r="E3704" s="3">
        <v>1</v>
      </c>
      <c r="F3704" s="4" t="str">
        <f>HYPERLINK("http://141.218.60.56/~jnz1568/getInfo.php?workbook=16_08.xlsx&amp;sheet=U0&amp;row=3704&amp;col=6&amp;number=3&amp;sourceID=14","3")</f>
        <v>3</v>
      </c>
      <c r="G3704" s="4" t="str">
        <f>HYPERLINK("http://141.218.60.56/~jnz1568/getInfo.php?workbook=16_08.xlsx&amp;sheet=U0&amp;row=3704&amp;col=7&amp;number=0.00251&amp;sourceID=14","0.00251")</f>
        <v>0.00251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HYPERLINK("http://141.218.60.56/~jnz1568/getInfo.php?workbook=16_08.xlsx&amp;sheet=U0&amp;row=3705&amp;col=6&amp;number=3.1&amp;sourceID=14","3.1")</f>
        <v>3.1</v>
      </c>
      <c r="G3705" s="4" t="str">
        <f>HYPERLINK("http://141.218.60.56/~jnz1568/getInfo.php?workbook=16_08.xlsx&amp;sheet=U0&amp;row=3705&amp;col=7&amp;number=0.00251&amp;sourceID=14","0.00251")</f>
        <v>0.00251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HYPERLINK("http://141.218.60.56/~jnz1568/getInfo.php?workbook=16_08.xlsx&amp;sheet=U0&amp;row=3706&amp;col=6&amp;number=3.2&amp;sourceID=14","3.2")</f>
        <v>3.2</v>
      </c>
      <c r="G3706" s="4" t="str">
        <f>HYPERLINK("http://141.218.60.56/~jnz1568/getInfo.php?workbook=16_08.xlsx&amp;sheet=U0&amp;row=3706&amp;col=7&amp;number=0.00251&amp;sourceID=14","0.00251")</f>
        <v>0.00251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HYPERLINK("http://141.218.60.56/~jnz1568/getInfo.php?workbook=16_08.xlsx&amp;sheet=U0&amp;row=3707&amp;col=6&amp;number=3.3&amp;sourceID=14","3.3")</f>
        <v>3.3</v>
      </c>
      <c r="G3707" s="4" t="str">
        <f>HYPERLINK("http://141.218.60.56/~jnz1568/getInfo.php?workbook=16_08.xlsx&amp;sheet=U0&amp;row=3707&amp;col=7&amp;number=0.00251&amp;sourceID=14","0.00251")</f>
        <v>0.00251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HYPERLINK("http://141.218.60.56/~jnz1568/getInfo.php?workbook=16_08.xlsx&amp;sheet=U0&amp;row=3708&amp;col=6&amp;number=3.4&amp;sourceID=14","3.4")</f>
        <v>3.4</v>
      </c>
      <c r="G3708" s="4" t="str">
        <f>HYPERLINK("http://141.218.60.56/~jnz1568/getInfo.php?workbook=16_08.xlsx&amp;sheet=U0&amp;row=3708&amp;col=7&amp;number=0.00251&amp;sourceID=14","0.00251")</f>
        <v>0.00251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HYPERLINK("http://141.218.60.56/~jnz1568/getInfo.php?workbook=16_08.xlsx&amp;sheet=U0&amp;row=3709&amp;col=6&amp;number=3.5&amp;sourceID=14","3.5")</f>
        <v>3.5</v>
      </c>
      <c r="G3709" s="4" t="str">
        <f>HYPERLINK("http://141.218.60.56/~jnz1568/getInfo.php?workbook=16_08.xlsx&amp;sheet=U0&amp;row=3709&amp;col=7&amp;number=0.00251&amp;sourceID=14","0.00251")</f>
        <v>0.00251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HYPERLINK("http://141.218.60.56/~jnz1568/getInfo.php?workbook=16_08.xlsx&amp;sheet=U0&amp;row=3710&amp;col=6&amp;number=3.6&amp;sourceID=14","3.6")</f>
        <v>3.6</v>
      </c>
      <c r="G3710" s="4" t="str">
        <f>HYPERLINK("http://141.218.60.56/~jnz1568/getInfo.php?workbook=16_08.xlsx&amp;sheet=U0&amp;row=3710&amp;col=7&amp;number=0.00251&amp;sourceID=14","0.00251")</f>
        <v>0.00251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HYPERLINK("http://141.218.60.56/~jnz1568/getInfo.php?workbook=16_08.xlsx&amp;sheet=U0&amp;row=3711&amp;col=6&amp;number=3.7&amp;sourceID=14","3.7")</f>
        <v>3.7</v>
      </c>
      <c r="G3711" s="4" t="str">
        <f>HYPERLINK("http://141.218.60.56/~jnz1568/getInfo.php?workbook=16_08.xlsx&amp;sheet=U0&amp;row=3711&amp;col=7&amp;number=0.00251&amp;sourceID=14","0.00251")</f>
        <v>0.00251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HYPERLINK("http://141.218.60.56/~jnz1568/getInfo.php?workbook=16_08.xlsx&amp;sheet=U0&amp;row=3712&amp;col=6&amp;number=3.8&amp;sourceID=14","3.8")</f>
        <v>3.8</v>
      </c>
      <c r="G3712" s="4" t="str">
        <f>HYPERLINK("http://141.218.60.56/~jnz1568/getInfo.php?workbook=16_08.xlsx&amp;sheet=U0&amp;row=3712&amp;col=7&amp;number=0.00251&amp;sourceID=14","0.00251")</f>
        <v>0.00251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HYPERLINK("http://141.218.60.56/~jnz1568/getInfo.php?workbook=16_08.xlsx&amp;sheet=U0&amp;row=3713&amp;col=6&amp;number=3.9&amp;sourceID=14","3.9")</f>
        <v>3.9</v>
      </c>
      <c r="G3713" s="4" t="str">
        <f>HYPERLINK("http://141.218.60.56/~jnz1568/getInfo.php?workbook=16_08.xlsx&amp;sheet=U0&amp;row=3713&amp;col=7&amp;number=0.00251&amp;sourceID=14","0.00251")</f>
        <v>0.00251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HYPERLINK("http://141.218.60.56/~jnz1568/getInfo.php?workbook=16_08.xlsx&amp;sheet=U0&amp;row=3714&amp;col=6&amp;number=4&amp;sourceID=14","4")</f>
        <v>4</v>
      </c>
      <c r="G3714" s="4" t="str">
        <f>HYPERLINK("http://141.218.60.56/~jnz1568/getInfo.php?workbook=16_08.xlsx&amp;sheet=U0&amp;row=3714&amp;col=7&amp;number=0.00251&amp;sourceID=14","0.00251")</f>
        <v>0.00251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HYPERLINK("http://141.218.60.56/~jnz1568/getInfo.php?workbook=16_08.xlsx&amp;sheet=U0&amp;row=3715&amp;col=6&amp;number=4.1&amp;sourceID=14","4.1")</f>
        <v>4.1</v>
      </c>
      <c r="G3715" s="4" t="str">
        <f>HYPERLINK("http://141.218.60.56/~jnz1568/getInfo.php?workbook=16_08.xlsx&amp;sheet=U0&amp;row=3715&amp;col=7&amp;number=0.00251&amp;sourceID=14","0.00251")</f>
        <v>0.00251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HYPERLINK("http://141.218.60.56/~jnz1568/getInfo.php?workbook=16_08.xlsx&amp;sheet=U0&amp;row=3716&amp;col=6&amp;number=4.2&amp;sourceID=14","4.2")</f>
        <v>4.2</v>
      </c>
      <c r="G3716" s="4" t="str">
        <f>HYPERLINK("http://141.218.60.56/~jnz1568/getInfo.php?workbook=16_08.xlsx&amp;sheet=U0&amp;row=3716&amp;col=7&amp;number=0.00251&amp;sourceID=14","0.00251")</f>
        <v>0.00251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HYPERLINK("http://141.218.60.56/~jnz1568/getInfo.php?workbook=16_08.xlsx&amp;sheet=U0&amp;row=3717&amp;col=6&amp;number=4.3&amp;sourceID=14","4.3")</f>
        <v>4.3</v>
      </c>
      <c r="G3717" s="4" t="str">
        <f>HYPERLINK("http://141.218.60.56/~jnz1568/getInfo.php?workbook=16_08.xlsx&amp;sheet=U0&amp;row=3717&amp;col=7&amp;number=0.00251&amp;sourceID=14","0.00251")</f>
        <v>0.00251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HYPERLINK("http://141.218.60.56/~jnz1568/getInfo.php?workbook=16_08.xlsx&amp;sheet=U0&amp;row=3718&amp;col=6&amp;number=4.4&amp;sourceID=14","4.4")</f>
        <v>4.4</v>
      </c>
      <c r="G3718" s="4" t="str">
        <f>HYPERLINK("http://141.218.60.56/~jnz1568/getInfo.php?workbook=16_08.xlsx&amp;sheet=U0&amp;row=3718&amp;col=7&amp;number=0.0025&amp;sourceID=14","0.0025")</f>
        <v>0.0025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HYPERLINK("http://141.218.60.56/~jnz1568/getInfo.php?workbook=16_08.xlsx&amp;sheet=U0&amp;row=3719&amp;col=6&amp;number=4.5&amp;sourceID=14","4.5")</f>
        <v>4.5</v>
      </c>
      <c r="G3719" s="4" t="str">
        <f>HYPERLINK("http://141.218.60.56/~jnz1568/getInfo.php?workbook=16_08.xlsx&amp;sheet=U0&amp;row=3719&amp;col=7&amp;number=0.0025&amp;sourceID=14","0.0025")</f>
        <v>0.0025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HYPERLINK("http://141.218.60.56/~jnz1568/getInfo.php?workbook=16_08.xlsx&amp;sheet=U0&amp;row=3720&amp;col=6&amp;number=4.6&amp;sourceID=14","4.6")</f>
        <v>4.6</v>
      </c>
      <c r="G3720" s="4" t="str">
        <f>HYPERLINK("http://141.218.60.56/~jnz1568/getInfo.php?workbook=16_08.xlsx&amp;sheet=U0&amp;row=3720&amp;col=7&amp;number=0.0025&amp;sourceID=14","0.0025")</f>
        <v>0.0025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HYPERLINK("http://141.218.60.56/~jnz1568/getInfo.php?workbook=16_08.xlsx&amp;sheet=U0&amp;row=3721&amp;col=6&amp;number=4.7&amp;sourceID=14","4.7")</f>
        <v>4.7</v>
      </c>
      <c r="G3721" s="4" t="str">
        <f>HYPERLINK("http://141.218.60.56/~jnz1568/getInfo.php?workbook=16_08.xlsx&amp;sheet=U0&amp;row=3721&amp;col=7&amp;number=0.00249&amp;sourceID=14","0.00249")</f>
        <v>0.00249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HYPERLINK("http://141.218.60.56/~jnz1568/getInfo.php?workbook=16_08.xlsx&amp;sheet=U0&amp;row=3722&amp;col=6&amp;number=4.8&amp;sourceID=14","4.8")</f>
        <v>4.8</v>
      </c>
      <c r="G3722" s="4" t="str">
        <f>HYPERLINK("http://141.218.60.56/~jnz1568/getInfo.php?workbook=16_08.xlsx&amp;sheet=U0&amp;row=3722&amp;col=7&amp;number=0.00249&amp;sourceID=14","0.00249")</f>
        <v>0.00249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HYPERLINK("http://141.218.60.56/~jnz1568/getInfo.php?workbook=16_08.xlsx&amp;sheet=U0&amp;row=3723&amp;col=6&amp;number=4.9&amp;sourceID=14","4.9")</f>
        <v>4.9</v>
      </c>
      <c r="G3723" s="4" t="str">
        <f>HYPERLINK("http://141.218.60.56/~jnz1568/getInfo.php?workbook=16_08.xlsx&amp;sheet=U0&amp;row=3723&amp;col=7&amp;number=0.00248&amp;sourceID=14","0.00248")</f>
        <v>0.00248</v>
      </c>
    </row>
    <row r="3724" spans="1:7">
      <c r="A3724" s="3">
        <v>16</v>
      </c>
      <c r="B3724" s="3">
        <v>8</v>
      </c>
      <c r="C3724" s="3">
        <v>3</v>
      </c>
      <c r="D3724" s="3">
        <v>21</v>
      </c>
      <c r="E3724" s="3">
        <v>1</v>
      </c>
      <c r="F3724" s="4" t="str">
        <f>HYPERLINK("http://141.218.60.56/~jnz1568/getInfo.php?workbook=16_08.xlsx&amp;sheet=U0&amp;row=3724&amp;col=6&amp;number=3&amp;sourceID=14","3")</f>
        <v>3</v>
      </c>
      <c r="G3724" s="4" t="str">
        <f>HYPERLINK("http://141.218.60.56/~jnz1568/getInfo.php?workbook=16_08.xlsx&amp;sheet=U0&amp;row=3724&amp;col=7&amp;number=0.00275&amp;sourceID=14","0.00275")</f>
        <v>0.00275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HYPERLINK("http://141.218.60.56/~jnz1568/getInfo.php?workbook=16_08.xlsx&amp;sheet=U0&amp;row=3725&amp;col=6&amp;number=3.1&amp;sourceID=14","3.1")</f>
        <v>3.1</v>
      </c>
      <c r="G3725" s="4" t="str">
        <f>HYPERLINK("http://141.218.60.56/~jnz1568/getInfo.php?workbook=16_08.xlsx&amp;sheet=U0&amp;row=3725&amp;col=7&amp;number=0.00275&amp;sourceID=14","0.00275")</f>
        <v>0.00275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HYPERLINK("http://141.218.60.56/~jnz1568/getInfo.php?workbook=16_08.xlsx&amp;sheet=U0&amp;row=3726&amp;col=6&amp;number=3.2&amp;sourceID=14","3.2")</f>
        <v>3.2</v>
      </c>
      <c r="G3726" s="4" t="str">
        <f>HYPERLINK("http://141.218.60.56/~jnz1568/getInfo.php?workbook=16_08.xlsx&amp;sheet=U0&amp;row=3726&amp;col=7&amp;number=0.00276&amp;sourceID=14","0.00276")</f>
        <v>0.00276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HYPERLINK("http://141.218.60.56/~jnz1568/getInfo.php?workbook=16_08.xlsx&amp;sheet=U0&amp;row=3727&amp;col=6&amp;number=3.3&amp;sourceID=14","3.3")</f>
        <v>3.3</v>
      </c>
      <c r="G3727" s="4" t="str">
        <f>HYPERLINK("http://141.218.60.56/~jnz1568/getInfo.php?workbook=16_08.xlsx&amp;sheet=U0&amp;row=3727&amp;col=7&amp;number=0.00276&amp;sourceID=14","0.00276")</f>
        <v>0.00276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HYPERLINK("http://141.218.60.56/~jnz1568/getInfo.php?workbook=16_08.xlsx&amp;sheet=U0&amp;row=3728&amp;col=6&amp;number=3.4&amp;sourceID=14","3.4")</f>
        <v>3.4</v>
      </c>
      <c r="G3728" s="4" t="str">
        <f>HYPERLINK("http://141.218.60.56/~jnz1568/getInfo.php?workbook=16_08.xlsx&amp;sheet=U0&amp;row=3728&amp;col=7&amp;number=0.00276&amp;sourceID=14","0.00276")</f>
        <v>0.00276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HYPERLINK("http://141.218.60.56/~jnz1568/getInfo.php?workbook=16_08.xlsx&amp;sheet=U0&amp;row=3729&amp;col=6&amp;number=3.5&amp;sourceID=14","3.5")</f>
        <v>3.5</v>
      </c>
      <c r="G3729" s="4" t="str">
        <f>HYPERLINK("http://141.218.60.56/~jnz1568/getInfo.php?workbook=16_08.xlsx&amp;sheet=U0&amp;row=3729&amp;col=7&amp;number=0.00276&amp;sourceID=14","0.00276")</f>
        <v>0.00276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HYPERLINK("http://141.218.60.56/~jnz1568/getInfo.php?workbook=16_08.xlsx&amp;sheet=U0&amp;row=3730&amp;col=6&amp;number=3.6&amp;sourceID=14","3.6")</f>
        <v>3.6</v>
      </c>
      <c r="G3730" s="4" t="str">
        <f>HYPERLINK("http://141.218.60.56/~jnz1568/getInfo.php?workbook=16_08.xlsx&amp;sheet=U0&amp;row=3730&amp;col=7&amp;number=0.00276&amp;sourceID=14","0.00276")</f>
        <v>0.00276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HYPERLINK("http://141.218.60.56/~jnz1568/getInfo.php?workbook=16_08.xlsx&amp;sheet=U0&amp;row=3731&amp;col=6&amp;number=3.7&amp;sourceID=14","3.7")</f>
        <v>3.7</v>
      </c>
      <c r="G3731" s="4" t="str">
        <f>HYPERLINK("http://141.218.60.56/~jnz1568/getInfo.php?workbook=16_08.xlsx&amp;sheet=U0&amp;row=3731&amp;col=7&amp;number=0.00276&amp;sourceID=14","0.00276")</f>
        <v>0.00276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HYPERLINK("http://141.218.60.56/~jnz1568/getInfo.php?workbook=16_08.xlsx&amp;sheet=U0&amp;row=3732&amp;col=6&amp;number=3.8&amp;sourceID=14","3.8")</f>
        <v>3.8</v>
      </c>
      <c r="G3732" s="4" t="str">
        <f>HYPERLINK("http://141.218.60.56/~jnz1568/getInfo.php?workbook=16_08.xlsx&amp;sheet=U0&amp;row=3732&amp;col=7&amp;number=0.00276&amp;sourceID=14","0.00276")</f>
        <v>0.00276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HYPERLINK("http://141.218.60.56/~jnz1568/getInfo.php?workbook=16_08.xlsx&amp;sheet=U0&amp;row=3733&amp;col=6&amp;number=3.9&amp;sourceID=14","3.9")</f>
        <v>3.9</v>
      </c>
      <c r="G3733" s="4" t="str">
        <f>HYPERLINK("http://141.218.60.56/~jnz1568/getInfo.php?workbook=16_08.xlsx&amp;sheet=U0&amp;row=3733&amp;col=7&amp;number=0.00276&amp;sourceID=14","0.00276")</f>
        <v>0.00276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HYPERLINK("http://141.218.60.56/~jnz1568/getInfo.php?workbook=16_08.xlsx&amp;sheet=U0&amp;row=3734&amp;col=6&amp;number=4&amp;sourceID=14","4")</f>
        <v>4</v>
      </c>
      <c r="G3734" s="4" t="str">
        <f>HYPERLINK("http://141.218.60.56/~jnz1568/getInfo.php?workbook=16_08.xlsx&amp;sheet=U0&amp;row=3734&amp;col=7&amp;number=0.00276&amp;sourceID=14","0.00276")</f>
        <v>0.00276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HYPERLINK("http://141.218.60.56/~jnz1568/getInfo.php?workbook=16_08.xlsx&amp;sheet=U0&amp;row=3735&amp;col=6&amp;number=4.1&amp;sourceID=14","4.1")</f>
        <v>4.1</v>
      </c>
      <c r="G3735" s="4" t="str">
        <f>HYPERLINK("http://141.218.60.56/~jnz1568/getInfo.php?workbook=16_08.xlsx&amp;sheet=U0&amp;row=3735&amp;col=7&amp;number=0.00276&amp;sourceID=14","0.00276")</f>
        <v>0.00276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HYPERLINK("http://141.218.60.56/~jnz1568/getInfo.php?workbook=16_08.xlsx&amp;sheet=U0&amp;row=3736&amp;col=6&amp;number=4.2&amp;sourceID=14","4.2")</f>
        <v>4.2</v>
      </c>
      <c r="G3736" s="4" t="str">
        <f>HYPERLINK("http://141.218.60.56/~jnz1568/getInfo.php?workbook=16_08.xlsx&amp;sheet=U0&amp;row=3736&amp;col=7&amp;number=0.00276&amp;sourceID=14","0.00276")</f>
        <v>0.00276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HYPERLINK("http://141.218.60.56/~jnz1568/getInfo.php?workbook=16_08.xlsx&amp;sheet=U0&amp;row=3737&amp;col=6&amp;number=4.3&amp;sourceID=14","4.3")</f>
        <v>4.3</v>
      </c>
      <c r="G3737" s="4" t="str">
        <f>HYPERLINK("http://141.218.60.56/~jnz1568/getInfo.php?workbook=16_08.xlsx&amp;sheet=U0&amp;row=3737&amp;col=7&amp;number=0.00277&amp;sourceID=14","0.00277")</f>
        <v>0.00277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HYPERLINK("http://141.218.60.56/~jnz1568/getInfo.php?workbook=16_08.xlsx&amp;sheet=U0&amp;row=3738&amp;col=6&amp;number=4.4&amp;sourceID=14","4.4")</f>
        <v>4.4</v>
      </c>
      <c r="G3738" s="4" t="str">
        <f>HYPERLINK("http://141.218.60.56/~jnz1568/getInfo.php?workbook=16_08.xlsx&amp;sheet=U0&amp;row=3738&amp;col=7&amp;number=0.00277&amp;sourceID=14","0.00277")</f>
        <v>0.00277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HYPERLINK("http://141.218.60.56/~jnz1568/getInfo.php?workbook=16_08.xlsx&amp;sheet=U0&amp;row=3739&amp;col=6&amp;number=4.5&amp;sourceID=14","4.5")</f>
        <v>4.5</v>
      </c>
      <c r="G3739" s="4" t="str">
        <f>HYPERLINK("http://141.218.60.56/~jnz1568/getInfo.php?workbook=16_08.xlsx&amp;sheet=U0&amp;row=3739&amp;col=7&amp;number=0.00277&amp;sourceID=14","0.00277")</f>
        <v>0.00277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HYPERLINK("http://141.218.60.56/~jnz1568/getInfo.php?workbook=16_08.xlsx&amp;sheet=U0&amp;row=3740&amp;col=6&amp;number=4.6&amp;sourceID=14","4.6")</f>
        <v>4.6</v>
      </c>
      <c r="G3740" s="4" t="str">
        <f>HYPERLINK("http://141.218.60.56/~jnz1568/getInfo.php?workbook=16_08.xlsx&amp;sheet=U0&amp;row=3740&amp;col=7&amp;number=0.00278&amp;sourceID=14","0.00278")</f>
        <v>0.00278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HYPERLINK("http://141.218.60.56/~jnz1568/getInfo.php?workbook=16_08.xlsx&amp;sheet=U0&amp;row=3741&amp;col=6&amp;number=4.7&amp;sourceID=14","4.7")</f>
        <v>4.7</v>
      </c>
      <c r="G3741" s="4" t="str">
        <f>HYPERLINK("http://141.218.60.56/~jnz1568/getInfo.php?workbook=16_08.xlsx&amp;sheet=U0&amp;row=3741&amp;col=7&amp;number=0.00279&amp;sourceID=14","0.00279")</f>
        <v>0.00279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HYPERLINK("http://141.218.60.56/~jnz1568/getInfo.php?workbook=16_08.xlsx&amp;sheet=U0&amp;row=3742&amp;col=6&amp;number=4.8&amp;sourceID=14","4.8")</f>
        <v>4.8</v>
      </c>
      <c r="G3742" s="4" t="str">
        <f>HYPERLINK("http://141.218.60.56/~jnz1568/getInfo.php?workbook=16_08.xlsx&amp;sheet=U0&amp;row=3742&amp;col=7&amp;number=0.00279&amp;sourceID=14","0.00279")</f>
        <v>0.00279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HYPERLINK("http://141.218.60.56/~jnz1568/getInfo.php?workbook=16_08.xlsx&amp;sheet=U0&amp;row=3743&amp;col=6&amp;number=4.9&amp;sourceID=14","4.9")</f>
        <v>4.9</v>
      </c>
      <c r="G3743" s="4" t="str">
        <f>HYPERLINK("http://141.218.60.56/~jnz1568/getInfo.php?workbook=16_08.xlsx&amp;sheet=U0&amp;row=3743&amp;col=7&amp;number=0.0028&amp;sourceID=14","0.0028")</f>
        <v>0.0028</v>
      </c>
    </row>
    <row r="3744" spans="1:7">
      <c r="A3744" s="3">
        <v>16</v>
      </c>
      <c r="B3744" s="3">
        <v>8</v>
      </c>
      <c r="C3744" s="3">
        <v>3</v>
      </c>
      <c r="D3744" s="3">
        <v>22</v>
      </c>
      <c r="E3744" s="3">
        <v>1</v>
      </c>
      <c r="F3744" s="4" t="str">
        <f>HYPERLINK("http://141.218.60.56/~jnz1568/getInfo.php?workbook=16_08.xlsx&amp;sheet=U0&amp;row=3744&amp;col=6&amp;number=3&amp;sourceID=14","3")</f>
        <v>3</v>
      </c>
      <c r="G3744" s="4" t="str">
        <f>HYPERLINK("http://141.218.60.56/~jnz1568/getInfo.php?workbook=16_08.xlsx&amp;sheet=U0&amp;row=3744&amp;col=7&amp;number=0.00812&amp;sourceID=14","0.00812")</f>
        <v>0.00812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HYPERLINK("http://141.218.60.56/~jnz1568/getInfo.php?workbook=16_08.xlsx&amp;sheet=U0&amp;row=3745&amp;col=6&amp;number=3.1&amp;sourceID=14","3.1")</f>
        <v>3.1</v>
      </c>
      <c r="G3745" s="4" t="str">
        <f>HYPERLINK("http://141.218.60.56/~jnz1568/getInfo.php?workbook=16_08.xlsx&amp;sheet=U0&amp;row=3745&amp;col=7&amp;number=0.00812&amp;sourceID=14","0.00812")</f>
        <v>0.00812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HYPERLINK("http://141.218.60.56/~jnz1568/getInfo.php?workbook=16_08.xlsx&amp;sheet=U0&amp;row=3746&amp;col=6&amp;number=3.2&amp;sourceID=14","3.2")</f>
        <v>3.2</v>
      </c>
      <c r="G3746" s="4" t="str">
        <f>HYPERLINK("http://141.218.60.56/~jnz1568/getInfo.php?workbook=16_08.xlsx&amp;sheet=U0&amp;row=3746&amp;col=7&amp;number=0.00812&amp;sourceID=14","0.00812")</f>
        <v>0.00812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HYPERLINK("http://141.218.60.56/~jnz1568/getInfo.php?workbook=16_08.xlsx&amp;sheet=U0&amp;row=3747&amp;col=6&amp;number=3.3&amp;sourceID=14","3.3")</f>
        <v>3.3</v>
      </c>
      <c r="G3747" s="4" t="str">
        <f>HYPERLINK("http://141.218.60.56/~jnz1568/getInfo.php?workbook=16_08.xlsx&amp;sheet=U0&amp;row=3747&amp;col=7&amp;number=0.00812&amp;sourceID=14","0.00812")</f>
        <v>0.00812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HYPERLINK("http://141.218.60.56/~jnz1568/getInfo.php?workbook=16_08.xlsx&amp;sheet=U0&amp;row=3748&amp;col=6&amp;number=3.4&amp;sourceID=14","3.4")</f>
        <v>3.4</v>
      </c>
      <c r="G3748" s="4" t="str">
        <f>HYPERLINK("http://141.218.60.56/~jnz1568/getInfo.php?workbook=16_08.xlsx&amp;sheet=U0&amp;row=3748&amp;col=7&amp;number=0.00812&amp;sourceID=14","0.00812")</f>
        <v>0.00812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HYPERLINK("http://141.218.60.56/~jnz1568/getInfo.php?workbook=16_08.xlsx&amp;sheet=U0&amp;row=3749&amp;col=6&amp;number=3.5&amp;sourceID=14","3.5")</f>
        <v>3.5</v>
      </c>
      <c r="G3749" s="4" t="str">
        <f>HYPERLINK("http://141.218.60.56/~jnz1568/getInfo.php?workbook=16_08.xlsx&amp;sheet=U0&amp;row=3749&amp;col=7&amp;number=0.00812&amp;sourceID=14","0.00812")</f>
        <v>0.00812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HYPERLINK("http://141.218.60.56/~jnz1568/getInfo.php?workbook=16_08.xlsx&amp;sheet=U0&amp;row=3750&amp;col=6&amp;number=3.6&amp;sourceID=14","3.6")</f>
        <v>3.6</v>
      </c>
      <c r="G3750" s="4" t="str">
        <f>HYPERLINK("http://141.218.60.56/~jnz1568/getInfo.php?workbook=16_08.xlsx&amp;sheet=U0&amp;row=3750&amp;col=7&amp;number=0.00812&amp;sourceID=14","0.00812")</f>
        <v>0.00812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HYPERLINK("http://141.218.60.56/~jnz1568/getInfo.php?workbook=16_08.xlsx&amp;sheet=U0&amp;row=3751&amp;col=6&amp;number=3.7&amp;sourceID=14","3.7")</f>
        <v>3.7</v>
      </c>
      <c r="G3751" s="4" t="str">
        <f>HYPERLINK("http://141.218.60.56/~jnz1568/getInfo.php?workbook=16_08.xlsx&amp;sheet=U0&amp;row=3751&amp;col=7&amp;number=0.00812&amp;sourceID=14","0.00812")</f>
        <v>0.00812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HYPERLINK("http://141.218.60.56/~jnz1568/getInfo.php?workbook=16_08.xlsx&amp;sheet=U0&amp;row=3752&amp;col=6&amp;number=3.8&amp;sourceID=14","3.8")</f>
        <v>3.8</v>
      </c>
      <c r="G3752" s="4" t="str">
        <f>HYPERLINK("http://141.218.60.56/~jnz1568/getInfo.php?workbook=16_08.xlsx&amp;sheet=U0&amp;row=3752&amp;col=7&amp;number=0.00812&amp;sourceID=14","0.00812")</f>
        <v>0.00812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HYPERLINK("http://141.218.60.56/~jnz1568/getInfo.php?workbook=16_08.xlsx&amp;sheet=U0&amp;row=3753&amp;col=6&amp;number=3.9&amp;sourceID=14","3.9")</f>
        <v>3.9</v>
      </c>
      <c r="G3753" s="4" t="str">
        <f>HYPERLINK("http://141.218.60.56/~jnz1568/getInfo.php?workbook=16_08.xlsx&amp;sheet=U0&amp;row=3753&amp;col=7&amp;number=0.00812&amp;sourceID=14","0.00812")</f>
        <v>0.00812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HYPERLINK("http://141.218.60.56/~jnz1568/getInfo.php?workbook=16_08.xlsx&amp;sheet=U0&amp;row=3754&amp;col=6&amp;number=4&amp;sourceID=14","4")</f>
        <v>4</v>
      </c>
      <c r="G3754" s="4" t="str">
        <f>HYPERLINK("http://141.218.60.56/~jnz1568/getInfo.php?workbook=16_08.xlsx&amp;sheet=U0&amp;row=3754&amp;col=7&amp;number=0.00812&amp;sourceID=14","0.00812")</f>
        <v>0.00812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HYPERLINK("http://141.218.60.56/~jnz1568/getInfo.php?workbook=16_08.xlsx&amp;sheet=U0&amp;row=3755&amp;col=6&amp;number=4.1&amp;sourceID=14","4.1")</f>
        <v>4.1</v>
      </c>
      <c r="G3755" s="4" t="str">
        <f>HYPERLINK("http://141.218.60.56/~jnz1568/getInfo.php?workbook=16_08.xlsx&amp;sheet=U0&amp;row=3755&amp;col=7&amp;number=0.00812&amp;sourceID=14","0.00812")</f>
        <v>0.00812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HYPERLINK("http://141.218.60.56/~jnz1568/getInfo.php?workbook=16_08.xlsx&amp;sheet=U0&amp;row=3756&amp;col=6&amp;number=4.2&amp;sourceID=14","4.2")</f>
        <v>4.2</v>
      </c>
      <c r="G3756" s="4" t="str">
        <f>HYPERLINK("http://141.218.60.56/~jnz1568/getInfo.php?workbook=16_08.xlsx&amp;sheet=U0&amp;row=3756&amp;col=7&amp;number=0.00812&amp;sourceID=14","0.00812")</f>
        <v>0.00812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HYPERLINK("http://141.218.60.56/~jnz1568/getInfo.php?workbook=16_08.xlsx&amp;sheet=U0&amp;row=3757&amp;col=6&amp;number=4.3&amp;sourceID=14","4.3")</f>
        <v>4.3</v>
      </c>
      <c r="G3757" s="4" t="str">
        <f>HYPERLINK("http://141.218.60.56/~jnz1568/getInfo.php?workbook=16_08.xlsx&amp;sheet=U0&amp;row=3757&amp;col=7&amp;number=0.00813&amp;sourceID=14","0.00813")</f>
        <v>0.00813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HYPERLINK("http://141.218.60.56/~jnz1568/getInfo.php?workbook=16_08.xlsx&amp;sheet=U0&amp;row=3758&amp;col=6&amp;number=4.4&amp;sourceID=14","4.4")</f>
        <v>4.4</v>
      </c>
      <c r="G3758" s="4" t="str">
        <f>HYPERLINK("http://141.218.60.56/~jnz1568/getInfo.php?workbook=16_08.xlsx&amp;sheet=U0&amp;row=3758&amp;col=7&amp;number=0.00813&amp;sourceID=14","0.00813")</f>
        <v>0.00813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HYPERLINK("http://141.218.60.56/~jnz1568/getInfo.php?workbook=16_08.xlsx&amp;sheet=U0&amp;row=3759&amp;col=6&amp;number=4.5&amp;sourceID=14","4.5")</f>
        <v>4.5</v>
      </c>
      <c r="G3759" s="4" t="str">
        <f>HYPERLINK("http://141.218.60.56/~jnz1568/getInfo.php?workbook=16_08.xlsx&amp;sheet=U0&amp;row=3759&amp;col=7&amp;number=0.00813&amp;sourceID=14","0.00813")</f>
        <v>0.00813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HYPERLINK("http://141.218.60.56/~jnz1568/getInfo.php?workbook=16_08.xlsx&amp;sheet=U0&amp;row=3760&amp;col=6&amp;number=4.6&amp;sourceID=14","4.6")</f>
        <v>4.6</v>
      </c>
      <c r="G3760" s="4" t="str">
        <f>HYPERLINK("http://141.218.60.56/~jnz1568/getInfo.php?workbook=16_08.xlsx&amp;sheet=U0&amp;row=3760&amp;col=7&amp;number=0.00814&amp;sourceID=14","0.00814")</f>
        <v>0.00814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HYPERLINK("http://141.218.60.56/~jnz1568/getInfo.php?workbook=16_08.xlsx&amp;sheet=U0&amp;row=3761&amp;col=6&amp;number=4.7&amp;sourceID=14","4.7")</f>
        <v>4.7</v>
      </c>
      <c r="G3761" s="4" t="str">
        <f>HYPERLINK("http://141.218.60.56/~jnz1568/getInfo.php?workbook=16_08.xlsx&amp;sheet=U0&amp;row=3761&amp;col=7&amp;number=0.00814&amp;sourceID=14","0.00814")</f>
        <v>0.00814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HYPERLINK("http://141.218.60.56/~jnz1568/getInfo.php?workbook=16_08.xlsx&amp;sheet=U0&amp;row=3762&amp;col=6&amp;number=4.8&amp;sourceID=14","4.8")</f>
        <v>4.8</v>
      </c>
      <c r="G3762" s="4" t="str">
        <f>HYPERLINK("http://141.218.60.56/~jnz1568/getInfo.php?workbook=16_08.xlsx&amp;sheet=U0&amp;row=3762&amp;col=7&amp;number=0.00815&amp;sourceID=14","0.00815")</f>
        <v>0.00815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HYPERLINK("http://141.218.60.56/~jnz1568/getInfo.php?workbook=16_08.xlsx&amp;sheet=U0&amp;row=3763&amp;col=6&amp;number=4.9&amp;sourceID=14","4.9")</f>
        <v>4.9</v>
      </c>
      <c r="G3763" s="4" t="str">
        <f>HYPERLINK("http://141.218.60.56/~jnz1568/getInfo.php?workbook=16_08.xlsx&amp;sheet=U0&amp;row=3763&amp;col=7&amp;number=0.00816&amp;sourceID=14","0.00816")</f>
        <v>0.00816</v>
      </c>
    </row>
    <row r="3764" spans="1:7">
      <c r="A3764" s="3">
        <v>16</v>
      </c>
      <c r="B3764" s="3">
        <v>8</v>
      </c>
      <c r="C3764" s="3">
        <v>3</v>
      </c>
      <c r="D3764" s="3">
        <v>23</v>
      </c>
      <c r="E3764" s="3">
        <v>1</v>
      </c>
      <c r="F3764" s="4" t="str">
        <f>HYPERLINK("http://141.218.60.56/~jnz1568/getInfo.php?workbook=16_08.xlsx&amp;sheet=U0&amp;row=3764&amp;col=6&amp;number=3&amp;sourceID=14","3")</f>
        <v>3</v>
      </c>
      <c r="G3764" s="4" t="str">
        <f>HYPERLINK("http://141.218.60.56/~jnz1568/getInfo.php?workbook=16_08.xlsx&amp;sheet=U0&amp;row=3764&amp;col=7&amp;number=0.000474&amp;sourceID=14","0.000474")</f>
        <v>0.000474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HYPERLINK("http://141.218.60.56/~jnz1568/getInfo.php?workbook=16_08.xlsx&amp;sheet=U0&amp;row=3765&amp;col=6&amp;number=3.1&amp;sourceID=14","3.1")</f>
        <v>3.1</v>
      </c>
      <c r="G3765" s="4" t="str">
        <f>HYPERLINK("http://141.218.60.56/~jnz1568/getInfo.php?workbook=16_08.xlsx&amp;sheet=U0&amp;row=3765&amp;col=7&amp;number=0.000474&amp;sourceID=14","0.000474")</f>
        <v>0.000474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HYPERLINK("http://141.218.60.56/~jnz1568/getInfo.php?workbook=16_08.xlsx&amp;sheet=U0&amp;row=3766&amp;col=6&amp;number=3.2&amp;sourceID=14","3.2")</f>
        <v>3.2</v>
      </c>
      <c r="G3766" s="4" t="str">
        <f>HYPERLINK("http://141.218.60.56/~jnz1568/getInfo.php?workbook=16_08.xlsx&amp;sheet=U0&amp;row=3766&amp;col=7&amp;number=0.000474&amp;sourceID=14","0.000474")</f>
        <v>0.000474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HYPERLINK("http://141.218.60.56/~jnz1568/getInfo.php?workbook=16_08.xlsx&amp;sheet=U0&amp;row=3767&amp;col=6&amp;number=3.3&amp;sourceID=14","3.3")</f>
        <v>3.3</v>
      </c>
      <c r="G3767" s="4" t="str">
        <f>HYPERLINK("http://141.218.60.56/~jnz1568/getInfo.php?workbook=16_08.xlsx&amp;sheet=U0&amp;row=3767&amp;col=7&amp;number=0.000474&amp;sourceID=14","0.000474")</f>
        <v>0.000474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HYPERLINK("http://141.218.60.56/~jnz1568/getInfo.php?workbook=16_08.xlsx&amp;sheet=U0&amp;row=3768&amp;col=6&amp;number=3.4&amp;sourceID=14","3.4")</f>
        <v>3.4</v>
      </c>
      <c r="G3768" s="4" t="str">
        <f>HYPERLINK("http://141.218.60.56/~jnz1568/getInfo.php?workbook=16_08.xlsx&amp;sheet=U0&amp;row=3768&amp;col=7&amp;number=0.000474&amp;sourceID=14","0.000474")</f>
        <v>0.000474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HYPERLINK("http://141.218.60.56/~jnz1568/getInfo.php?workbook=16_08.xlsx&amp;sheet=U0&amp;row=3769&amp;col=6&amp;number=3.5&amp;sourceID=14","3.5")</f>
        <v>3.5</v>
      </c>
      <c r="G3769" s="4" t="str">
        <f>HYPERLINK("http://141.218.60.56/~jnz1568/getInfo.php?workbook=16_08.xlsx&amp;sheet=U0&amp;row=3769&amp;col=7&amp;number=0.000474&amp;sourceID=14","0.000474")</f>
        <v>0.000474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HYPERLINK("http://141.218.60.56/~jnz1568/getInfo.php?workbook=16_08.xlsx&amp;sheet=U0&amp;row=3770&amp;col=6&amp;number=3.6&amp;sourceID=14","3.6")</f>
        <v>3.6</v>
      </c>
      <c r="G3770" s="4" t="str">
        <f>HYPERLINK("http://141.218.60.56/~jnz1568/getInfo.php?workbook=16_08.xlsx&amp;sheet=U0&amp;row=3770&amp;col=7&amp;number=0.000474&amp;sourceID=14","0.000474")</f>
        <v>0.000474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HYPERLINK("http://141.218.60.56/~jnz1568/getInfo.php?workbook=16_08.xlsx&amp;sheet=U0&amp;row=3771&amp;col=6&amp;number=3.7&amp;sourceID=14","3.7")</f>
        <v>3.7</v>
      </c>
      <c r="G3771" s="4" t="str">
        <f>HYPERLINK("http://141.218.60.56/~jnz1568/getInfo.php?workbook=16_08.xlsx&amp;sheet=U0&amp;row=3771&amp;col=7&amp;number=0.000474&amp;sourceID=14","0.000474")</f>
        <v>0.000474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HYPERLINK("http://141.218.60.56/~jnz1568/getInfo.php?workbook=16_08.xlsx&amp;sheet=U0&amp;row=3772&amp;col=6&amp;number=3.8&amp;sourceID=14","3.8")</f>
        <v>3.8</v>
      </c>
      <c r="G3772" s="4" t="str">
        <f>HYPERLINK("http://141.218.60.56/~jnz1568/getInfo.php?workbook=16_08.xlsx&amp;sheet=U0&amp;row=3772&amp;col=7&amp;number=0.000474&amp;sourceID=14","0.000474")</f>
        <v>0.000474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HYPERLINK("http://141.218.60.56/~jnz1568/getInfo.php?workbook=16_08.xlsx&amp;sheet=U0&amp;row=3773&amp;col=6&amp;number=3.9&amp;sourceID=14","3.9")</f>
        <v>3.9</v>
      </c>
      <c r="G3773" s="4" t="str">
        <f>HYPERLINK("http://141.218.60.56/~jnz1568/getInfo.php?workbook=16_08.xlsx&amp;sheet=U0&amp;row=3773&amp;col=7&amp;number=0.000474&amp;sourceID=14","0.000474")</f>
        <v>0.000474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HYPERLINK("http://141.218.60.56/~jnz1568/getInfo.php?workbook=16_08.xlsx&amp;sheet=U0&amp;row=3774&amp;col=6&amp;number=4&amp;sourceID=14","4")</f>
        <v>4</v>
      </c>
      <c r="G3774" s="4" t="str">
        <f>HYPERLINK("http://141.218.60.56/~jnz1568/getInfo.php?workbook=16_08.xlsx&amp;sheet=U0&amp;row=3774&amp;col=7&amp;number=0.000473&amp;sourceID=14","0.000473")</f>
        <v>0.000473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HYPERLINK("http://141.218.60.56/~jnz1568/getInfo.php?workbook=16_08.xlsx&amp;sheet=U0&amp;row=3775&amp;col=6&amp;number=4.1&amp;sourceID=14","4.1")</f>
        <v>4.1</v>
      </c>
      <c r="G3775" s="4" t="str">
        <f>HYPERLINK("http://141.218.60.56/~jnz1568/getInfo.php?workbook=16_08.xlsx&amp;sheet=U0&amp;row=3775&amp;col=7&amp;number=0.000473&amp;sourceID=14","0.000473")</f>
        <v>0.000473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HYPERLINK("http://141.218.60.56/~jnz1568/getInfo.php?workbook=16_08.xlsx&amp;sheet=U0&amp;row=3776&amp;col=6&amp;number=4.2&amp;sourceID=14","4.2")</f>
        <v>4.2</v>
      </c>
      <c r="G3776" s="4" t="str">
        <f>HYPERLINK("http://141.218.60.56/~jnz1568/getInfo.php?workbook=16_08.xlsx&amp;sheet=U0&amp;row=3776&amp;col=7&amp;number=0.000473&amp;sourceID=14","0.000473")</f>
        <v>0.000473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HYPERLINK("http://141.218.60.56/~jnz1568/getInfo.php?workbook=16_08.xlsx&amp;sheet=U0&amp;row=3777&amp;col=6&amp;number=4.3&amp;sourceID=14","4.3")</f>
        <v>4.3</v>
      </c>
      <c r="G3777" s="4" t="str">
        <f>HYPERLINK("http://141.218.60.56/~jnz1568/getInfo.php?workbook=16_08.xlsx&amp;sheet=U0&amp;row=3777&amp;col=7&amp;number=0.000472&amp;sourceID=14","0.000472")</f>
        <v>0.000472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HYPERLINK("http://141.218.60.56/~jnz1568/getInfo.php?workbook=16_08.xlsx&amp;sheet=U0&amp;row=3778&amp;col=6&amp;number=4.4&amp;sourceID=14","4.4")</f>
        <v>4.4</v>
      </c>
      <c r="G3778" s="4" t="str">
        <f>HYPERLINK("http://141.218.60.56/~jnz1568/getInfo.php?workbook=16_08.xlsx&amp;sheet=U0&amp;row=3778&amp;col=7&amp;number=0.000472&amp;sourceID=14","0.000472")</f>
        <v>0.000472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HYPERLINK("http://141.218.60.56/~jnz1568/getInfo.php?workbook=16_08.xlsx&amp;sheet=U0&amp;row=3779&amp;col=6&amp;number=4.5&amp;sourceID=14","4.5")</f>
        <v>4.5</v>
      </c>
      <c r="G3779" s="4" t="str">
        <f>HYPERLINK("http://141.218.60.56/~jnz1568/getInfo.php?workbook=16_08.xlsx&amp;sheet=U0&amp;row=3779&amp;col=7&amp;number=0.000471&amp;sourceID=14","0.000471")</f>
        <v>0.000471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HYPERLINK("http://141.218.60.56/~jnz1568/getInfo.php?workbook=16_08.xlsx&amp;sheet=U0&amp;row=3780&amp;col=6&amp;number=4.6&amp;sourceID=14","4.6")</f>
        <v>4.6</v>
      </c>
      <c r="G3780" s="4" t="str">
        <f>HYPERLINK("http://141.218.60.56/~jnz1568/getInfo.php?workbook=16_08.xlsx&amp;sheet=U0&amp;row=3780&amp;col=7&amp;number=0.000471&amp;sourceID=14","0.000471")</f>
        <v>0.000471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HYPERLINK("http://141.218.60.56/~jnz1568/getInfo.php?workbook=16_08.xlsx&amp;sheet=U0&amp;row=3781&amp;col=6&amp;number=4.7&amp;sourceID=14","4.7")</f>
        <v>4.7</v>
      </c>
      <c r="G3781" s="4" t="str">
        <f>HYPERLINK("http://141.218.60.56/~jnz1568/getInfo.php?workbook=16_08.xlsx&amp;sheet=U0&amp;row=3781&amp;col=7&amp;number=0.00047&amp;sourceID=14","0.00047")</f>
        <v>0.00047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HYPERLINK("http://141.218.60.56/~jnz1568/getInfo.php?workbook=16_08.xlsx&amp;sheet=U0&amp;row=3782&amp;col=6&amp;number=4.8&amp;sourceID=14","4.8")</f>
        <v>4.8</v>
      </c>
      <c r="G3782" s="4" t="str">
        <f>HYPERLINK("http://141.218.60.56/~jnz1568/getInfo.php?workbook=16_08.xlsx&amp;sheet=U0&amp;row=3782&amp;col=7&amp;number=0.000468&amp;sourceID=14","0.000468")</f>
        <v>0.000468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HYPERLINK("http://141.218.60.56/~jnz1568/getInfo.php?workbook=16_08.xlsx&amp;sheet=U0&amp;row=3783&amp;col=6&amp;number=4.9&amp;sourceID=14","4.9")</f>
        <v>4.9</v>
      </c>
      <c r="G3783" s="4" t="str">
        <f>HYPERLINK("http://141.218.60.56/~jnz1568/getInfo.php?workbook=16_08.xlsx&amp;sheet=U0&amp;row=3783&amp;col=7&amp;number=0.000467&amp;sourceID=14","0.000467")</f>
        <v>0.000467</v>
      </c>
    </row>
    <row r="3784" spans="1:7">
      <c r="A3784" s="3">
        <v>16</v>
      </c>
      <c r="B3784" s="3">
        <v>8</v>
      </c>
      <c r="C3784" s="3">
        <v>3</v>
      </c>
      <c r="D3784" s="3">
        <v>24</v>
      </c>
      <c r="E3784" s="3">
        <v>1</v>
      </c>
      <c r="F3784" s="4" t="str">
        <f>HYPERLINK("http://141.218.60.56/~jnz1568/getInfo.php?workbook=16_08.xlsx&amp;sheet=U0&amp;row=3784&amp;col=6&amp;number=3&amp;sourceID=14","3")</f>
        <v>3</v>
      </c>
      <c r="G3784" s="4" t="str">
        <f>HYPERLINK("http://141.218.60.56/~jnz1568/getInfo.php?workbook=16_08.xlsx&amp;sheet=U0&amp;row=3784&amp;col=7&amp;number=0.00148&amp;sourceID=14","0.00148")</f>
        <v>0.00148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HYPERLINK("http://141.218.60.56/~jnz1568/getInfo.php?workbook=16_08.xlsx&amp;sheet=U0&amp;row=3785&amp;col=6&amp;number=3.1&amp;sourceID=14","3.1")</f>
        <v>3.1</v>
      </c>
      <c r="G3785" s="4" t="str">
        <f>HYPERLINK("http://141.218.60.56/~jnz1568/getInfo.php?workbook=16_08.xlsx&amp;sheet=U0&amp;row=3785&amp;col=7&amp;number=0.00148&amp;sourceID=14","0.00148")</f>
        <v>0.00148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HYPERLINK("http://141.218.60.56/~jnz1568/getInfo.php?workbook=16_08.xlsx&amp;sheet=U0&amp;row=3786&amp;col=6&amp;number=3.2&amp;sourceID=14","3.2")</f>
        <v>3.2</v>
      </c>
      <c r="G3786" s="4" t="str">
        <f>HYPERLINK("http://141.218.60.56/~jnz1568/getInfo.php?workbook=16_08.xlsx&amp;sheet=U0&amp;row=3786&amp;col=7&amp;number=0.00148&amp;sourceID=14","0.00148")</f>
        <v>0.00148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HYPERLINK("http://141.218.60.56/~jnz1568/getInfo.php?workbook=16_08.xlsx&amp;sheet=U0&amp;row=3787&amp;col=6&amp;number=3.3&amp;sourceID=14","3.3")</f>
        <v>3.3</v>
      </c>
      <c r="G3787" s="4" t="str">
        <f>HYPERLINK("http://141.218.60.56/~jnz1568/getInfo.php?workbook=16_08.xlsx&amp;sheet=U0&amp;row=3787&amp;col=7&amp;number=0.00148&amp;sourceID=14","0.00148")</f>
        <v>0.00148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HYPERLINK("http://141.218.60.56/~jnz1568/getInfo.php?workbook=16_08.xlsx&amp;sheet=U0&amp;row=3788&amp;col=6&amp;number=3.4&amp;sourceID=14","3.4")</f>
        <v>3.4</v>
      </c>
      <c r="G3788" s="4" t="str">
        <f>HYPERLINK("http://141.218.60.56/~jnz1568/getInfo.php?workbook=16_08.xlsx&amp;sheet=U0&amp;row=3788&amp;col=7&amp;number=0.00148&amp;sourceID=14","0.00148")</f>
        <v>0.00148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HYPERLINK("http://141.218.60.56/~jnz1568/getInfo.php?workbook=16_08.xlsx&amp;sheet=U0&amp;row=3789&amp;col=6&amp;number=3.5&amp;sourceID=14","3.5")</f>
        <v>3.5</v>
      </c>
      <c r="G3789" s="4" t="str">
        <f>HYPERLINK("http://141.218.60.56/~jnz1568/getInfo.php?workbook=16_08.xlsx&amp;sheet=U0&amp;row=3789&amp;col=7&amp;number=0.00148&amp;sourceID=14","0.00148")</f>
        <v>0.00148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HYPERLINK("http://141.218.60.56/~jnz1568/getInfo.php?workbook=16_08.xlsx&amp;sheet=U0&amp;row=3790&amp;col=6&amp;number=3.6&amp;sourceID=14","3.6")</f>
        <v>3.6</v>
      </c>
      <c r="G3790" s="4" t="str">
        <f>HYPERLINK("http://141.218.60.56/~jnz1568/getInfo.php?workbook=16_08.xlsx&amp;sheet=U0&amp;row=3790&amp;col=7&amp;number=0.00148&amp;sourceID=14","0.00148")</f>
        <v>0.00148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HYPERLINK("http://141.218.60.56/~jnz1568/getInfo.php?workbook=16_08.xlsx&amp;sheet=U0&amp;row=3791&amp;col=6&amp;number=3.7&amp;sourceID=14","3.7")</f>
        <v>3.7</v>
      </c>
      <c r="G3791" s="4" t="str">
        <f>HYPERLINK("http://141.218.60.56/~jnz1568/getInfo.php?workbook=16_08.xlsx&amp;sheet=U0&amp;row=3791&amp;col=7&amp;number=0.00148&amp;sourceID=14","0.00148")</f>
        <v>0.00148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HYPERLINK("http://141.218.60.56/~jnz1568/getInfo.php?workbook=16_08.xlsx&amp;sheet=U0&amp;row=3792&amp;col=6&amp;number=3.8&amp;sourceID=14","3.8")</f>
        <v>3.8</v>
      </c>
      <c r="G3792" s="4" t="str">
        <f>HYPERLINK("http://141.218.60.56/~jnz1568/getInfo.php?workbook=16_08.xlsx&amp;sheet=U0&amp;row=3792&amp;col=7&amp;number=0.00149&amp;sourceID=14","0.00149")</f>
        <v>0.00149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HYPERLINK("http://141.218.60.56/~jnz1568/getInfo.php?workbook=16_08.xlsx&amp;sheet=U0&amp;row=3793&amp;col=6&amp;number=3.9&amp;sourceID=14","3.9")</f>
        <v>3.9</v>
      </c>
      <c r="G3793" s="4" t="str">
        <f>HYPERLINK("http://141.218.60.56/~jnz1568/getInfo.php?workbook=16_08.xlsx&amp;sheet=U0&amp;row=3793&amp;col=7&amp;number=0.00149&amp;sourceID=14","0.00149")</f>
        <v>0.00149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HYPERLINK("http://141.218.60.56/~jnz1568/getInfo.php?workbook=16_08.xlsx&amp;sheet=U0&amp;row=3794&amp;col=6&amp;number=4&amp;sourceID=14","4")</f>
        <v>4</v>
      </c>
      <c r="G3794" s="4" t="str">
        <f>HYPERLINK("http://141.218.60.56/~jnz1568/getInfo.php?workbook=16_08.xlsx&amp;sheet=U0&amp;row=3794&amp;col=7&amp;number=0.00149&amp;sourceID=14","0.00149")</f>
        <v>0.00149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HYPERLINK("http://141.218.60.56/~jnz1568/getInfo.php?workbook=16_08.xlsx&amp;sheet=U0&amp;row=3795&amp;col=6&amp;number=4.1&amp;sourceID=14","4.1")</f>
        <v>4.1</v>
      </c>
      <c r="G3795" s="4" t="str">
        <f>HYPERLINK("http://141.218.60.56/~jnz1568/getInfo.php?workbook=16_08.xlsx&amp;sheet=U0&amp;row=3795&amp;col=7&amp;number=0.0015&amp;sourceID=14","0.0015")</f>
        <v>0.0015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HYPERLINK("http://141.218.60.56/~jnz1568/getInfo.php?workbook=16_08.xlsx&amp;sheet=U0&amp;row=3796&amp;col=6&amp;number=4.2&amp;sourceID=14","4.2")</f>
        <v>4.2</v>
      </c>
      <c r="G3796" s="4" t="str">
        <f>HYPERLINK("http://141.218.60.56/~jnz1568/getInfo.php?workbook=16_08.xlsx&amp;sheet=U0&amp;row=3796&amp;col=7&amp;number=0.0015&amp;sourceID=14","0.0015")</f>
        <v>0.0015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HYPERLINK("http://141.218.60.56/~jnz1568/getInfo.php?workbook=16_08.xlsx&amp;sheet=U0&amp;row=3797&amp;col=6&amp;number=4.3&amp;sourceID=14","4.3")</f>
        <v>4.3</v>
      </c>
      <c r="G3797" s="4" t="str">
        <f>HYPERLINK("http://141.218.60.56/~jnz1568/getInfo.php?workbook=16_08.xlsx&amp;sheet=U0&amp;row=3797&amp;col=7&amp;number=0.00151&amp;sourceID=14","0.00151")</f>
        <v>0.00151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HYPERLINK("http://141.218.60.56/~jnz1568/getInfo.php?workbook=16_08.xlsx&amp;sheet=U0&amp;row=3798&amp;col=6&amp;number=4.4&amp;sourceID=14","4.4")</f>
        <v>4.4</v>
      </c>
      <c r="G3798" s="4" t="str">
        <f>HYPERLINK("http://141.218.60.56/~jnz1568/getInfo.php?workbook=16_08.xlsx&amp;sheet=U0&amp;row=3798&amp;col=7&amp;number=0.00152&amp;sourceID=14","0.00152")</f>
        <v>0.00152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HYPERLINK("http://141.218.60.56/~jnz1568/getInfo.php?workbook=16_08.xlsx&amp;sheet=U0&amp;row=3799&amp;col=6&amp;number=4.5&amp;sourceID=14","4.5")</f>
        <v>4.5</v>
      </c>
      <c r="G3799" s="4" t="str">
        <f>HYPERLINK("http://141.218.60.56/~jnz1568/getInfo.php?workbook=16_08.xlsx&amp;sheet=U0&amp;row=3799&amp;col=7&amp;number=0.00153&amp;sourceID=14","0.00153")</f>
        <v>0.00153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HYPERLINK("http://141.218.60.56/~jnz1568/getInfo.php?workbook=16_08.xlsx&amp;sheet=U0&amp;row=3800&amp;col=6&amp;number=4.6&amp;sourceID=14","4.6")</f>
        <v>4.6</v>
      </c>
      <c r="G3800" s="4" t="str">
        <f>HYPERLINK("http://141.218.60.56/~jnz1568/getInfo.php?workbook=16_08.xlsx&amp;sheet=U0&amp;row=3800&amp;col=7&amp;number=0.00154&amp;sourceID=14","0.00154")</f>
        <v>0.00154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HYPERLINK("http://141.218.60.56/~jnz1568/getInfo.php?workbook=16_08.xlsx&amp;sheet=U0&amp;row=3801&amp;col=6&amp;number=4.7&amp;sourceID=14","4.7")</f>
        <v>4.7</v>
      </c>
      <c r="G3801" s="4" t="str">
        <f>HYPERLINK("http://141.218.60.56/~jnz1568/getInfo.php?workbook=16_08.xlsx&amp;sheet=U0&amp;row=3801&amp;col=7&amp;number=0.00156&amp;sourceID=14","0.00156")</f>
        <v>0.00156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HYPERLINK("http://141.218.60.56/~jnz1568/getInfo.php?workbook=16_08.xlsx&amp;sheet=U0&amp;row=3802&amp;col=6&amp;number=4.8&amp;sourceID=14","4.8")</f>
        <v>4.8</v>
      </c>
      <c r="G3802" s="4" t="str">
        <f>HYPERLINK("http://141.218.60.56/~jnz1568/getInfo.php?workbook=16_08.xlsx&amp;sheet=U0&amp;row=3802&amp;col=7&amp;number=0.00158&amp;sourceID=14","0.00158")</f>
        <v>0.00158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HYPERLINK("http://141.218.60.56/~jnz1568/getInfo.php?workbook=16_08.xlsx&amp;sheet=U0&amp;row=3803&amp;col=6&amp;number=4.9&amp;sourceID=14","4.9")</f>
        <v>4.9</v>
      </c>
      <c r="G3803" s="4" t="str">
        <f>HYPERLINK("http://141.218.60.56/~jnz1568/getInfo.php?workbook=16_08.xlsx&amp;sheet=U0&amp;row=3803&amp;col=7&amp;number=0.00161&amp;sourceID=14","0.00161")</f>
        <v>0.00161</v>
      </c>
    </row>
    <row r="3804" spans="1:7">
      <c r="A3804" s="3">
        <v>16</v>
      </c>
      <c r="B3804" s="3">
        <v>8</v>
      </c>
      <c r="C3804" s="3">
        <v>3</v>
      </c>
      <c r="D3804" s="3">
        <v>25</v>
      </c>
      <c r="E3804" s="3">
        <v>1</v>
      </c>
      <c r="F3804" s="4" t="str">
        <f>HYPERLINK("http://141.218.60.56/~jnz1568/getInfo.php?workbook=16_08.xlsx&amp;sheet=U0&amp;row=3804&amp;col=6&amp;number=3&amp;sourceID=14","3")</f>
        <v>3</v>
      </c>
      <c r="G3804" s="4" t="str">
        <f>HYPERLINK("http://141.218.60.56/~jnz1568/getInfo.php?workbook=16_08.xlsx&amp;sheet=U0&amp;row=3804&amp;col=7&amp;number=0.000632&amp;sourceID=14","0.000632")</f>
        <v>0.000632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HYPERLINK("http://141.218.60.56/~jnz1568/getInfo.php?workbook=16_08.xlsx&amp;sheet=U0&amp;row=3805&amp;col=6&amp;number=3.1&amp;sourceID=14","3.1")</f>
        <v>3.1</v>
      </c>
      <c r="G3805" s="4" t="str">
        <f>HYPERLINK("http://141.218.60.56/~jnz1568/getInfo.php?workbook=16_08.xlsx&amp;sheet=U0&amp;row=3805&amp;col=7&amp;number=0.000632&amp;sourceID=14","0.000632")</f>
        <v>0.000632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HYPERLINK("http://141.218.60.56/~jnz1568/getInfo.php?workbook=16_08.xlsx&amp;sheet=U0&amp;row=3806&amp;col=6&amp;number=3.2&amp;sourceID=14","3.2")</f>
        <v>3.2</v>
      </c>
      <c r="G3806" s="4" t="str">
        <f>HYPERLINK("http://141.218.60.56/~jnz1568/getInfo.php?workbook=16_08.xlsx&amp;sheet=U0&amp;row=3806&amp;col=7&amp;number=0.000632&amp;sourceID=14","0.000632")</f>
        <v>0.000632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HYPERLINK("http://141.218.60.56/~jnz1568/getInfo.php?workbook=16_08.xlsx&amp;sheet=U0&amp;row=3807&amp;col=6&amp;number=3.3&amp;sourceID=14","3.3")</f>
        <v>3.3</v>
      </c>
      <c r="G3807" s="4" t="str">
        <f>HYPERLINK("http://141.218.60.56/~jnz1568/getInfo.php?workbook=16_08.xlsx&amp;sheet=U0&amp;row=3807&amp;col=7&amp;number=0.000632&amp;sourceID=14","0.000632")</f>
        <v>0.000632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HYPERLINK("http://141.218.60.56/~jnz1568/getInfo.php?workbook=16_08.xlsx&amp;sheet=U0&amp;row=3808&amp;col=6&amp;number=3.4&amp;sourceID=14","3.4")</f>
        <v>3.4</v>
      </c>
      <c r="G3808" s="4" t="str">
        <f>HYPERLINK("http://141.218.60.56/~jnz1568/getInfo.php?workbook=16_08.xlsx&amp;sheet=U0&amp;row=3808&amp;col=7&amp;number=0.000632&amp;sourceID=14","0.000632")</f>
        <v>0.000632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HYPERLINK("http://141.218.60.56/~jnz1568/getInfo.php?workbook=16_08.xlsx&amp;sheet=U0&amp;row=3809&amp;col=6&amp;number=3.5&amp;sourceID=14","3.5")</f>
        <v>3.5</v>
      </c>
      <c r="G3809" s="4" t="str">
        <f>HYPERLINK("http://141.218.60.56/~jnz1568/getInfo.php?workbook=16_08.xlsx&amp;sheet=U0&amp;row=3809&amp;col=7&amp;number=0.000632&amp;sourceID=14","0.000632")</f>
        <v>0.000632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HYPERLINK("http://141.218.60.56/~jnz1568/getInfo.php?workbook=16_08.xlsx&amp;sheet=U0&amp;row=3810&amp;col=6&amp;number=3.6&amp;sourceID=14","3.6")</f>
        <v>3.6</v>
      </c>
      <c r="G3810" s="4" t="str">
        <f>HYPERLINK("http://141.218.60.56/~jnz1568/getInfo.php?workbook=16_08.xlsx&amp;sheet=U0&amp;row=3810&amp;col=7&amp;number=0.000632&amp;sourceID=14","0.000632")</f>
        <v>0.000632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HYPERLINK("http://141.218.60.56/~jnz1568/getInfo.php?workbook=16_08.xlsx&amp;sheet=U0&amp;row=3811&amp;col=6&amp;number=3.7&amp;sourceID=14","3.7")</f>
        <v>3.7</v>
      </c>
      <c r="G3811" s="4" t="str">
        <f>HYPERLINK("http://141.218.60.56/~jnz1568/getInfo.php?workbook=16_08.xlsx&amp;sheet=U0&amp;row=3811&amp;col=7&amp;number=0.000632&amp;sourceID=14","0.000632")</f>
        <v>0.000632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HYPERLINK("http://141.218.60.56/~jnz1568/getInfo.php?workbook=16_08.xlsx&amp;sheet=U0&amp;row=3812&amp;col=6&amp;number=3.8&amp;sourceID=14","3.8")</f>
        <v>3.8</v>
      </c>
      <c r="G3812" s="4" t="str">
        <f>HYPERLINK("http://141.218.60.56/~jnz1568/getInfo.php?workbook=16_08.xlsx&amp;sheet=U0&amp;row=3812&amp;col=7&amp;number=0.000631&amp;sourceID=14","0.000631")</f>
        <v>0.000631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HYPERLINK("http://141.218.60.56/~jnz1568/getInfo.php?workbook=16_08.xlsx&amp;sheet=U0&amp;row=3813&amp;col=6&amp;number=3.9&amp;sourceID=14","3.9")</f>
        <v>3.9</v>
      </c>
      <c r="G3813" s="4" t="str">
        <f>HYPERLINK("http://141.218.60.56/~jnz1568/getInfo.php?workbook=16_08.xlsx&amp;sheet=U0&amp;row=3813&amp;col=7&amp;number=0.000631&amp;sourceID=14","0.000631")</f>
        <v>0.000631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HYPERLINK("http://141.218.60.56/~jnz1568/getInfo.php?workbook=16_08.xlsx&amp;sheet=U0&amp;row=3814&amp;col=6&amp;number=4&amp;sourceID=14","4")</f>
        <v>4</v>
      </c>
      <c r="G3814" s="4" t="str">
        <f>HYPERLINK("http://141.218.60.56/~jnz1568/getInfo.php?workbook=16_08.xlsx&amp;sheet=U0&amp;row=3814&amp;col=7&amp;number=0.000631&amp;sourceID=14","0.000631")</f>
        <v>0.000631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HYPERLINK("http://141.218.60.56/~jnz1568/getInfo.php?workbook=16_08.xlsx&amp;sheet=U0&amp;row=3815&amp;col=6&amp;number=4.1&amp;sourceID=14","4.1")</f>
        <v>4.1</v>
      </c>
      <c r="G3815" s="4" t="str">
        <f>HYPERLINK("http://141.218.60.56/~jnz1568/getInfo.php?workbook=16_08.xlsx&amp;sheet=U0&amp;row=3815&amp;col=7&amp;number=0.000631&amp;sourceID=14","0.000631")</f>
        <v>0.000631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HYPERLINK("http://141.218.60.56/~jnz1568/getInfo.php?workbook=16_08.xlsx&amp;sheet=U0&amp;row=3816&amp;col=6&amp;number=4.2&amp;sourceID=14","4.2")</f>
        <v>4.2</v>
      </c>
      <c r="G3816" s="4" t="str">
        <f>HYPERLINK("http://141.218.60.56/~jnz1568/getInfo.php?workbook=16_08.xlsx&amp;sheet=U0&amp;row=3816&amp;col=7&amp;number=0.00063&amp;sourceID=14","0.00063")</f>
        <v>0.00063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HYPERLINK("http://141.218.60.56/~jnz1568/getInfo.php?workbook=16_08.xlsx&amp;sheet=U0&amp;row=3817&amp;col=6&amp;number=4.3&amp;sourceID=14","4.3")</f>
        <v>4.3</v>
      </c>
      <c r="G3817" s="4" t="str">
        <f>HYPERLINK("http://141.218.60.56/~jnz1568/getInfo.php?workbook=16_08.xlsx&amp;sheet=U0&amp;row=3817&amp;col=7&amp;number=0.00063&amp;sourceID=14","0.00063")</f>
        <v>0.00063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HYPERLINK("http://141.218.60.56/~jnz1568/getInfo.php?workbook=16_08.xlsx&amp;sheet=U0&amp;row=3818&amp;col=6&amp;number=4.4&amp;sourceID=14","4.4")</f>
        <v>4.4</v>
      </c>
      <c r="G3818" s="4" t="str">
        <f>HYPERLINK("http://141.218.60.56/~jnz1568/getInfo.php?workbook=16_08.xlsx&amp;sheet=U0&amp;row=3818&amp;col=7&amp;number=0.000629&amp;sourceID=14","0.000629")</f>
        <v>0.000629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HYPERLINK("http://141.218.60.56/~jnz1568/getInfo.php?workbook=16_08.xlsx&amp;sheet=U0&amp;row=3819&amp;col=6&amp;number=4.5&amp;sourceID=14","4.5")</f>
        <v>4.5</v>
      </c>
      <c r="G3819" s="4" t="str">
        <f>HYPERLINK("http://141.218.60.56/~jnz1568/getInfo.php?workbook=16_08.xlsx&amp;sheet=U0&amp;row=3819&amp;col=7&amp;number=0.000628&amp;sourceID=14","0.000628")</f>
        <v>0.000628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HYPERLINK("http://141.218.60.56/~jnz1568/getInfo.php?workbook=16_08.xlsx&amp;sheet=U0&amp;row=3820&amp;col=6&amp;number=4.6&amp;sourceID=14","4.6")</f>
        <v>4.6</v>
      </c>
      <c r="G3820" s="4" t="str">
        <f>HYPERLINK("http://141.218.60.56/~jnz1568/getInfo.php?workbook=16_08.xlsx&amp;sheet=U0&amp;row=3820&amp;col=7&amp;number=0.000627&amp;sourceID=14","0.000627")</f>
        <v>0.000627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HYPERLINK("http://141.218.60.56/~jnz1568/getInfo.php?workbook=16_08.xlsx&amp;sheet=U0&amp;row=3821&amp;col=6&amp;number=4.7&amp;sourceID=14","4.7")</f>
        <v>4.7</v>
      </c>
      <c r="G3821" s="4" t="str">
        <f>HYPERLINK("http://141.218.60.56/~jnz1568/getInfo.php?workbook=16_08.xlsx&amp;sheet=U0&amp;row=3821&amp;col=7&amp;number=0.000626&amp;sourceID=14","0.000626")</f>
        <v>0.000626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HYPERLINK("http://141.218.60.56/~jnz1568/getInfo.php?workbook=16_08.xlsx&amp;sheet=U0&amp;row=3822&amp;col=6&amp;number=4.8&amp;sourceID=14","4.8")</f>
        <v>4.8</v>
      </c>
      <c r="G3822" s="4" t="str">
        <f>HYPERLINK("http://141.218.60.56/~jnz1568/getInfo.php?workbook=16_08.xlsx&amp;sheet=U0&amp;row=3822&amp;col=7&amp;number=0.000624&amp;sourceID=14","0.000624")</f>
        <v>0.000624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HYPERLINK("http://141.218.60.56/~jnz1568/getInfo.php?workbook=16_08.xlsx&amp;sheet=U0&amp;row=3823&amp;col=6&amp;number=4.9&amp;sourceID=14","4.9")</f>
        <v>4.9</v>
      </c>
      <c r="G3823" s="4" t="str">
        <f>HYPERLINK("http://141.218.60.56/~jnz1568/getInfo.php?workbook=16_08.xlsx&amp;sheet=U0&amp;row=3823&amp;col=7&amp;number=0.000622&amp;sourceID=14","0.000622")</f>
        <v>0.000622</v>
      </c>
    </row>
    <row r="3824" spans="1:7">
      <c r="A3824" s="3">
        <v>16</v>
      </c>
      <c r="B3824" s="3">
        <v>8</v>
      </c>
      <c r="C3824" s="3">
        <v>3</v>
      </c>
      <c r="D3824" s="3">
        <v>26</v>
      </c>
      <c r="E3824" s="3">
        <v>1</v>
      </c>
      <c r="F3824" s="4" t="str">
        <f>HYPERLINK("http://141.218.60.56/~jnz1568/getInfo.php?workbook=16_08.xlsx&amp;sheet=U0&amp;row=3824&amp;col=6&amp;number=3&amp;sourceID=14","3")</f>
        <v>3</v>
      </c>
      <c r="G3824" s="4" t="str">
        <f>HYPERLINK("http://141.218.60.56/~jnz1568/getInfo.php?workbook=16_08.xlsx&amp;sheet=U0&amp;row=3824&amp;col=7&amp;number=0.000663&amp;sourceID=14","0.000663")</f>
        <v>0.000663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HYPERLINK("http://141.218.60.56/~jnz1568/getInfo.php?workbook=16_08.xlsx&amp;sheet=U0&amp;row=3825&amp;col=6&amp;number=3.1&amp;sourceID=14","3.1")</f>
        <v>3.1</v>
      </c>
      <c r="G3825" s="4" t="str">
        <f>HYPERLINK("http://141.218.60.56/~jnz1568/getInfo.php?workbook=16_08.xlsx&amp;sheet=U0&amp;row=3825&amp;col=7&amp;number=0.000663&amp;sourceID=14","0.000663")</f>
        <v>0.000663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HYPERLINK("http://141.218.60.56/~jnz1568/getInfo.php?workbook=16_08.xlsx&amp;sheet=U0&amp;row=3826&amp;col=6&amp;number=3.2&amp;sourceID=14","3.2")</f>
        <v>3.2</v>
      </c>
      <c r="G3826" s="4" t="str">
        <f>HYPERLINK("http://141.218.60.56/~jnz1568/getInfo.php?workbook=16_08.xlsx&amp;sheet=U0&amp;row=3826&amp;col=7&amp;number=0.000663&amp;sourceID=14","0.000663")</f>
        <v>0.000663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HYPERLINK("http://141.218.60.56/~jnz1568/getInfo.php?workbook=16_08.xlsx&amp;sheet=U0&amp;row=3827&amp;col=6&amp;number=3.3&amp;sourceID=14","3.3")</f>
        <v>3.3</v>
      </c>
      <c r="G3827" s="4" t="str">
        <f>HYPERLINK("http://141.218.60.56/~jnz1568/getInfo.php?workbook=16_08.xlsx&amp;sheet=U0&amp;row=3827&amp;col=7&amp;number=0.000663&amp;sourceID=14","0.000663")</f>
        <v>0.000663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HYPERLINK("http://141.218.60.56/~jnz1568/getInfo.php?workbook=16_08.xlsx&amp;sheet=U0&amp;row=3828&amp;col=6&amp;number=3.4&amp;sourceID=14","3.4")</f>
        <v>3.4</v>
      </c>
      <c r="G3828" s="4" t="str">
        <f>HYPERLINK("http://141.218.60.56/~jnz1568/getInfo.php?workbook=16_08.xlsx&amp;sheet=U0&amp;row=3828&amp;col=7&amp;number=0.000662&amp;sourceID=14","0.000662")</f>
        <v>0.000662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HYPERLINK("http://141.218.60.56/~jnz1568/getInfo.php?workbook=16_08.xlsx&amp;sheet=U0&amp;row=3829&amp;col=6&amp;number=3.5&amp;sourceID=14","3.5")</f>
        <v>3.5</v>
      </c>
      <c r="G3829" s="4" t="str">
        <f>HYPERLINK("http://141.218.60.56/~jnz1568/getInfo.php?workbook=16_08.xlsx&amp;sheet=U0&amp;row=3829&amp;col=7&amp;number=0.000662&amp;sourceID=14","0.000662")</f>
        <v>0.000662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HYPERLINK("http://141.218.60.56/~jnz1568/getInfo.php?workbook=16_08.xlsx&amp;sheet=U0&amp;row=3830&amp;col=6&amp;number=3.6&amp;sourceID=14","3.6")</f>
        <v>3.6</v>
      </c>
      <c r="G3830" s="4" t="str">
        <f>HYPERLINK("http://141.218.60.56/~jnz1568/getInfo.php?workbook=16_08.xlsx&amp;sheet=U0&amp;row=3830&amp;col=7&amp;number=0.000662&amp;sourceID=14","0.000662")</f>
        <v>0.000662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HYPERLINK("http://141.218.60.56/~jnz1568/getInfo.php?workbook=16_08.xlsx&amp;sheet=U0&amp;row=3831&amp;col=6&amp;number=3.7&amp;sourceID=14","3.7")</f>
        <v>3.7</v>
      </c>
      <c r="G3831" s="4" t="str">
        <f>HYPERLINK("http://141.218.60.56/~jnz1568/getInfo.php?workbook=16_08.xlsx&amp;sheet=U0&amp;row=3831&amp;col=7&amp;number=0.000662&amp;sourceID=14","0.000662")</f>
        <v>0.000662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HYPERLINK("http://141.218.60.56/~jnz1568/getInfo.php?workbook=16_08.xlsx&amp;sheet=U0&amp;row=3832&amp;col=6&amp;number=3.8&amp;sourceID=14","3.8")</f>
        <v>3.8</v>
      </c>
      <c r="G3832" s="4" t="str">
        <f>HYPERLINK("http://141.218.60.56/~jnz1568/getInfo.php?workbook=16_08.xlsx&amp;sheet=U0&amp;row=3832&amp;col=7&amp;number=0.000662&amp;sourceID=14","0.000662")</f>
        <v>0.000662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HYPERLINK("http://141.218.60.56/~jnz1568/getInfo.php?workbook=16_08.xlsx&amp;sheet=U0&amp;row=3833&amp;col=6&amp;number=3.9&amp;sourceID=14","3.9")</f>
        <v>3.9</v>
      </c>
      <c r="G3833" s="4" t="str">
        <f>HYPERLINK("http://141.218.60.56/~jnz1568/getInfo.php?workbook=16_08.xlsx&amp;sheet=U0&amp;row=3833&amp;col=7&amp;number=0.000662&amp;sourceID=14","0.000662")</f>
        <v>0.000662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HYPERLINK("http://141.218.60.56/~jnz1568/getInfo.php?workbook=16_08.xlsx&amp;sheet=U0&amp;row=3834&amp;col=6&amp;number=4&amp;sourceID=14","4")</f>
        <v>4</v>
      </c>
      <c r="G3834" s="4" t="str">
        <f>HYPERLINK("http://141.218.60.56/~jnz1568/getInfo.php?workbook=16_08.xlsx&amp;sheet=U0&amp;row=3834&amp;col=7&amp;number=0.000662&amp;sourceID=14","0.000662")</f>
        <v>0.000662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HYPERLINK("http://141.218.60.56/~jnz1568/getInfo.php?workbook=16_08.xlsx&amp;sheet=U0&amp;row=3835&amp;col=6&amp;number=4.1&amp;sourceID=14","4.1")</f>
        <v>4.1</v>
      </c>
      <c r="G3835" s="4" t="str">
        <f>HYPERLINK("http://141.218.60.56/~jnz1568/getInfo.php?workbook=16_08.xlsx&amp;sheet=U0&amp;row=3835&amp;col=7&amp;number=0.000661&amp;sourceID=14","0.000661")</f>
        <v>0.000661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HYPERLINK("http://141.218.60.56/~jnz1568/getInfo.php?workbook=16_08.xlsx&amp;sheet=U0&amp;row=3836&amp;col=6&amp;number=4.2&amp;sourceID=14","4.2")</f>
        <v>4.2</v>
      </c>
      <c r="G3836" s="4" t="str">
        <f>HYPERLINK("http://141.218.60.56/~jnz1568/getInfo.php?workbook=16_08.xlsx&amp;sheet=U0&amp;row=3836&amp;col=7&amp;number=0.000661&amp;sourceID=14","0.000661")</f>
        <v>0.000661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HYPERLINK("http://141.218.60.56/~jnz1568/getInfo.php?workbook=16_08.xlsx&amp;sheet=U0&amp;row=3837&amp;col=6&amp;number=4.3&amp;sourceID=14","4.3")</f>
        <v>4.3</v>
      </c>
      <c r="G3837" s="4" t="str">
        <f>HYPERLINK("http://141.218.60.56/~jnz1568/getInfo.php?workbook=16_08.xlsx&amp;sheet=U0&amp;row=3837&amp;col=7&amp;number=0.00066&amp;sourceID=14","0.00066")</f>
        <v>0.00066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HYPERLINK("http://141.218.60.56/~jnz1568/getInfo.php?workbook=16_08.xlsx&amp;sheet=U0&amp;row=3838&amp;col=6&amp;number=4.4&amp;sourceID=14","4.4")</f>
        <v>4.4</v>
      </c>
      <c r="G3838" s="4" t="str">
        <f>HYPERLINK("http://141.218.60.56/~jnz1568/getInfo.php?workbook=16_08.xlsx&amp;sheet=U0&amp;row=3838&amp;col=7&amp;number=0.00066&amp;sourceID=14","0.00066")</f>
        <v>0.00066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HYPERLINK("http://141.218.60.56/~jnz1568/getInfo.php?workbook=16_08.xlsx&amp;sheet=U0&amp;row=3839&amp;col=6&amp;number=4.5&amp;sourceID=14","4.5")</f>
        <v>4.5</v>
      </c>
      <c r="G3839" s="4" t="str">
        <f>HYPERLINK("http://141.218.60.56/~jnz1568/getInfo.php?workbook=16_08.xlsx&amp;sheet=U0&amp;row=3839&amp;col=7&amp;number=0.000659&amp;sourceID=14","0.000659")</f>
        <v>0.000659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HYPERLINK("http://141.218.60.56/~jnz1568/getInfo.php?workbook=16_08.xlsx&amp;sheet=U0&amp;row=3840&amp;col=6&amp;number=4.6&amp;sourceID=14","4.6")</f>
        <v>4.6</v>
      </c>
      <c r="G3840" s="4" t="str">
        <f>HYPERLINK("http://141.218.60.56/~jnz1568/getInfo.php?workbook=16_08.xlsx&amp;sheet=U0&amp;row=3840&amp;col=7&amp;number=0.000658&amp;sourceID=14","0.000658")</f>
        <v>0.000658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HYPERLINK("http://141.218.60.56/~jnz1568/getInfo.php?workbook=16_08.xlsx&amp;sheet=U0&amp;row=3841&amp;col=6&amp;number=4.7&amp;sourceID=14","4.7")</f>
        <v>4.7</v>
      </c>
      <c r="G3841" s="4" t="str">
        <f>HYPERLINK("http://141.218.60.56/~jnz1568/getInfo.php?workbook=16_08.xlsx&amp;sheet=U0&amp;row=3841&amp;col=7&amp;number=0.000656&amp;sourceID=14","0.000656")</f>
        <v>0.000656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HYPERLINK("http://141.218.60.56/~jnz1568/getInfo.php?workbook=16_08.xlsx&amp;sheet=U0&amp;row=3842&amp;col=6&amp;number=4.8&amp;sourceID=14","4.8")</f>
        <v>4.8</v>
      </c>
      <c r="G3842" s="4" t="str">
        <f>HYPERLINK("http://141.218.60.56/~jnz1568/getInfo.php?workbook=16_08.xlsx&amp;sheet=U0&amp;row=3842&amp;col=7&amp;number=0.000655&amp;sourceID=14","0.000655")</f>
        <v>0.000655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HYPERLINK("http://141.218.60.56/~jnz1568/getInfo.php?workbook=16_08.xlsx&amp;sheet=U0&amp;row=3843&amp;col=6&amp;number=4.9&amp;sourceID=14","4.9")</f>
        <v>4.9</v>
      </c>
      <c r="G3843" s="4" t="str">
        <f>HYPERLINK("http://141.218.60.56/~jnz1568/getInfo.php?workbook=16_08.xlsx&amp;sheet=U0&amp;row=3843&amp;col=7&amp;number=0.000653&amp;sourceID=14","0.000653")</f>
        <v>0.000653</v>
      </c>
    </row>
    <row r="3844" spans="1:7">
      <c r="A3844" s="3">
        <v>16</v>
      </c>
      <c r="B3844" s="3">
        <v>8</v>
      </c>
      <c r="C3844" s="3">
        <v>3</v>
      </c>
      <c r="D3844" s="3">
        <v>27</v>
      </c>
      <c r="E3844" s="3">
        <v>1</v>
      </c>
      <c r="F3844" s="4" t="str">
        <f>HYPERLINK("http://141.218.60.56/~jnz1568/getInfo.php?workbook=16_08.xlsx&amp;sheet=U0&amp;row=3844&amp;col=6&amp;number=3&amp;sourceID=14","3")</f>
        <v>3</v>
      </c>
      <c r="G3844" s="4" t="str">
        <f>HYPERLINK("http://141.218.60.56/~jnz1568/getInfo.php?workbook=16_08.xlsx&amp;sheet=U0&amp;row=3844&amp;col=7&amp;number=0.00208&amp;sourceID=14","0.00208")</f>
        <v>0.00208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HYPERLINK("http://141.218.60.56/~jnz1568/getInfo.php?workbook=16_08.xlsx&amp;sheet=U0&amp;row=3845&amp;col=6&amp;number=3.1&amp;sourceID=14","3.1")</f>
        <v>3.1</v>
      </c>
      <c r="G3845" s="4" t="str">
        <f>HYPERLINK("http://141.218.60.56/~jnz1568/getInfo.php?workbook=16_08.xlsx&amp;sheet=U0&amp;row=3845&amp;col=7&amp;number=0.00208&amp;sourceID=14","0.00208")</f>
        <v>0.00208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HYPERLINK("http://141.218.60.56/~jnz1568/getInfo.php?workbook=16_08.xlsx&amp;sheet=U0&amp;row=3846&amp;col=6&amp;number=3.2&amp;sourceID=14","3.2")</f>
        <v>3.2</v>
      </c>
      <c r="G3846" s="4" t="str">
        <f>HYPERLINK("http://141.218.60.56/~jnz1568/getInfo.php?workbook=16_08.xlsx&amp;sheet=U0&amp;row=3846&amp;col=7&amp;number=0.00208&amp;sourceID=14","0.00208")</f>
        <v>0.00208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HYPERLINK("http://141.218.60.56/~jnz1568/getInfo.php?workbook=16_08.xlsx&amp;sheet=U0&amp;row=3847&amp;col=6&amp;number=3.3&amp;sourceID=14","3.3")</f>
        <v>3.3</v>
      </c>
      <c r="G3847" s="4" t="str">
        <f>HYPERLINK("http://141.218.60.56/~jnz1568/getInfo.php?workbook=16_08.xlsx&amp;sheet=U0&amp;row=3847&amp;col=7&amp;number=0.00208&amp;sourceID=14","0.00208")</f>
        <v>0.00208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HYPERLINK("http://141.218.60.56/~jnz1568/getInfo.php?workbook=16_08.xlsx&amp;sheet=U0&amp;row=3848&amp;col=6&amp;number=3.4&amp;sourceID=14","3.4")</f>
        <v>3.4</v>
      </c>
      <c r="G3848" s="4" t="str">
        <f>HYPERLINK("http://141.218.60.56/~jnz1568/getInfo.php?workbook=16_08.xlsx&amp;sheet=U0&amp;row=3848&amp;col=7&amp;number=0.00207&amp;sourceID=14","0.00207")</f>
        <v>0.00207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HYPERLINK("http://141.218.60.56/~jnz1568/getInfo.php?workbook=16_08.xlsx&amp;sheet=U0&amp;row=3849&amp;col=6&amp;number=3.5&amp;sourceID=14","3.5")</f>
        <v>3.5</v>
      </c>
      <c r="G3849" s="4" t="str">
        <f>HYPERLINK("http://141.218.60.56/~jnz1568/getInfo.php?workbook=16_08.xlsx&amp;sheet=U0&amp;row=3849&amp;col=7&amp;number=0.00207&amp;sourceID=14","0.00207")</f>
        <v>0.00207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HYPERLINK("http://141.218.60.56/~jnz1568/getInfo.php?workbook=16_08.xlsx&amp;sheet=U0&amp;row=3850&amp;col=6&amp;number=3.6&amp;sourceID=14","3.6")</f>
        <v>3.6</v>
      </c>
      <c r="G3850" s="4" t="str">
        <f>HYPERLINK("http://141.218.60.56/~jnz1568/getInfo.php?workbook=16_08.xlsx&amp;sheet=U0&amp;row=3850&amp;col=7&amp;number=0.00207&amp;sourceID=14","0.00207")</f>
        <v>0.00207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HYPERLINK("http://141.218.60.56/~jnz1568/getInfo.php?workbook=16_08.xlsx&amp;sheet=U0&amp;row=3851&amp;col=6&amp;number=3.7&amp;sourceID=14","3.7")</f>
        <v>3.7</v>
      </c>
      <c r="G3851" s="4" t="str">
        <f>HYPERLINK("http://141.218.60.56/~jnz1568/getInfo.php?workbook=16_08.xlsx&amp;sheet=U0&amp;row=3851&amp;col=7&amp;number=0.00207&amp;sourceID=14","0.00207")</f>
        <v>0.00207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HYPERLINK("http://141.218.60.56/~jnz1568/getInfo.php?workbook=16_08.xlsx&amp;sheet=U0&amp;row=3852&amp;col=6&amp;number=3.8&amp;sourceID=14","3.8")</f>
        <v>3.8</v>
      </c>
      <c r="G3852" s="4" t="str">
        <f>HYPERLINK("http://141.218.60.56/~jnz1568/getInfo.php?workbook=16_08.xlsx&amp;sheet=U0&amp;row=3852&amp;col=7&amp;number=0.00207&amp;sourceID=14","0.00207")</f>
        <v>0.00207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HYPERLINK("http://141.218.60.56/~jnz1568/getInfo.php?workbook=16_08.xlsx&amp;sheet=U0&amp;row=3853&amp;col=6&amp;number=3.9&amp;sourceID=14","3.9")</f>
        <v>3.9</v>
      </c>
      <c r="G3853" s="4" t="str">
        <f>HYPERLINK("http://141.218.60.56/~jnz1568/getInfo.php?workbook=16_08.xlsx&amp;sheet=U0&amp;row=3853&amp;col=7&amp;number=0.00207&amp;sourceID=14","0.00207")</f>
        <v>0.00207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HYPERLINK("http://141.218.60.56/~jnz1568/getInfo.php?workbook=16_08.xlsx&amp;sheet=U0&amp;row=3854&amp;col=6&amp;number=4&amp;sourceID=14","4")</f>
        <v>4</v>
      </c>
      <c r="G3854" s="4" t="str">
        <f>HYPERLINK("http://141.218.60.56/~jnz1568/getInfo.php?workbook=16_08.xlsx&amp;sheet=U0&amp;row=3854&amp;col=7&amp;number=0.00207&amp;sourceID=14","0.00207")</f>
        <v>0.00207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HYPERLINK("http://141.218.60.56/~jnz1568/getInfo.php?workbook=16_08.xlsx&amp;sheet=U0&amp;row=3855&amp;col=6&amp;number=4.1&amp;sourceID=14","4.1")</f>
        <v>4.1</v>
      </c>
      <c r="G3855" s="4" t="str">
        <f>HYPERLINK("http://141.218.60.56/~jnz1568/getInfo.php?workbook=16_08.xlsx&amp;sheet=U0&amp;row=3855&amp;col=7&amp;number=0.00207&amp;sourceID=14","0.00207")</f>
        <v>0.00207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HYPERLINK("http://141.218.60.56/~jnz1568/getInfo.php?workbook=16_08.xlsx&amp;sheet=U0&amp;row=3856&amp;col=6&amp;number=4.2&amp;sourceID=14","4.2")</f>
        <v>4.2</v>
      </c>
      <c r="G3856" s="4" t="str">
        <f>HYPERLINK("http://141.218.60.56/~jnz1568/getInfo.php?workbook=16_08.xlsx&amp;sheet=U0&amp;row=3856&amp;col=7&amp;number=0.00207&amp;sourceID=14","0.00207")</f>
        <v>0.00207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HYPERLINK("http://141.218.60.56/~jnz1568/getInfo.php?workbook=16_08.xlsx&amp;sheet=U0&amp;row=3857&amp;col=6&amp;number=4.3&amp;sourceID=14","4.3")</f>
        <v>4.3</v>
      </c>
      <c r="G3857" s="4" t="str">
        <f>HYPERLINK("http://141.218.60.56/~jnz1568/getInfo.php?workbook=16_08.xlsx&amp;sheet=U0&amp;row=3857&amp;col=7&amp;number=0.00207&amp;sourceID=14","0.00207")</f>
        <v>0.00207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HYPERLINK("http://141.218.60.56/~jnz1568/getInfo.php?workbook=16_08.xlsx&amp;sheet=U0&amp;row=3858&amp;col=6&amp;number=4.4&amp;sourceID=14","4.4")</f>
        <v>4.4</v>
      </c>
      <c r="G3858" s="4" t="str">
        <f>HYPERLINK("http://141.218.60.56/~jnz1568/getInfo.php?workbook=16_08.xlsx&amp;sheet=U0&amp;row=3858&amp;col=7&amp;number=0.00207&amp;sourceID=14","0.00207")</f>
        <v>0.00207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HYPERLINK("http://141.218.60.56/~jnz1568/getInfo.php?workbook=16_08.xlsx&amp;sheet=U0&amp;row=3859&amp;col=6&amp;number=4.5&amp;sourceID=14","4.5")</f>
        <v>4.5</v>
      </c>
      <c r="G3859" s="4" t="str">
        <f>HYPERLINK("http://141.218.60.56/~jnz1568/getInfo.php?workbook=16_08.xlsx&amp;sheet=U0&amp;row=3859&amp;col=7&amp;number=0.00206&amp;sourceID=14","0.00206")</f>
        <v>0.00206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HYPERLINK("http://141.218.60.56/~jnz1568/getInfo.php?workbook=16_08.xlsx&amp;sheet=U0&amp;row=3860&amp;col=6&amp;number=4.6&amp;sourceID=14","4.6")</f>
        <v>4.6</v>
      </c>
      <c r="G3860" s="4" t="str">
        <f>HYPERLINK("http://141.218.60.56/~jnz1568/getInfo.php?workbook=16_08.xlsx&amp;sheet=U0&amp;row=3860&amp;col=7&amp;number=0.00206&amp;sourceID=14","0.00206")</f>
        <v>0.00206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HYPERLINK("http://141.218.60.56/~jnz1568/getInfo.php?workbook=16_08.xlsx&amp;sheet=U0&amp;row=3861&amp;col=6&amp;number=4.7&amp;sourceID=14","4.7")</f>
        <v>4.7</v>
      </c>
      <c r="G3861" s="4" t="str">
        <f>HYPERLINK("http://141.218.60.56/~jnz1568/getInfo.php?workbook=16_08.xlsx&amp;sheet=U0&amp;row=3861&amp;col=7&amp;number=0.00206&amp;sourceID=14","0.00206")</f>
        <v>0.00206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HYPERLINK("http://141.218.60.56/~jnz1568/getInfo.php?workbook=16_08.xlsx&amp;sheet=U0&amp;row=3862&amp;col=6&amp;number=4.8&amp;sourceID=14","4.8")</f>
        <v>4.8</v>
      </c>
      <c r="G3862" s="4" t="str">
        <f>HYPERLINK("http://141.218.60.56/~jnz1568/getInfo.php?workbook=16_08.xlsx&amp;sheet=U0&amp;row=3862&amp;col=7&amp;number=0.00205&amp;sourceID=14","0.00205")</f>
        <v>0.00205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HYPERLINK("http://141.218.60.56/~jnz1568/getInfo.php?workbook=16_08.xlsx&amp;sheet=U0&amp;row=3863&amp;col=6&amp;number=4.9&amp;sourceID=14","4.9")</f>
        <v>4.9</v>
      </c>
      <c r="G3863" s="4" t="str">
        <f>HYPERLINK("http://141.218.60.56/~jnz1568/getInfo.php?workbook=16_08.xlsx&amp;sheet=U0&amp;row=3863&amp;col=7&amp;number=0.00204&amp;sourceID=14","0.00204")</f>
        <v>0.00204</v>
      </c>
    </row>
    <row r="3864" spans="1:7">
      <c r="A3864" s="3">
        <v>16</v>
      </c>
      <c r="B3864" s="3">
        <v>8</v>
      </c>
      <c r="C3864" s="3">
        <v>3</v>
      </c>
      <c r="D3864" s="3">
        <v>28</v>
      </c>
      <c r="E3864" s="3">
        <v>1</v>
      </c>
      <c r="F3864" s="4" t="str">
        <f>HYPERLINK("http://141.218.60.56/~jnz1568/getInfo.php?workbook=16_08.xlsx&amp;sheet=U0&amp;row=3864&amp;col=6&amp;number=3&amp;sourceID=14","3")</f>
        <v>3</v>
      </c>
      <c r="G3864" s="4" t="str">
        <f>HYPERLINK("http://141.218.60.56/~jnz1568/getInfo.php?workbook=16_08.xlsx&amp;sheet=U0&amp;row=3864&amp;col=7&amp;number=0.00156&amp;sourceID=14","0.00156")</f>
        <v>0.00156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HYPERLINK("http://141.218.60.56/~jnz1568/getInfo.php?workbook=16_08.xlsx&amp;sheet=U0&amp;row=3865&amp;col=6&amp;number=3.1&amp;sourceID=14","3.1")</f>
        <v>3.1</v>
      </c>
      <c r="G3865" s="4" t="str">
        <f>HYPERLINK("http://141.218.60.56/~jnz1568/getInfo.php?workbook=16_08.xlsx&amp;sheet=U0&amp;row=3865&amp;col=7&amp;number=0.00156&amp;sourceID=14","0.00156")</f>
        <v>0.00156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HYPERLINK("http://141.218.60.56/~jnz1568/getInfo.php?workbook=16_08.xlsx&amp;sheet=U0&amp;row=3866&amp;col=6&amp;number=3.2&amp;sourceID=14","3.2")</f>
        <v>3.2</v>
      </c>
      <c r="G3866" s="4" t="str">
        <f>HYPERLINK("http://141.218.60.56/~jnz1568/getInfo.php?workbook=16_08.xlsx&amp;sheet=U0&amp;row=3866&amp;col=7&amp;number=0.00156&amp;sourceID=14","0.00156")</f>
        <v>0.00156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HYPERLINK("http://141.218.60.56/~jnz1568/getInfo.php?workbook=16_08.xlsx&amp;sheet=U0&amp;row=3867&amp;col=6&amp;number=3.3&amp;sourceID=14","3.3")</f>
        <v>3.3</v>
      </c>
      <c r="G3867" s="4" t="str">
        <f>HYPERLINK("http://141.218.60.56/~jnz1568/getInfo.php?workbook=16_08.xlsx&amp;sheet=U0&amp;row=3867&amp;col=7&amp;number=0.00156&amp;sourceID=14","0.00156")</f>
        <v>0.00156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HYPERLINK("http://141.218.60.56/~jnz1568/getInfo.php?workbook=16_08.xlsx&amp;sheet=U0&amp;row=3868&amp;col=6&amp;number=3.4&amp;sourceID=14","3.4")</f>
        <v>3.4</v>
      </c>
      <c r="G3868" s="4" t="str">
        <f>HYPERLINK("http://141.218.60.56/~jnz1568/getInfo.php?workbook=16_08.xlsx&amp;sheet=U0&amp;row=3868&amp;col=7&amp;number=0.00156&amp;sourceID=14","0.00156")</f>
        <v>0.00156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HYPERLINK("http://141.218.60.56/~jnz1568/getInfo.php?workbook=16_08.xlsx&amp;sheet=U0&amp;row=3869&amp;col=6&amp;number=3.5&amp;sourceID=14","3.5")</f>
        <v>3.5</v>
      </c>
      <c r="G3869" s="4" t="str">
        <f>HYPERLINK("http://141.218.60.56/~jnz1568/getInfo.php?workbook=16_08.xlsx&amp;sheet=U0&amp;row=3869&amp;col=7&amp;number=0.00156&amp;sourceID=14","0.00156")</f>
        <v>0.00156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HYPERLINK("http://141.218.60.56/~jnz1568/getInfo.php?workbook=16_08.xlsx&amp;sheet=U0&amp;row=3870&amp;col=6&amp;number=3.6&amp;sourceID=14","3.6")</f>
        <v>3.6</v>
      </c>
      <c r="G3870" s="4" t="str">
        <f>HYPERLINK("http://141.218.60.56/~jnz1568/getInfo.php?workbook=16_08.xlsx&amp;sheet=U0&amp;row=3870&amp;col=7&amp;number=0.00156&amp;sourceID=14","0.00156")</f>
        <v>0.00156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HYPERLINK("http://141.218.60.56/~jnz1568/getInfo.php?workbook=16_08.xlsx&amp;sheet=U0&amp;row=3871&amp;col=6&amp;number=3.7&amp;sourceID=14","3.7")</f>
        <v>3.7</v>
      </c>
      <c r="G3871" s="4" t="str">
        <f>HYPERLINK("http://141.218.60.56/~jnz1568/getInfo.php?workbook=16_08.xlsx&amp;sheet=U0&amp;row=3871&amp;col=7&amp;number=0.00156&amp;sourceID=14","0.00156")</f>
        <v>0.00156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HYPERLINK("http://141.218.60.56/~jnz1568/getInfo.php?workbook=16_08.xlsx&amp;sheet=U0&amp;row=3872&amp;col=6&amp;number=3.8&amp;sourceID=14","3.8")</f>
        <v>3.8</v>
      </c>
      <c r="G3872" s="4" t="str">
        <f>HYPERLINK("http://141.218.60.56/~jnz1568/getInfo.php?workbook=16_08.xlsx&amp;sheet=U0&amp;row=3872&amp;col=7&amp;number=0.00156&amp;sourceID=14","0.00156")</f>
        <v>0.00156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HYPERLINK("http://141.218.60.56/~jnz1568/getInfo.php?workbook=16_08.xlsx&amp;sheet=U0&amp;row=3873&amp;col=6&amp;number=3.9&amp;sourceID=14","3.9")</f>
        <v>3.9</v>
      </c>
      <c r="G3873" s="4" t="str">
        <f>HYPERLINK("http://141.218.60.56/~jnz1568/getInfo.php?workbook=16_08.xlsx&amp;sheet=U0&amp;row=3873&amp;col=7&amp;number=0.00156&amp;sourceID=14","0.00156")</f>
        <v>0.00156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HYPERLINK("http://141.218.60.56/~jnz1568/getInfo.php?workbook=16_08.xlsx&amp;sheet=U0&amp;row=3874&amp;col=6&amp;number=4&amp;sourceID=14","4")</f>
        <v>4</v>
      </c>
      <c r="G3874" s="4" t="str">
        <f>HYPERLINK("http://141.218.60.56/~jnz1568/getInfo.php?workbook=16_08.xlsx&amp;sheet=U0&amp;row=3874&amp;col=7&amp;number=0.00156&amp;sourceID=14","0.00156")</f>
        <v>0.00156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HYPERLINK("http://141.218.60.56/~jnz1568/getInfo.php?workbook=16_08.xlsx&amp;sheet=U0&amp;row=3875&amp;col=6&amp;number=4.1&amp;sourceID=14","4.1")</f>
        <v>4.1</v>
      </c>
      <c r="G3875" s="4" t="str">
        <f>HYPERLINK("http://141.218.60.56/~jnz1568/getInfo.php?workbook=16_08.xlsx&amp;sheet=U0&amp;row=3875&amp;col=7&amp;number=0.00156&amp;sourceID=14","0.00156")</f>
        <v>0.00156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HYPERLINK("http://141.218.60.56/~jnz1568/getInfo.php?workbook=16_08.xlsx&amp;sheet=U0&amp;row=3876&amp;col=6&amp;number=4.2&amp;sourceID=14","4.2")</f>
        <v>4.2</v>
      </c>
      <c r="G3876" s="4" t="str">
        <f>HYPERLINK("http://141.218.60.56/~jnz1568/getInfo.php?workbook=16_08.xlsx&amp;sheet=U0&amp;row=3876&amp;col=7&amp;number=0.00156&amp;sourceID=14","0.00156")</f>
        <v>0.00156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HYPERLINK("http://141.218.60.56/~jnz1568/getInfo.php?workbook=16_08.xlsx&amp;sheet=U0&amp;row=3877&amp;col=6&amp;number=4.3&amp;sourceID=14","4.3")</f>
        <v>4.3</v>
      </c>
      <c r="G3877" s="4" t="str">
        <f>HYPERLINK("http://141.218.60.56/~jnz1568/getInfo.php?workbook=16_08.xlsx&amp;sheet=U0&amp;row=3877&amp;col=7&amp;number=0.00156&amp;sourceID=14","0.00156")</f>
        <v>0.00156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HYPERLINK("http://141.218.60.56/~jnz1568/getInfo.php?workbook=16_08.xlsx&amp;sheet=U0&amp;row=3878&amp;col=6&amp;number=4.4&amp;sourceID=14","4.4")</f>
        <v>4.4</v>
      </c>
      <c r="G3878" s="4" t="str">
        <f>HYPERLINK("http://141.218.60.56/~jnz1568/getInfo.php?workbook=16_08.xlsx&amp;sheet=U0&amp;row=3878&amp;col=7&amp;number=0.00155&amp;sourceID=14","0.00155")</f>
        <v>0.00155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HYPERLINK("http://141.218.60.56/~jnz1568/getInfo.php?workbook=16_08.xlsx&amp;sheet=U0&amp;row=3879&amp;col=6&amp;number=4.5&amp;sourceID=14","4.5")</f>
        <v>4.5</v>
      </c>
      <c r="G3879" s="4" t="str">
        <f>HYPERLINK("http://141.218.60.56/~jnz1568/getInfo.php?workbook=16_08.xlsx&amp;sheet=U0&amp;row=3879&amp;col=7&amp;number=0.00155&amp;sourceID=14","0.00155")</f>
        <v>0.00155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HYPERLINK("http://141.218.60.56/~jnz1568/getInfo.php?workbook=16_08.xlsx&amp;sheet=U0&amp;row=3880&amp;col=6&amp;number=4.6&amp;sourceID=14","4.6")</f>
        <v>4.6</v>
      </c>
      <c r="G3880" s="4" t="str">
        <f>HYPERLINK("http://141.218.60.56/~jnz1568/getInfo.php?workbook=16_08.xlsx&amp;sheet=U0&amp;row=3880&amp;col=7&amp;number=0.00155&amp;sourceID=14","0.00155")</f>
        <v>0.00155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HYPERLINK("http://141.218.60.56/~jnz1568/getInfo.php?workbook=16_08.xlsx&amp;sheet=U0&amp;row=3881&amp;col=6&amp;number=4.7&amp;sourceID=14","4.7")</f>
        <v>4.7</v>
      </c>
      <c r="G3881" s="4" t="str">
        <f>HYPERLINK("http://141.218.60.56/~jnz1568/getInfo.php?workbook=16_08.xlsx&amp;sheet=U0&amp;row=3881&amp;col=7&amp;number=0.00155&amp;sourceID=14","0.00155")</f>
        <v>0.00155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HYPERLINK("http://141.218.60.56/~jnz1568/getInfo.php?workbook=16_08.xlsx&amp;sheet=U0&amp;row=3882&amp;col=6&amp;number=4.8&amp;sourceID=14","4.8")</f>
        <v>4.8</v>
      </c>
      <c r="G3882" s="4" t="str">
        <f>HYPERLINK("http://141.218.60.56/~jnz1568/getInfo.php?workbook=16_08.xlsx&amp;sheet=U0&amp;row=3882&amp;col=7&amp;number=0.00155&amp;sourceID=14","0.00155")</f>
        <v>0.00155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HYPERLINK("http://141.218.60.56/~jnz1568/getInfo.php?workbook=16_08.xlsx&amp;sheet=U0&amp;row=3883&amp;col=6&amp;number=4.9&amp;sourceID=14","4.9")</f>
        <v>4.9</v>
      </c>
      <c r="G3883" s="4" t="str">
        <f>HYPERLINK("http://141.218.60.56/~jnz1568/getInfo.php?workbook=16_08.xlsx&amp;sheet=U0&amp;row=3883&amp;col=7&amp;number=0.00154&amp;sourceID=14","0.00154")</f>
        <v>0.00154</v>
      </c>
    </row>
    <row r="3884" spans="1:7">
      <c r="A3884" s="3">
        <v>16</v>
      </c>
      <c r="B3884" s="3">
        <v>8</v>
      </c>
      <c r="C3884" s="3">
        <v>3</v>
      </c>
      <c r="D3884" s="3">
        <v>29</v>
      </c>
      <c r="E3884" s="3">
        <v>1</v>
      </c>
      <c r="F3884" s="4" t="str">
        <f>HYPERLINK("http://141.218.60.56/~jnz1568/getInfo.php?workbook=16_08.xlsx&amp;sheet=U0&amp;row=3884&amp;col=6&amp;number=3&amp;sourceID=14","3")</f>
        <v>3</v>
      </c>
      <c r="G3884" s="4" t="str">
        <f>HYPERLINK("http://141.218.60.56/~jnz1568/getInfo.php?workbook=16_08.xlsx&amp;sheet=U0&amp;row=3884&amp;col=7&amp;number=3.28e-05&amp;sourceID=14","3.28e-05")</f>
        <v>3.28e-05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HYPERLINK("http://141.218.60.56/~jnz1568/getInfo.php?workbook=16_08.xlsx&amp;sheet=U0&amp;row=3885&amp;col=6&amp;number=3.1&amp;sourceID=14","3.1")</f>
        <v>3.1</v>
      </c>
      <c r="G3885" s="4" t="str">
        <f>HYPERLINK("http://141.218.60.56/~jnz1568/getInfo.php?workbook=16_08.xlsx&amp;sheet=U0&amp;row=3885&amp;col=7&amp;number=3.28e-05&amp;sourceID=14","3.28e-05")</f>
        <v>3.28e-05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HYPERLINK("http://141.218.60.56/~jnz1568/getInfo.php?workbook=16_08.xlsx&amp;sheet=U0&amp;row=3886&amp;col=6&amp;number=3.2&amp;sourceID=14","3.2")</f>
        <v>3.2</v>
      </c>
      <c r="G3886" s="4" t="str">
        <f>HYPERLINK("http://141.218.60.56/~jnz1568/getInfo.php?workbook=16_08.xlsx&amp;sheet=U0&amp;row=3886&amp;col=7&amp;number=3.28e-05&amp;sourceID=14","3.28e-05")</f>
        <v>3.28e-05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HYPERLINK("http://141.218.60.56/~jnz1568/getInfo.php?workbook=16_08.xlsx&amp;sheet=U0&amp;row=3887&amp;col=6&amp;number=3.3&amp;sourceID=14","3.3")</f>
        <v>3.3</v>
      </c>
      <c r="G3887" s="4" t="str">
        <f>HYPERLINK("http://141.218.60.56/~jnz1568/getInfo.php?workbook=16_08.xlsx&amp;sheet=U0&amp;row=3887&amp;col=7&amp;number=3.28e-05&amp;sourceID=14","3.28e-05")</f>
        <v>3.28e-05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HYPERLINK("http://141.218.60.56/~jnz1568/getInfo.php?workbook=16_08.xlsx&amp;sheet=U0&amp;row=3888&amp;col=6&amp;number=3.4&amp;sourceID=14","3.4")</f>
        <v>3.4</v>
      </c>
      <c r="G3888" s="4" t="str">
        <f>HYPERLINK("http://141.218.60.56/~jnz1568/getInfo.php?workbook=16_08.xlsx&amp;sheet=U0&amp;row=3888&amp;col=7&amp;number=3.28e-05&amp;sourceID=14","3.28e-05")</f>
        <v>3.28e-05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HYPERLINK("http://141.218.60.56/~jnz1568/getInfo.php?workbook=16_08.xlsx&amp;sheet=U0&amp;row=3889&amp;col=6&amp;number=3.5&amp;sourceID=14","3.5")</f>
        <v>3.5</v>
      </c>
      <c r="G3889" s="4" t="str">
        <f>HYPERLINK("http://141.218.60.56/~jnz1568/getInfo.php?workbook=16_08.xlsx&amp;sheet=U0&amp;row=3889&amp;col=7&amp;number=3.28e-05&amp;sourceID=14","3.28e-05")</f>
        <v>3.28e-05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HYPERLINK("http://141.218.60.56/~jnz1568/getInfo.php?workbook=16_08.xlsx&amp;sheet=U0&amp;row=3890&amp;col=6&amp;number=3.6&amp;sourceID=14","3.6")</f>
        <v>3.6</v>
      </c>
      <c r="G3890" s="4" t="str">
        <f>HYPERLINK("http://141.218.60.56/~jnz1568/getInfo.php?workbook=16_08.xlsx&amp;sheet=U0&amp;row=3890&amp;col=7&amp;number=3.28e-05&amp;sourceID=14","3.28e-05")</f>
        <v>3.28e-05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HYPERLINK("http://141.218.60.56/~jnz1568/getInfo.php?workbook=16_08.xlsx&amp;sheet=U0&amp;row=3891&amp;col=6&amp;number=3.7&amp;sourceID=14","3.7")</f>
        <v>3.7</v>
      </c>
      <c r="G3891" s="4" t="str">
        <f>HYPERLINK("http://141.218.60.56/~jnz1568/getInfo.php?workbook=16_08.xlsx&amp;sheet=U0&amp;row=3891&amp;col=7&amp;number=3.27e-05&amp;sourceID=14","3.27e-05")</f>
        <v>3.27e-05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HYPERLINK("http://141.218.60.56/~jnz1568/getInfo.php?workbook=16_08.xlsx&amp;sheet=U0&amp;row=3892&amp;col=6&amp;number=3.8&amp;sourceID=14","3.8")</f>
        <v>3.8</v>
      </c>
      <c r="G3892" s="4" t="str">
        <f>HYPERLINK("http://141.218.60.56/~jnz1568/getInfo.php?workbook=16_08.xlsx&amp;sheet=U0&amp;row=3892&amp;col=7&amp;number=3.27e-05&amp;sourceID=14","3.27e-05")</f>
        <v>3.27e-05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HYPERLINK("http://141.218.60.56/~jnz1568/getInfo.php?workbook=16_08.xlsx&amp;sheet=U0&amp;row=3893&amp;col=6&amp;number=3.9&amp;sourceID=14","3.9")</f>
        <v>3.9</v>
      </c>
      <c r="G3893" s="4" t="str">
        <f>HYPERLINK("http://141.218.60.56/~jnz1568/getInfo.php?workbook=16_08.xlsx&amp;sheet=U0&amp;row=3893&amp;col=7&amp;number=3.27e-05&amp;sourceID=14","3.27e-05")</f>
        <v>3.27e-05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HYPERLINK("http://141.218.60.56/~jnz1568/getInfo.php?workbook=16_08.xlsx&amp;sheet=U0&amp;row=3894&amp;col=6&amp;number=4&amp;sourceID=14","4")</f>
        <v>4</v>
      </c>
      <c r="G3894" s="4" t="str">
        <f>HYPERLINK("http://141.218.60.56/~jnz1568/getInfo.php?workbook=16_08.xlsx&amp;sheet=U0&amp;row=3894&amp;col=7&amp;number=3.27e-05&amp;sourceID=14","3.27e-05")</f>
        <v>3.27e-05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HYPERLINK("http://141.218.60.56/~jnz1568/getInfo.php?workbook=16_08.xlsx&amp;sheet=U0&amp;row=3895&amp;col=6&amp;number=4.1&amp;sourceID=14","4.1")</f>
        <v>4.1</v>
      </c>
      <c r="G3895" s="4" t="str">
        <f>HYPERLINK("http://141.218.60.56/~jnz1568/getInfo.php?workbook=16_08.xlsx&amp;sheet=U0&amp;row=3895&amp;col=7&amp;number=3.27e-05&amp;sourceID=14","3.27e-05")</f>
        <v>3.27e-05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HYPERLINK("http://141.218.60.56/~jnz1568/getInfo.php?workbook=16_08.xlsx&amp;sheet=U0&amp;row=3896&amp;col=6&amp;number=4.2&amp;sourceID=14","4.2")</f>
        <v>4.2</v>
      </c>
      <c r="G3896" s="4" t="str">
        <f>HYPERLINK("http://141.218.60.56/~jnz1568/getInfo.php?workbook=16_08.xlsx&amp;sheet=U0&amp;row=3896&amp;col=7&amp;number=3.27e-05&amp;sourceID=14","3.27e-05")</f>
        <v>3.27e-05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HYPERLINK("http://141.218.60.56/~jnz1568/getInfo.php?workbook=16_08.xlsx&amp;sheet=U0&amp;row=3897&amp;col=6&amp;number=4.3&amp;sourceID=14","4.3")</f>
        <v>4.3</v>
      </c>
      <c r="G3897" s="4" t="str">
        <f>HYPERLINK("http://141.218.60.56/~jnz1568/getInfo.php?workbook=16_08.xlsx&amp;sheet=U0&amp;row=3897&amp;col=7&amp;number=3.26e-05&amp;sourceID=14","3.26e-05")</f>
        <v>3.26e-05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HYPERLINK("http://141.218.60.56/~jnz1568/getInfo.php?workbook=16_08.xlsx&amp;sheet=U0&amp;row=3898&amp;col=6&amp;number=4.4&amp;sourceID=14","4.4")</f>
        <v>4.4</v>
      </c>
      <c r="G3898" s="4" t="str">
        <f>HYPERLINK("http://141.218.60.56/~jnz1568/getInfo.php?workbook=16_08.xlsx&amp;sheet=U0&amp;row=3898&amp;col=7&amp;number=3.26e-05&amp;sourceID=14","3.26e-05")</f>
        <v>3.26e-05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HYPERLINK("http://141.218.60.56/~jnz1568/getInfo.php?workbook=16_08.xlsx&amp;sheet=U0&amp;row=3899&amp;col=6&amp;number=4.5&amp;sourceID=14","4.5")</f>
        <v>4.5</v>
      </c>
      <c r="G3899" s="4" t="str">
        <f>HYPERLINK("http://141.218.60.56/~jnz1568/getInfo.php?workbook=16_08.xlsx&amp;sheet=U0&amp;row=3899&amp;col=7&amp;number=3.26e-05&amp;sourceID=14","3.26e-05")</f>
        <v>3.26e-05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HYPERLINK("http://141.218.60.56/~jnz1568/getInfo.php?workbook=16_08.xlsx&amp;sheet=U0&amp;row=3900&amp;col=6&amp;number=4.6&amp;sourceID=14","4.6")</f>
        <v>4.6</v>
      </c>
      <c r="G3900" s="4" t="str">
        <f>HYPERLINK("http://141.218.60.56/~jnz1568/getInfo.php?workbook=16_08.xlsx&amp;sheet=U0&amp;row=3900&amp;col=7&amp;number=3.25e-05&amp;sourceID=14","3.25e-05")</f>
        <v>3.25e-05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HYPERLINK("http://141.218.60.56/~jnz1568/getInfo.php?workbook=16_08.xlsx&amp;sheet=U0&amp;row=3901&amp;col=6&amp;number=4.7&amp;sourceID=14","4.7")</f>
        <v>4.7</v>
      </c>
      <c r="G3901" s="4" t="str">
        <f>HYPERLINK("http://141.218.60.56/~jnz1568/getInfo.php?workbook=16_08.xlsx&amp;sheet=U0&amp;row=3901&amp;col=7&amp;number=3.24e-05&amp;sourceID=14","3.24e-05")</f>
        <v>3.24e-05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HYPERLINK("http://141.218.60.56/~jnz1568/getInfo.php?workbook=16_08.xlsx&amp;sheet=U0&amp;row=3902&amp;col=6&amp;number=4.8&amp;sourceID=14","4.8")</f>
        <v>4.8</v>
      </c>
      <c r="G3902" s="4" t="str">
        <f>HYPERLINK("http://141.218.60.56/~jnz1568/getInfo.php?workbook=16_08.xlsx&amp;sheet=U0&amp;row=3902&amp;col=7&amp;number=3.23e-05&amp;sourceID=14","3.23e-05")</f>
        <v>3.23e-05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HYPERLINK("http://141.218.60.56/~jnz1568/getInfo.php?workbook=16_08.xlsx&amp;sheet=U0&amp;row=3903&amp;col=6&amp;number=4.9&amp;sourceID=14","4.9")</f>
        <v>4.9</v>
      </c>
      <c r="G3903" s="4" t="str">
        <f>HYPERLINK("http://141.218.60.56/~jnz1568/getInfo.php?workbook=16_08.xlsx&amp;sheet=U0&amp;row=3903&amp;col=7&amp;number=3.22e-05&amp;sourceID=14","3.22e-05")</f>
        <v>3.22e-05</v>
      </c>
    </row>
    <row r="3904" spans="1:7">
      <c r="A3904" s="3">
        <v>16</v>
      </c>
      <c r="B3904" s="3">
        <v>8</v>
      </c>
      <c r="C3904" s="3">
        <v>3</v>
      </c>
      <c r="D3904" s="3">
        <v>30</v>
      </c>
      <c r="E3904" s="3">
        <v>1</v>
      </c>
      <c r="F3904" s="4" t="str">
        <f>HYPERLINK("http://141.218.60.56/~jnz1568/getInfo.php?workbook=16_08.xlsx&amp;sheet=U0&amp;row=3904&amp;col=6&amp;number=3&amp;sourceID=14","3")</f>
        <v>3</v>
      </c>
      <c r="G3904" s="4" t="str">
        <f>HYPERLINK("http://141.218.60.56/~jnz1568/getInfo.php?workbook=16_08.xlsx&amp;sheet=U0&amp;row=3904&amp;col=7&amp;number=0.00169&amp;sourceID=14","0.00169")</f>
        <v>0.00169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HYPERLINK("http://141.218.60.56/~jnz1568/getInfo.php?workbook=16_08.xlsx&amp;sheet=U0&amp;row=3905&amp;col=6&amp;number=3.1&amp;sourceID=14","3.1")</f>
        <v>3.1</v>
      </c>
      <c r="G3905" s="4" t="str">
        <f>HYPERLINK("http://141.218.60.56/~jnz1568/getInfo.php?workbook=16_08.xlsx&amp;sheet=U0&amp;row=3905&amp;col=7&amp;number=0.00169&amp;sourceID=14","0.00169")</f>
        <v>0.00169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HYPERLINK("http://141.218.60.56/~jnz1568/getInfo.php?workbook=16_08.xlsx&amp;sheet=U0&amp;row=3906&amp;col=6&amp;number=3.2&amp;sourceID=14","3.2")</f>
        <v>3.2</v>
      </c>
      <c r="G3906" s="4" t="str">
        <f>HYPERLINK("http://141.218.60.56/~jnz1568/getInfo.php?workbook=16_08.xlsx&amp;sheet=U0&amp;row=3906&amp;col=7&amp;number=0.00169&amp;sourceID=14","0.00169")</f>
        <v>0.00169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HYPERLINK("http://141.218.60.56/~jnz1568/getInfo.php?workbook=16_08.xlsx&amp;sheet=U0&amp;row=3907&amp;col=6&amp;number=3.3&amp;sourceID=14","3.3")</f>
        <v>3.3</v>
      </c>
      <c r="G3907" s="4" t="str">
        <f>HYPERLINK("http://141.218.60.56/~jnz1568/getInfo.php?workbook=16_08.xlsx&amp;sheet=U0&amp;row=3907&amp;col=7&amp;number=0.00169&amp;sourceID=14","0.00169")</f>
        <v>0.00169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HYPERLINK("http://141.218.60.56/~jnz1568/getInfo.php?workbook=16_08.xlsx&amp;sheet=U0&amp;row=3908&amp;col=6&amp;number=3.4&amp;sourceID=14","3.4")</f>
        <v>3.4</v>
      </c>
      <c r="G3908" s="4" t="str">
        <f>HYPERLINK("http://141.218.60.56/~jnz1568/getInfo.php?workbook=16_08.xlsx&amp;sheet=U0&amp;row=3908&amp;col=7&amp;number=0.00169&amp;sourceID=14","0.00169")</f>
        <v>0.00169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HYPERLINK("http://141.218.60.56/~jnz1568/getInfo.php?workbook=16_08.xlsx&amp;sheet=U0&amp;row=3909&amp;col=6&amp;number=3.5&amp;sourceID=14","3.5")</f>
        <v>3.5</v>
      </c>
      <c r="G3909" s="4" t="str">
        <f>HYPERLINK("http://141.218.60.56/~jnz1568/getInfo.php?workbook=16_08.xlsx&amp;sheet=U0&amp;row=3909&amp;col=7&amp;number=0.00169&amp;sourceID=14","0.00169")</f>
        <v>0.00169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HYPERLINK("http://141.218.60.56/~jnz1568/getInfo.php?workbook=16_08.xlsx&amp;sheet=U0&amp;row=3910&amp;col=6&amp;number=3.6&amp;sourceID=14","3.6")</f>
        <v>3.6</v>
      </c>
      <c r="G3910" s="4" t="str">
        <f>HYPERLINK("http://141.218.60.56/~jnz1568/getInfo.php?workbook=16_08.xlsx&amp;sheet=U0&amp;row=3910&amp;col=7&amp;number=0.00169&amp;sourceID=14","0.00169")</f>
        <v>0.00169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HYPERLINK("http://141.218.60.56/~jnz1568/getInfo.php?workbook=16_08.xlsx&amp;sheet=U0&amp;row=3911&amp;col=6&amp;number=3.7&amp;sourceID=14","3.7")</f>
        <v>3.7</v>
      </c>
      <c r="G3911" s="4" t="str">
        <f>HYPERLINK("http://141.218.60.56/~jnz1568/getInfo.php?workbook=16_08.xlsx&amp;sheet=U0&amp;row=3911&amp;col=7&amp;number=0.00169&amp;sourceID=14","0.00169")</f>
        <v>0.00169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HYPERLINK("http://141.218.60.56/~jnz1568/getInfo.php?workbook=16_08.xlsx&amp;sheet=U0&amp;row=3912&amp;col=6&amp;number=3.8&amp;sourceID=14","3.8")</f>
        <v>3.8</v>
      </c>
      <c r="G3912" s="4" t="str">
        <f>HYPERLINK("http://141.218.60.56/~jnz1568/getInfo.php?workbook=16_08.xlsx&amp;sheet=U0&amp;row=3912&amp;col=7&amp;number=0.00169&amp;sourceID=14","0.00169")</f>
        <v>0.00169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HYPERLINK("http://141.218.60.56/~jnz1568/getInfo.php?workbook=16_08.xlsx&amp;sheet=U0&amp;row=3913&amp;col=6&amp;number=3.9&amp;sourceID=14","3.9")</f>
        <v>3.9</v>
      </c>
      <c r="G3913" s="4" t="str">
        <f>HYPERLINK("http://141.218.60.56/~jnz1568/getInfo.php?workbook=16_08.xlsx&amp;sheet=U0&amp;row=3913&amp;col=7&amp;number=0.00169&amp;sourceID=14","0.00169")</f>
        <v>0.00169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HYPERLINK("http://141.218.60.56/~jnz1568/getInfo.php?workbook=16_08.xlsx&amp;sheet=U0&amp;row=3914&amp;col=6&amp;number=4&amp;sourceID=14","4")</f>
        <v>4</v>
      </c>
      <c r="G3914" s="4" t="str">
        <f>HYPERLINK("http://141.218.60.56/~jnz1568/getInfo.php?workbook=16_08.xlsx&amp;sheet=U0&amp;row=3914&amp;col=7&amp;number=0.00169&amp;sourceID=14","0.00169")</f>
        <v>0.00169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HYPERLINK("http://141.218.60.56/~jnz1568/getInfo.php?workbook=16_08.xlsx&amp;sheet=U0&amp;row=3915&amp;col=6&amp;number=4.1&amp;sourceID=14","4.1")</f>
        <v>4.1</v>
      </c>
      <c r="G3915" s="4" t="str">
        <f>HYPERLINK("http://141.218.60.56/~jnz1568/getInfo.php?workbook=16_08.xlsx&amp;sheet=U0&amp;row=3915&amp;col=7&amp;number=0.00169&amp;sourceID=14","0.00169")</f>
        <v>0.00169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HYPERLINK("http://141.218.60.56/~jnz1568/getInfo.php?workbook=16_08.xlsx&amp;sheet=U0&amp;row=3916&amp;col=6&amp;number=4.2&amp;sourceID=14","4.2")</f>
        <v>4.2</v>
      </c>
      <c r="G3916" s="4" t="str">
        <f>HYPERLINK("http://141.218.60.56/~jnz1568/getInfo.php?workbook=16_08.xlsx&amp;sheet=U0&amp;row=3916&amp;col=7&amp;number=0.00168&amp;sourceID=14","0.00168")</f>
        <v>0.00168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HYPERLINK("http://141.218.60.56/~jnz1568/getInfo.php?workbook=16_08.xlsx&amp;sheet=U0&amp;row=3917&amp;col=6&amp;number=4.3&amp;sourceID=14","4.3")</f>
        <v>4.3</v>
      </c>
      <c r="G3917" s="4" t="str">
        <f>HYPERLINK("http://141.218.60.56/~jnz1568/getInfo.php?workbook=16_08.xlsx&amp;sheet=U0&amp;row=3917&amp;col=7&amp;number=0.00168&amp;sourceID=14","0.00168")</f>
        <v>0.00168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HYPERLINK("http://141.218.60.56/~jnz1568/getInfo.php?workbook=16_08.xlsx&amp;sheet=U0&amp;row=3918&amp;col=6&amp;number=4.4&amp;sourceID=14","4.4")</f>
        <v>4.4</v>
      </c>
      <c r="G3918" s="4" t="str">
        <f>HYPERLINK("http://141.218.60.56/~jnz1568/getInfo.php?workbook=16_08.xlsx&amp;sheet=U0&amp;row=3918&amp;col=7&amp;number=0.00168&amp;sourceID=14","0.00168")</f>
        <v>0.00168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HYPERLINK("http://141.218.60.56/~jnz1568/getInfo.php?workbook=16_08.xlsx&amp;sheet=U0&amp;row=3919&amp;col=6&amp;number=4.5&amp;sourceID=14","4.5")</f>
        <v>4.5</v>
      </c>
      <c r="G3919" s="4" t="str">
        <f>HYPERLINK("http://141.218.60.56/~jnz1568/getInfo.php?workbook=16_08.xlsx&amp;sheet=U0&amp;row=3919&amp;col=7&amp;number=0.00168&amp;sourceID=14","0.00168")</f>
        <v>0.00168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HYPERLINK("http://141.218.60.56/~jnz1568/getInfo.php?workbook=16_08.xlsx&amp;sheet=U0&amp;row=3920&amp;col=6&amp;number=4.6&amp;sourceID=14","4.6")</f>
        <v>4.6</v>
      </c>
      <c r="G3920" s="4" t="str">
        <f>HYPERLINK("http://141.218.60.56/~jnz1568/getInfo.php?workbook=16_08.xlsx&amp;sheet=U0&amp;row=3920&amp;col=7&amp;number=0.00167&amp;sourceID=14","0.00167")</f>
        <v>0.00167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HYPERLINK("http://141.218.60.56/~jnz1568/getInfo.php?workbook=16_08.xlsx&amp;sheet=U0&amp;row=3921&amp;col=6&amp;number=4.7&amp;sourceID=14","4.7")</f>
        <v>4.7</v>
      </c>
      <c r="G3921" s="4" t="str">
        <f>HYPERLINK("http://141.218.60.56/~jnz1568/getInfo.php?workbook=16_08.xlsx&amp;sheet=U0&amp;row=3921&amp;col=7&amp;number=0.00167&amp;sourceID=14","0.00167")</f>
        <v>0.00167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HYPERLINK("http://141.218.60.56/~jnz1568/getInfo.php?workbook=16_08.xlsx&amp;sheet=U0&amp;row=3922&amp;col=6&amp;number=4.8&amp;sourceID=14","4.8")</f>
        <v>4.8</v>
      </c>
      <c r="G3922" s="4" t="str">
        <f>HYPERLINK("http://141.218.60.56/~jnz1568/getInfo.php?workbook=16_08.xlsx&amp;sheet=U0&amp;row=3922&amp;col=7&amp;number=0.00166&amp;sourceID=14","0.00166")</f>
        <v>0.00166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HYPERLINK("http://141.218.60.56/~jnz1568/getInfo.php?workbook=16_08.xlsx&amp;sheet=U0&amp;row=3923&amp;col=6&amp;number=4.9&amp;sourceID=14","4.9")</f>
        <v>4.9</v>
      </c>
      <c r="G3923" s="4" t="str">
        <f>HYPERLINK("http://141.218.60.56/~jnz1568/getInfo.php?workbook=16_08.xlsx&amp;sheet=U0&amp;row=3923&amp;col=7&amp;number=0.00165&amp;sourceID=14","0.00165")</f>
        <v>0.00165</v>
      </c>
    </row>
    <row r="3924" spans="1:7">
      <c r="A3924" s="3">
        <v>16</v>
      </c>
      <c r="B3924" s="3">
        <v>8</v>
      </c>
      <c r="C3924" s="3">
        <v>3</v>
      </c>
      <c r="D3924" s="3">
        <v>31</v>
      </c>
      <c r="E3924" s="3">
        <v>1</v>
      </c>
      <c r="F3924" s="4" t="str">
        <f>HYPERLINK("http://141.218.60.56/~jnz1568/getInfo.php?workbook=16_08.xlsx&amp;sheet=U0&amp;row=3924&amp;col=6&amp;number=3&amp;sourceID=14","3")</f>
        <v>3</v>
      </c>
      <c r="G3924" s="4" t="str">
        <f>HYPERLINK("http://141.218.60.56/~jnz1568/getInfo.php?workbook=16_08.xlsx&amp;sheet=U0&amp;row=3924&amp;col=7&amp;number=0.00474&amp;sourceID=14","0.00474")</f>
        <v>0.00474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HYPERLINK("http://141.218.60.56/~jnz1568/getInfo.php?workbook=16_08.xlsx&amp;sheet=U0&amp;row=3925&amp;col=6&amp;number=3.1&amp;sourceID=14","3.1")</f>
        <v>3.1</v>
      </c>
      <c r="G3925" s="4" t="str">
        <f>HYPERLINK("http://141.218.60.56/~jnz1568/getInfo.php?workbook=16_08.xlsx&amp;sheet=U0&amp;row=3925&amp;col=7&amp;number=0.00474&amp;sourceID=14","0.00474")</f>
        <v>0.00474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HYPERLINK("http://141.218.60.56/~jnz1568/getInfo.php?workbook=16_08.xlsx&amp;sheet=U0&amp;row=3926&amp;col=6&amp;number=3.2&amp;sourceID=14","3.2")</f>
        <v>3.2</v>
      </c>
      <c r="G3926" s="4" t="str">
        <f>HYPERLINK("http://141.218.60.56/~jnz1568/getInfo.php?workbook=16_08.xlsx&amp;sheet=U0&amp;row=3926&amp;col=7&amp;number=0.00474&amp;sourceID=14","0.00474")</f>
        <v>0.00474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HYPERLINK("http://141.218.60.56/~jnz1568/getInfo.php?workbook=16_08.xlsx&amp;sheet=U0&amp;row=3927&amp;col=6&amp;number=3.3&amp;sourceID=14","3.3")</f>
        <v>3.3</v>
      </c>
      <c r="G3927" s="4" t="str">
        <f>HYPERLINK("http://141.218.60.56/~jnz1568/getInfo.php?workbook=16_08.xlsx&amp;sheet=U0&amp;row=3927&amp;col=7&amp;number=0.00474&amp;sourceID=14","0.00474")</f>
        <v>0.00474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HYPERLINK("http://141.218.60.56/~jnz1568/getInfo.php?workbook=16_08.xlsx&amp;sheet=U0&amp;row=3928&amp;col=6&amp;number=3.4&amp;sourceID=14","3.4")</f>
        <v>3.4</v>
      </c>
      <c r="G3928" s="4" t="str">
        <f>HYPERLINK("http://141.218.60.56/~jnz1568/getInfo.php?workbook=16_08.xlsx&amp;sheet=U0&amp;row=3928&amp;col=7&amp;number=0.00474&amp;sourceID=14","0.00474")</f>
        <v>0.00474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HYPERLINK("http://141.218.60.56/~jnz1568/getInfo.php?workbook=16_08.xlsx&amp;sheet=U0&amp;row=3929&amp;col=6&amp;number=3.5&amp;sourceID=14","3.5")</f>
        <v>3.5</v>
      </c>
      <c r="G3929" s="4" t="str">
        <f>HYPERLINK("http://141.218.60.56/~jnz1568/getInfo.php?workbook=16_08.xlsx&amp;sheet=U0&amp;row=3929&amp;col=7&amp;number=0.00474&amp;sourceID=14","0.00474")</f>
        <v>0.00474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HYPERLINK("http://141.218.60.56/~jnz1568/getInfo.php?workbook=16_08.xlsx&amp;sheet=U0&amp;row=3930&amp;col=6&amp;number=3.6&amp;sourceID=14","3.6")</f>
        <v>3.6</v>
      </c>
      <c r="G3930" s="4" t="str">
        <f>HYPERLINK("http://141.218.60.56/~jnz1568/getInfo.php?workbook=16_08.xlsx&amp;sheet=U0&amp;row=3930&amp;col=7&amp;number=0.00474&amp;sourceID=14","0.00474")</f>
        <v>0.00474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HYPERLINK("http://141.218.60.56/~jnz1568/getInfo.php?workbook=16_08.xlsx&amp;sheet=U0&amp;row=3931&amp;col=6&amp;number=3.7&amp;sourceID=14","3.7")</f>
        <v>3.7</v>
      </c>
      <c r="G3931" s="4" t="str">
        <f>HYPERLINK("http://141.218.60.56/~jnz1568/getInfo.php?workbook=16_08.xlsx&amp;sheet=U0&amp;row=3931&amp;col=7&amp;number=0.00474&amp;sourceID=14","0.00474")</f>
        <v>0.00474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HYPERLINK("http://141.218.60.56/~jnz1568/getInfo.php?workbook=16_08.xlsx&amp;sheet=U0&amp;row=3932&amp;col=6&amp;number=3.8&amp;sourceID=14","3.8")</f>
        <v>3.8</v>
      </c>
      <c r="G3932" s="4" t="str">
        <f>HYPERLINK("http://141.218.60.56/~jnz1568/getInfo.php?workbook=16_08.xlsx&amp;sheet=U0&amp;row=3932&amp;col=7&amp;number=0.00474&amp;sourceID=14","0.00474")</f>
        <v>0.00474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HYPERLINK("http://141.218.60.56/~jnz1568/getInfo.php?workbook=16_08.xlsx&amp;sheet=U0&amp;row=3933&amp;col=6&amp;number=3.9&amp;sourceID=14","3.9")</f>
        <v>3.9</v>
      </c>
      <c r="G3933" s="4" t="str">
        <f>HYPERLINK("http://141.218.60.56/~jnz1568/getInfo.php?workbook=16_08.xlsx&amp;sheet=U0&amp;row=3933&amp;col=7&amp;number=0.00474&amp;sourceID=14","0.00474")</f>
        <v>0.00474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HYPERLINK("http://141.218.60.56/~jnz1568/getInfo.php?workbook=16_08.xlsx&amp;sheet=U0&amp;row=3934&amp;col=6&amp;number=4&amp;sourceID=14","4")</f>
        <v>4</v>
      </c>
      <c r="G3934" s="4" t="str">
        <f>HYPERLINK("http://141.218.60.56/~jnz1568/getInfo.php?workbook=16_08.xlsx&amp;sheet=U0&amp;row=3934&amp;col=7&amp;number=0.00474&amp;sourceID=14","0.00474")</f>
        <v>0.00474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HYPERLINK("http://141.218.60.56/~jnz1568/getInfo.php?workbook=16_08.xlsx&amp;sheet=U0&amp;row=3935&amp;col=6&amp;number=4.1&amp;sourceID=14","4.1")</f>
        <v>4.1</v>
      </c>
      <c r="G3935" s="4" t="str">
        <f>HYPERLINK("http://141.218.60.56/~jnz1568/getInfo.php?workbook=16_08.xlsx&amp;sheet=U0&amp;row=3935&amp;col=7&amp;number=0.00474&amp;sourceID=14","0.00474")</f>
        <v>0.00474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HYPERLINK("http://141.218.60.56/~jnz1568/getInfo.php?workbook=16_08.xlsx&amp;sheet=U0&amp;row=3936&amp;col=6&amp;number=4.2&amp;sourceID=14","4.2")</f>
        <v>4.2</v>
      </c>
      <c r="G3936" s="4" t="str">
        <f>HYPERLINK("http://141.218.60.56/~jnz1568/getInfo.php?workbook=16_08.xlsx&amp;sheet=U0&amp;row=3936&amp;col=7&amp;number=0.00475&amp;sourceID=14","0.00475")</f>
        <v>0.00475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HYPERLINK("http://141.218.60.56/~jnz1568/getInfo.php?workbook=16_08.xlsx&amp;sheet=U0&amp;row=3937&amp;col=6&amp;number=4.3&amp;sourceID=14","4.3")</f>
        <v>4.3</v>
      </c>
      <c r="G3937" s="4" t="str">
        <f>HYPERLINK("http://141.218.60.56/~jnz1568/getInfo.php?workbook=16_08.xlsx&amp;sheet=U0&amp;row=3937&amp;col=7&amp;number=0.00475&amp;sourceID=14","0.00475")</f>
        <v>0.00475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HYPERLINK("http://141.218.60.56/~jnz1568/getInfo.php?workbook=16_08.xlsx&amp;sheet=U0&amp;row=3938&amp;col=6&amp;number=4.4&amp;sourceID=14","4.4")</f>
        <v>4.4</v>
      </c>
      <c r="G3938" s="4" t="str">
        <f>HYPERLINK("http://141.218.60.56/~jnz1568/getInfo.php?workbook=16_08.xlsx&amp;sheet=U0&amp;row=3938&amp;col=7&amp;number=0.00475&amp;sourceID=14","0.00475")</f>
        <v>0.00475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HYPERLINK("http://141.218.60.56/~jnz1568/getInfo.php?workbook=16_08.xlsx&amp;sheet=U0&amp;row=3939&amp;col=6&amp;number=4.5&amp;sourceID=14","4.5")</f>
        <v>4.5</v>
      </c>
      <c r="G3939" s="4" t="str">
        <f>HYPERLINK("http://141.218.60.56/~jnz1568/getInfo.php?workbook=16_08.xlsx&amp;sheet=U0&amp;row=3939&amp;col=7&amp;number=0.00475&amp;sourceID=14","0.00475")</f>
        <v>0.00475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HYPERLINK("http://141.218.60.56/~jnz1568/getInfo.php?workbook=16_08.xlsx&amp;sheet=U0&amp;row=3940&amp;col=6&amp;number=4.6&amp;sourceID=14","4.6")</f>
        <v>4.6</v>
      </c>
      <c r="G3940" s="4" t="str">
        <f>HYPERLINK("http://141.218.60.56/~jnz1568/getInfo.php?workbook=16_08.xlsx&amp;sheet=U0&amp;row=3940&amp;col=7&amp;number=0.00476&amp;sourceID=14","0.00476")</f>
        <v>0.00476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HYPERLINK("http://141.218.60.56/~jnz1568/getInfo.php?workbook=16_08.xlsx&amp;sheet=U0&amp;row=3941&amp;col=6&amp;number=4.7&amp;sourceID=14","4.7")</f>
        <v>4.7</v>
      </c>
      <c r="G3941" s="4" t="str">
        <f>HYPERLINK("http://141.218.60.56/~jnz1568/getInfo.php?workbook=16_08.xlsx&amp;sheet=U0&amp;row=3941&amp;col=7&amp;number=0.00476&amp;sourceID=14","0.00476")</f>
        <v>0.00476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HYPERLINK("http://141.218.60.56/~jnz1568/getInfo.php?workbook=16_08.xlsx&amp;sheet=U0&amp;row=3942&amp;col=6&amp;number=4.8&amp;sourceID=14","4.8")</f>
        <v>4.8</v>
      </c>
      <c r="G3942" s="4" t="str">
        <f>HYPERLINK("http://141.218.60.56/~jnz1568/getInfo.php?workbook=16_08.xlsx&amp;sheet=U0&amp;row=3942&amp;col=7&amp;number=0.00477&amp;sourceID=14","0.00477")</f>
        <v>0.00477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HYPERLINK("http://141.218.60.56/~jnz1568/getInfo.php?workbook=16_08.xlsx&amp;sheet=U0&amp;row=3943&amp;col=6&amp;number=4.9&amp;sourceID=14","4.9")</f>
        <v>4.9</v>
      </c>
      <c r="G3943" s="4" t="str">
        <f>HYPERLINK("http://141.218.60.56/~jnz1568/getInfo.php?workbook=16_08.xlsx&amp;sheet=U0&amp;row=3943&amp;col=7&amp;number=0.00477&amp;sourceID=14","0.00477")</f>
        <v>0.00477</v>
      </c>
    </row>
    <row r="3944" spans="1:7">
      <c r="A3944" s="3">
        <v>16</v>
      </c>
      <c r="B3944" s="3">
        <v>8</v>
      </c>
      <c r="C3944" s="3">
        <v>3</v>
      </c>
      <c r="D3944" s="3">
        <v>32</v>
      </c>
      <c r="E3944" s="3">
        <v>1</v>
      </c>
      <c r="F3944" s="4" t="str">
        <f>HYPERLINK("http://141.218.60.56/~jnz1568/getInfo.php?workbook=16_08.xlsx&amp;sheet=U0&amp;row=3944&amp;col=6&amp;number=3&amp;sourceID=14","3")</f>
        <v>3</v>
      </c>
      <c r="G3944" s="4" t="str">
        <f>HYPERLINK("http://141.218.60.56/~jnz1568/getInfo.php?workbook=16_08.xlsx&amp;sheet=U0&amp;row=3944&amp;col=7&amp;number=0.00311&amp;sourceID=14","0.00311")</f>
        <v>0.00311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HYPERLINK("http://141.218.60.56/~jnz1568/getInfo.php?workbook=16_08.xlsx&amp;sheet=U0&amp;row=3945&amp;col=6&amp;number=3.1&amp;sourceID=14","3.1")</f>
        <v>3.1</v>
      </c>
      <c r="G3945" s="4" t="str">
        <f>HYPERLINK("http://141.218.60.56/~jnz1568/getInfo.php?workbook=16_08.xlsx&amp;sheet=U0&amp;row=3945&amp;col=7&amp;number=0.00311&amp;sourceID=14","0.00311")</f>
        <v>0.00311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HYPERLINK("http://141.218.60.56/~jnz1568/getInfo.php?workbook=16_08.xlsx&amp;sheet=U0&amp;row=3946&amp;col=6&amp;number=3.2&amp;sourceID=14","3.2")</f>
        <v>3.2</v>
      </c>
      <c r="G3946" s="4" t="str">
        <f>HYPERLINK("http://141.218.60.56/~jnz1568/getInfo.php?workbook=16_08.xlsx&amp;sheet=U0&amp;row=3946&amp;col=7&amp;number=0.00311&amp;sourceID=14","0.00311")</f>
        <v>0.00311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HYPERLINK("http://141.218.60.56/~jnz1568/getInfo.php?workbook=16_08.xlsx&amp;sheet=U0&amp;row=3947&amp;col=6&amp;number=3.3&amp;sourceID=14","3.3")</f>
        <v>3.3</v>
      </c>
      <c r="G3947" s="4" t="str">
        <f>HYPERLINK("http://141.218.60.56/~jnz1568/getInfo.php?workbook=16_08.xlsx&amp;sheet=U0&amp;row=3947&amp;col=7&amp;number=0.00311&amp;sourceID=14","0.00311")</f>
        <v>0.00311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HYPERLINK("http://141.218.60.56/~jnz1568/getInfo.php?workbook=16_08.xlsx&amp;sheet=U0&amp;row=3948&amp;col=6&amp;number=3.4&amp;sourceID=14","3.4")</f>
        <v>3.4</v>
      </c>
      <c r="G3948" s="4" t="str">
        <f>HYPERLINK("http://141.218.60.56/~jnz1568/getInfo.php?workbook=16_08.xlsx&amp;sheet=U0&amp;row=3948&amp;col=7&amp;number=0.00311&amp;sourceID=14","0.00311")</f>
        <v>0.00311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HYPERLINK("http://141.218.60.56/~jnz1568/getInfo.php?workbook=16_08.xlsx&amp;sheet=U0&amp;row=3949&amp;col=6&amp;number=3.5&amp;sourceID=14","3.5")</f>
        <v>3.5</v>
      </c>
      <c r="G3949" s="4" t="str">
        <f>HYPERLINK("http://141.218.60.56/~jnz1568/getInfo.php?workbook=16_08.xlsx&amp;sheet=U0&amp;row=3949&amp;col=7&amp;number=0.00311&amp;sourceID=14","0.00311")</f>
        <v>0.00311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HYPERLINK("http://141.218.60.56/~jnz1568/getInfo.php?workbook=16_08.xlsx&amp;sheet=U0&amp;row=3950&amp;col=6&amp;number=3.6&amp;sourceID=14","3.6")</f>
        <v>3.6</v>
      </c>
      <c r="G3950" s="4" t="str">
        <f>HYPERLINK("http://141.218.60.56/~jnz1568/getInfo.php?workbook=16_08.xlsx&amp;sheet=U0&amp;row=3950&amp;col=7&amp;number=0.00311&amp;sourceID=14","0.00311")</f>
        <v>0.00311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HYPERLINK("http://141.218.60.56/~jnz1568/getInfo.php?workbook=16_08.xlsx&amp;sheet=U0&amp;row=3951&amp;col=6&amp;number=3.7&amp;sourceID=14","3.7")</f>
        <v>3.7</v>
      </c>
      <c r="G3951" s="4" t="str">
        <f>HYPERLINK("http://141.218.60.56/~jnz1568/getInfo.php?workbook=16_08.xlsx&amp;sheet=U0&amp;row=3951&amp;col=7&amp;number=0.00311&amp;sourceID=14","0.00311")</f>
        <v>0.00311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HYPERLINK("http://141.218.60.56/~jnz1568/getInfo.php?workbook=16_08.xlsx&amp;sheet=U0&amp;row=3952&amp;col=6&amp;number=3.8&amp;sourceID=14","3.8")</f>
        <v>3.8</v>
      </c>
      <c r="G3952" s="4" t="str">
        <f>HYPERLINK("http://141.218.60.56/~jnz1568/getInfo.php?workbook=16_08.xlsx&amp;sheet=U0&amp;row=3952&amp;col=7&amp;number=0.00311&amp;sourceID=14","0.00311")</f>
        <v>0.00311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HYPERLINK("http://141.218.60.56/~jnz1568/getInfo.php?workbook=16_08.xlsx&amp;sheet=U0&amp;row=3953&amp;col=6&amp;number=3.9&amp;sourceID=14","3.9")</f>
        <v>3.9</v>
      </c>
      <c r="G3953" s="4" t="str">
        <f>HYPERLINK("http://141.218.60.56/~jnz1568/getInfo.php?workbook=16_08.xlsx&amp;sheet=U0&amp;row=3953&amp;col=7&amp;number=0.00311&amp;sourceID=14","0.00311")</f>
        <v>0.00311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HYPERLINK("http://141.218.60.56/~jnz1568/getInfo.php?workbook=16_08.xlsx&amp;sheet=U0&amp;row=3954&amp;col=6&amp;number=4&amp;sourceID=14","4")</f>
        <v>4</v>
      </c>
      <c r="G3954" s="4" t="str">
        <f>HYPERLINK("http://141.218.60.56/~jnz1568/getInfo.php?workbook=16_08.xlsx&amp;sheet=U0&amp;row=3954&amp;col=7&amp;number=0.00311&amp;sourceID=14","0.00311")</f>
        <v>0.00311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HYPERLINK("http://141.218.60.56/~jnz1568/getInfo.php?workbook=16_08.xlsx&amp;sheet=U0&amp;row=3955&amp;col=6&amp;number=4.1&amp;sourceID=14","4.1")</f>
        <v>4.1</v>
      </c>
      <c r="G3955" s="4" t="str">
        <f>HYPERLINK("http://141.218.60.56/~jnz1568/getInfo.php?workbook=16_08.xlsx&amp;sheet=U0&amp;row=3955&amp;col=7&amp;number=0.0031&amp;sourceID=14","0.0031")</f>
        <v>0.0031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HYPERLINK("http://141.218.60.56/~jnz1568/getInfo.php?workbook=16_08.xlsx&amp;sheet=U0&amp;row=3956&amp;col=6&amp;number=4.2&amp;sourceID=14","4.2")</f>
        <v>4.2</v>
      </c>
      <c r="G3956" s="4" t="str">
        <f>HYPERLINK("http://141.218.60.56/~jnz1568/getInfo.php?workbook=16_08.xlsx&amp;sheet=U0&amp;row=3956&amp;col=7&amp;number=0.0031&amp;sourceID=14","0.0031")</f>
        <v>0.0031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HYPERLINK("http://141.218.60.56/~jnz1568/getInfo.php?workbook=16_08.xlsx&amp;sheet=U0&amp;row=3957&amp;col=6&amp;number=4.3&amp;sourceID=14","4.3")</f>
        <v>4.3</v>
      </c>
      <c r="G3957" s="4" t="str">
        <f>HYPERLINK("http://141.218.60.56/~jnz1568/getInfo.php?workbook=16_08.xlsx&amp;sheet=U0&amp;row=3957&amp;col=7&amp;number=0.0031&amp;sourceID=14","0.0031")</f>
        <v>0.0031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HYPERLINK("http://141.218.60.56/~jnz1568/getInfo.php?workbook=16_08.xlsx&amp;sheet=U0&amp;row=3958&amp;col=6&amp;number=4.4&amp;sourceID=14","4.4")</f>
        <v>4.4</v>
      </c>
      <c r="G3958" s="4" t="str">
        <f>HYPERLINK("http://141.218.60.56/~jnz1568/getInfo.php?workbook=16_08.xlsx&amp;sheet=U0&amp;row=3958&amp;col=7&amp;number=0.0031&amp;sourceID=14","0.0031")</f>
        <v>0.0031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HYPERLINK("http://141.218.60.56/~jnz1568/getInfo.php?workbook=16_08.xlsx&amp;sheet=U0&amp;row=3959&amp;col=6&amp;number=4.5&amp;sourceID=14","4.5")</f>
        <v>4.5</v>
      </c>
      <c r="G3959" s="4" t="str">
        <f>HYPERLINK("http://141.218.60.56/~jnz1568/getInfo.php?workbook=16_08.xlsx&amp;sheet=U0&amp;row=3959&amp;col=7&amp;number=0.00309&amp;sourceID=14","0.00309")</f>
        <v>0.00309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HYPERLINK("http://141.218.60.56/~jnz1568/getInfo.php?workbook=16_08.xlsx&amp;sheet=U0&amp;row=3960&amp;col=6&amp;number=4.6&amp;sourceID=14","4.6")</f>
        <v>4.6</v>
      </c>
      <c r="G3960" s="4" t="str">
        <f>HYPERLINK("http://141.218.60.56/~jnz1568/getInfo.php?workbook=16_08.xlsx&amp;sheet=U0&amp;row=3960&amp;col=7&amp;number=0.00309&amp;sourceID=14","0.00309")</f>
        <v>0.00309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HYPERLINK("http://141.218.60.56/~jnz1568/getInfo.php?workbook=16_08.xlsx&amp;sheet=U0&amp;row=3961&amp;col=6&amp;number=4.7&amp;sourceID=14","4.7")</f>
        <v>4.7</v>
      </c>
      <c r="G3961" s="4" t="str">
        <f>HYPERLINK("http://141.218.60.56/~jnz1568/getInfo.php?workbook=16_08.xlsx&amp;sheet=U0&amp;row=3961&amp;col=7&amp;number=0.00308&amp;sourceID=14","0.00308")</f>
        <v>0.00308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HYPERLINK("http://141.218.60.56/~jnz1568/getInfo.php?workbook=16_08.xlsx&amp;sheet=U0&amp;row=3962&amp;col=6&amp;number=4.8&amp;sourceID=14","4.8")</f>
        <v>4.8</v>
      </c>
      <c r="G3962" s="4" t="str">
        <f>HYPERLINK("http://141.218.60.56/~jnz1568/getInfo.php?workbook=16_08.xlsx&amp;sheet=U0&amp;row=3962&amp;col=7&amp;number=0.00307&amp;sourceID=14","0.00307")</f>
        <v>0.00307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HYPERLINK("http://141.218.60.56/~jnz1568/getInfo.php?workbook=16_08.xlsx&amp;sheet=U0&amp;row=3963&amp;col=6&amp;number=4.9&amp;sourceID=14","4.9")</f>
        <v>4.9</v>
      </c>
      <c r="G3963" s="4" t="str">
        <f>HYPERLINK("http://141.218.60.56/~jnz1568/getInfo.php?workbook=16_08.xlsx&amp;sheet=U0&amp;row=3963&amp;col=7&amp;number=0.00306&amp;sourceID=14","0.00306")</f>
        <v>0.00306</v>
      </c>
    </row>
    <row r="3964" spans="1:7">
      <c r="A3964" s="3">
        <v>16</v>
      </c>
      <c r="B3964" s="3">
        <v>8</v>
      </c>
      <c r="C3964" s="3">
        <v>3</v>
      </c>
      <c r="D3964" s="3">
        <v>33</v>
      </c>
      <c r="E3964" s="3">
        <v>1</v>
      </c>
      <c r="F3964" s="4" t="str">
        <f>HYPERLINK("http://141.218.60.56/~jnz1568/getInfo.php?workbook=16_08.xlsx&amp;sheet=U0&amp;row=3964&amp;col=6&amp;number=3&amp;sourceID=14","3")</f>
        <v>3</v>
      </c>
      <c r="G3964" s="4" t="str">
        <f>HYPERLINK("http://141.218.60.56/~jnz1568/getInfo.php?workbook=16_08.xlsx&amp;sheet=U0&amp;row=3964&amp;col=7&amp;number=8.9e-06&amp;sourceID=14","8.9e-06")</f>
        <v>8.9e-06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HYPERLINK("http://141.218.60.56/~jnz1568/getInfo.php?workbook=16_08.xlsx&amp;sheet=U0&amp;row=3965&amp;col=6&amp;number=3.1&amp;sourceID=14","3.1")</f>
        <v>3.1</v>
      </c>
      <c r="G3965" s="4" t="str">
        <f>HYPERLINK("http://141.218.60.56/~jnz1568/getInfo.php?workbook=16_08.xlsx&amp;sheet=U0&amp;row=3965&amp;col=7&amp;number=8.9e-06&amp;sourceID=14","8.9e-06")</f>
        <v>8.9e-06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HYPERLINK("http://141.218.60.56/~jnz1568/getInfo.php?workbook=16_08.xlsx&amp;sheet=U0&amp;row=3966&amp;col=6&amp;number=3.2&amp;sourceID=14","3.2")</f>
        <v>3.2</v>
      </c>
      <c r="G3966" s="4" t="str">
        <f>HYPERLINK("http://141.218.60.56/~jnz1568/getInfo.php?workbook=16_08.xlsx&amp;sheet=U0&amp;row=3966&amp;col=7&amp;number=8.9e-06&amp;sourceID=14","8.9e-06")</f>
        <v>8.9e-06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HYPERLINK("http://141.218.60.56/~jnz1568/getInfo.php?workbook=16_08.xlsx&amp;sheet=U0&amp;row=3967&amp;col=6&amp;number=3.3&amp;sourceID=14","3.3")</f>
        <v>3.3</v>
      </c>
      <c r="G3967" s="4" t="str">
        <f>HYPERLINK("http://141.218.60.56/~jnz1568/getInfo.php?workbook=16_08.xlsx&amp;sheet=U0&amp;row=3967&amp;col=7&amp;number=8.9e-06&amp;sourceID=14","8.9e-06")</f>
        <v>8.9e-06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HYPERLINK("http://141.218.60.56/~jnz1568/getInfo.php?workbook=16_08.xlsx&amp;sheet=U0&amp;row=3968&amp;col=6&amp;number=3.4&amp;sourceID=14","3.4")</f>
        <v>3.4</v>
      </c>
      <c r="G3968" s="4" t="str">
        <f>HYPERLINK("http://141.218.60.56/~jnz1568/getInfo.php?workbook=16_08.xlsx&amp;sheet=U0&amp;row=3968&amp;col=7&amp;number=8.9e-06&amp;sourceID=14","8.9e-06")</f>
        <v>8.9e-06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HYPERLINK("http://141.218.60.56/~jnz1568/getInfo.php?workbook=16_08.xlsx&amp;sheet=U0&amp;row=3969&amp;col=6&amp;number=3.5&amp;sourceID=14","3.5")</f>
        <v>3.5</v>
      </c>
      <c r="G3969" s="4" t="str">
        <f>HYPERLINK("http://141.218.60.56/~jnz1568/getInfo.php?workbook=16_08.xlsx&amp;sheet=U0&amp;row=3969&amp;col=7&amp;number=8.89e-06&amp;sourceID=14","8.89e-06")</f>
        <v>8.89e-06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HYPERLINK("http://141.218.60.56/~jnz1568/getInfo.php?workbook=16_08.xlsx&amp;sheet=U0&amp;row=3970&amp;col=6&amp;number=3.6&amp;sourceID=14","3.6")</f>
        <v>3.6</v>
      </c>
      <c r="G3970" s="4" t="str">
        <f>HYPERLINK("http://141.218.60.56/~jnz1568/getInfo.php?workbook=16_08.xlsx&amp;sheet=U0&amp;row=3970&amp;col=7&amp;number=8.89e-06&amp;sourceID=14","8.89e-06")</f>
        <v>8.89e-06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HYPERLINK("http://141.218.60.56/~jnz1568/getInfo.php?workbook=16_08.xlsx&amp;sheet=U0&amp;row=3971&amp;col=6&amp;number=3.7&amp;sourceID=14","3.7")</f>
        <v>3.7</v>
      </c>
      <c r="G3971" s="4" t="str">
        <f>HYPERLINK("http://141.218.60.56/~jnz1568/getInfo.php?workbook=16_08.xlsx&amp;sheet=U0&amp;row=3971&amp;col=7&amp;number=8.89e-06&amp;sourceID=14","8.89e-06")</f>
        <v>8.89e-06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HYPERLINK("http://141.218.60.56/~jnz1568/getInfo.php?workbook=16_08.xlsx&amp;sheet=U0&amp;row=3972&amp;col=6&amp;number=3.8&amp;sourceID=14","3.8")</f>
        <v>3.8</v>
      </c>
      <c r="G3972" s="4" t="str">
        <f>HYPERLINK("http://141.218.60.56/~jnz1568/getInfo.php?workbook=16_08.xlsx&amp;sheet=U0&amp;row=3972&amp;col=7&amp;number=8.89e-06&amp;sourceID=14","8.89e-06")</f>
        <v>8.89e-06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HYPERLINK("http://141.218.60.56/~jnz1568/getInfo.php?workbook=16_08.xlsx&amp;sheet=U0&amp;row=3973&amp;col=6&amp;number=3.9&amp;sourceID=14","3.9")</f>
        <v>3.9</v>
      </c>
      <c r="G3973" s="4" t="str">
        <f>HYPERLINK("http://141.218.60.56/~jnz1568/getInfo.php?workbook=16_08.xlsx&amp;sheet=U0&amp;row=3973&amp;col=7&amp;number=8.88e-06&amp;sourceID=14","8.88e-06")</f>
        <v>8.88e-06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HYPERLINK("http://141.218.60.56/~jnz1568/getInfo.php?workbook=16_08.xlsx&amp;sheet=U0&amp;row=3974&amp;col=6&amp;number=4&amp;sourceID=14","4")</f>
        <v>4</v>
      </c>
      <c r="G3974" s="4" t="str">
        <f>HYPERLINK("http://141.218.60.56/~jnz1568/getInfo.php?workbook=16_08.xlsx&amp;sheet=U0&amp;row=3974&amp;col=7&amp;number=8.88e-06&amp;sourceID=14","8.88e-06")</f>
        <v>8.88e-06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HYPERLINK("http://141.218.60.56/~jnz1568/getInfo.php?workbook=16_08.xlsx&amp;sheet=U0&amp;row=3975&amp;col=6&amp;number=4.1&amp;sourceID=14","4.1")</f>
        <v>4.1</v>
      </c>
      <c r="G3975" s="4" t="str">
        <f>HYPERLINK("http://141.218.60.56/~jnz1568/getInfo.php?workbook=16_08.xlsx&amp;sheet=U0&amp;row=3975&amp;col=7&amp;number=8.87e-06&amp;sourceID=14","8.87e-06")</f>
        <v>8.87e-06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HYPERLINK("http://141.218.60.56/~jnz1568/getInfo.php?workbook=16_08.xlsx&amp;sheet=U0&amp;row=3976&amp;col=6&amp;number=4.2&amp;sourceID=14","4.2")</f>
        <v>4.2</v>
      </c>
      <c r="G3976" s="4" t="str">
        <f>HYPERLINK("http://141.218.60.56/~jnz1568/getInfo.php?workbook=16_08.xlsx&amp;sheet=U0&amp;row=3976&amp;col=7&amp;number=8.87e-06&amp;sourceID=14","8.87e-06")</f>
        <v>8.87e-06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HYPERLINK("http://141.218.60.56/~jnz1568/getInfo.php?workbook=16_08.xlsx&amp;sheet=U0&amp;row=3977&amp;col=6&amp;number=4.3&amp;sourceID=14","4.3")</f>
        <v>4.3</v>
      </c>
      <c r="G3977" s="4" t="str">
        <f>HYPERLINK("http://141.218.60.56/~jnz1568/getInfo.php?workbook=16_08.xlsx&amp;sheet=U0&amp;row=3977&amp;col=7&amp;number=8.86e-06&amp;sourceID=14","8.86e-06")</f>
        <v>8.86e-06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HYPERLINK("http://141.218.60.56/~jnz1568/getInfo.php?workbook=16_08.xlsx&amp;sheet=U0&amp;row=3978&amp;col=6&amp;number=4.4&amp;sourceID=14","4.4")</f>
        <v>4.4</v>
      </c>
      <c r="G3978" s="4" t="str">
        <f>HYPERLINK("http://141.218.60.56/~jnz1568/getInfo.php?workbook=16_08.xlsx&amp;sheet=U0&amp;row=3978&amp;col=7&amp;number=8.85e-06&amp;sourceID=14","8.85e-06")</f>
        <v>8.85e-06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HYPERLINK("http://141.218.60.56/~jnz1568/getInfo.php?workbook=16_08.xlsx&amp;sheet=U0&amp;row=3979&amp;col=6&amp;number=4.5&amp;sourceID=14","4.5")</f>
        <v>4.5</v>
      </c>
      <c r="G3979" s="4" t="str">
        <f>HYPERLINK("http://141.218.60.56/~jnz1568/getInfo.php?workbook=16_08.xlsx&amp;sheet=U0&amp;row=3979&amp;col=7&amp;number=8.83e-06&amp;sourceID=14","8.83e-06")</f>
        <v>8.83e-06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HYPERLINK("http://141.218.60.56/~jnz1568/getInfo.php?workbook=16_08.xlsx&amp;sheet=U0&amp;row=3980&amp;col=6&amp;number=4.6&amp;sourceID=14","4.6")</f>
        <v>4.6</v>
      </c>
      <c r="G3980" s="4" t="str">
        <f>HYPERLINK("http://141.218.60.56/~jnz1568/getInfo.php?workbook=16_08.xlsx&amp;sheet=U0&amp;row=3980&amp;col=7&amp;number=8.81e-06&amp;sourceID=14","8.81e-06")</f>
        <v>8.81e-06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HYPERLINK("http://141.218.60.56/~jnz1568/getInfo.php?workbook=16_08.xlsx&amp;sheet=U0&amp;row=3981&amp;col=6&amp;number=4.7&amp;sourceID=14","4.7")</f>
        <v>4.7</v>
      </c>
      <c r="G3981" s="4" t="str">
        <f>HYPERLINK("http://141.218.60.56/~jnz1568/getInfo.php?workbook=16_08.xlsx&amp;sheet=U0&amp;row=3981&amp;col=7&amp;number=8.79e-06&amp;sourceID=14","8.79e-06")</f>
        <v>8.79e-06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HYPERLINK("http://141.218.60.56/~jnz1568/getInfo.php?workbook=16_08.xlsx&amp;sheet=U0&amp;row=3982&amp;col=6&amp;number=4.8&amp;sourceID=14","4.8")</f>
        <v>4.8</v>
      </c>
      <c r="G3982" s="4" t="str">
        <f>HYPERLINK("http://141.218.60.56/~jnz1568/getInfo.php?workbook=16_08.xlsx&amp;sheet=U0&amp;row=3982&amp;col=7&amp;number=8.76e-06&amp;sourceID=14","8.76e-06")</f>
        <v>8.76e-06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HYPERLINK("http://141.218.60.56/~jnz1568/getInfo.php?workbook=16_08.xlsx&amp;sheet=U0&amp;row=3983&amp;col=6&amp;number=4.9&amp;sourceID=14","4.9")</f>
        <v>4.9</v>
      </c>
      <c r="G3983" s="4" t="str">
        <f>HYPERLINK("http://141.218.60.56/~jnz1568/getInfo.php?workbook=16_08.xlsx&amp;sheet=U0&amp;row=3983&amp;col=7&amp;number=8.72e-06&amp;sourceID=14","8.72e-06")</f>
        <v>8.72e-06</v>
      </c>
    </row>
    <row r="3984" spans="1:7">
      <c r="A3984" s="3">
        <v>16</v>
      </c>
      <c r="B3984" s="3">
        <v>8</v>
      </c>
      <c r="C3984" s="3">
        <v>3</v>
      </c>
      <c r="D3984" s="3">
        <v>34</v>
      </c>
      <c r="E3984" s="3">
        <v>1</v>
      </c>
      <c r="F3984" s="4" t="str">
        <f>HYPERLINK("http://141.218.60.56/~jnz1568/getInfo.php?workbook=16_08.xlsx&amp;sheet=U0&amp;row=3984&amp;col=6&amp;number=3&amp;sourceID=14","3")</f>
        <v>3</v>
      </c>
      <c r="G3984" s="4" t="str">
        <f>HYPERLINK("http://141.218.60.56/~jnz1568/getInfo.php?workbook=16_08.xlsx&amp;sheet=U0&amp;row=3984&amp;col=7&amp;number=0.00337&amp;sourceID=14","0.00337")</f>
        <v>0.00337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HYPERLINK("http://141.218.60.56/~jnz1568/getInfo.php?workbook=16_08.xlsx&amp;sheet=U0&amp;row=3985&amp;col=6&amp;number=3.1&amp;sourceID=14","3.1")</f>
        <v>3.1</v>
      </c>
      <c r="G3985" s="4" t="str">
        <f>HYPERLINK("http://141.218.60.56/~jnz1568/getInfo.php?workbook=16_08.xlsx&amp;sheet=U0&amp;row=3985&amp;col=7&amp;number=0.00337&amp;sourceID=14","0.00337")</f>
        <v>0.00337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HYPERLINK("http://141.218.60.56/~jnz1568/getInfo.php?workbook=16_08.xlsx&amp;sheet=U0&amp;row=3986&amp;col=6&amp;number=3.2&amp;sourceID=14","3.2")</f>
        <v>3.2</v>
      </c>
      <c r="G3986" s="4" t="str">
        <f>HYPERLINK("http://141.218.60.56/~jnz1568/getInfo.php?workbook=16_08.xlsx&amp;sheet=U0&amp;row=3986&amp;col=7&amp;number=0.00337&amp;sourceID=14","0.00337")</f>
        <v>0.00337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HYPERLINK("http://141.218.60.56/~jnz1568/getInfo.php?workbook=16_08.xlsx&amp;sheet=U0&amp;row=3987&amp;col=6&amp;number=3.3&amp;sourceID=14","3.3")</f>
        <v>3.3</v>
      </c>
      <c r="G3987" s="4" t="str">
        <f>HYPERLINK("http://141.218.60.56/~jnz1568/getInfo.php?workbook=16_08.xlsx&amp;sheet=U0&amp;row=3987&amp;col=7&amp;number=0.00337&amp;sourceID=14","0.00337")</f>
        <v>0.00337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HYPERLINK("http://141.218.60.56/~jnz1568/getInfo.php?workbook=16_08.xlsx&amp;sheet=U0&amp;row=3988&amp;col=6&amp;number=3.4&amp;sourceID=14","3.4")</f>
        <v>3.4</v>
      </c>
      <c r="G3988" s="4" t="str">
        <f>HYPERLINK("http://141.218.60.56/~jnz1568/getInfo.php?workbook=16_08.xlsx&amp;sheet=U0&amp;row=3988&amp;col=7&amp;number=0.00337&amp;sourceID=14","0.00337")</f>
        <v>0.00337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HYPERLINK("http://141.218.60.56/~jnz1568/getInfo.php?workbook=16_08.xlsx&amp;sheet=U0&amp;row=3989&amp;col=6&amp;number=3.5&amp;sourceID=14","3.5")</f>
        <v>3.5</v>
      </c>
      <c r="G3989" s="4" t="str">
        <f>HYPERLINK("http://141.218.60.56/~jnz1568/getInfo.php?workbook=16_08.xlsx&amp;sheet=U0&amp;row=3989&amp;col=7&amp;number=0.00337&amp;sourceID=14","0.00337")</f>
        <v>0.00337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HYPERLINK("http://141.218.60.56/~jnz1568/getInfo.php?workbook=16_08.xlsx&amp;sheet=U0&amp;row=3990&amp;col=6&amp;number=3.6&amp;sourceID=14","3.6")</f>
        <v>3.6</v>
      </c>
      <c r="G3990" s="4" t="str">
        <f>HYPERLINK("http://141.218.60.56/~jnz1568/getInfo.php?workbook=16_08.xlsx&amp;sheet=U0&amp;row=3990&amp;col=7&amp;number=0.00337&amp;sourceID=14","0.00337")</f>
        <v>0.00337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HYPERLINK("http://141.218.60.56/~jnz1568/getInfo.php?workbook=16_08.xlsx&amp;sheet=U0&amp;row=3991&amp;col=6&amp;number=3.7&amp;sourceID=14","3.7")</f>
        <v>3.7</v>
      </c>
      <c r="G3991" s="4" t="str">
        <f>HYPERLINK("http://141.218.60.56/~jnz1568/getInfo.php?workbook=16_08.xlsx&amp;sheet=U0&amp;row=3991&amp;col=7&amp;number=0.00337&amp;sourceID=14","0.00337")</f>
        <v>0.00337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HYPERLINK("http://141.218.60.56/~jnz1568/getInfo.php?workbook=16_08.xlsx&amp;sheet=U0&amp;row=3992&amp;col=6&amp;number=3.8&amp;sourceID=14","3.8")</f>
        <v>3.8</v>
      </c>
      <c r="G3992" s="4" t="str">
        <f>HYPERLINK("http://141.218.60.56/~jnz1568/getInfo.php?workbook=16_08.xlsx&amp;sheet=U0&amp;row=3992&amp;col=7&amp;number=0.00337&amp;sourceID=14","0.00337")</f>
        <v>0.00337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HYPERLINK("http://141.218.60.56/~jnz1568/getInfo.php?workbook=16_08.xlsx&amp;sheet=U0&amp;row=3993&amp;col=6&amp;number=3.9&amp;sourceID=14","3.9")</f>
        <v>3.9</v>
      </c>
      <c r="G3993" s="4" t="str">
        <f>HYPERLINK("http://141.218.60.56/~jnz1568/getInfo.php?workbook=16_08.xlsx&amp;sheet=U0&amp;row=3993&amp;col=7&amp;number=0.00336&amp;sourceID=14","0.00336")</f>
        <v>0.00336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HYPERLINK("http://141.218.60.56/~jnz1568/getInfo.php?workbook=16_08.xlsx&amp;sheet=U0&amp;row=3994&amp;col=6&amp;number=4&amp;sourceID=14","4")</f>
        <v>4</v>
      </c>
      <c r="G3994" s="4" t="str">
        <f>HYPERLINK("http://141.218.60.56/~jnz1568/getInfo.php?workbook=16_08.xlsx&amp;sheet=U0&amp;row=3994&amp;col=7&amp;number=0.00336&amp;sourceID=14","0.00336")</f>
        <v>0.00336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HYPERLINK("http://141.218.60.56/~jnz1568/getInfo.php?workbook=16_08.xlsx&amp;sheet=U0&amp;row=3995&amp;col=6&amp;number=4.1&amp;sourceID=14","4.1")</f>
        <v>4.1</v>
      </c>
      <c r="G3995" s="4" t="str">
        <f>HYPERLINK("http://141.218.60.56/~jnz1568/getInfo.php?workbook=16_08.xlsx&amp;sheet=U0&amp;row=3995&amp;col=7&amp;number=0.00336&amp;sourceID=14","0.00336")</f>
        <v>0.00336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HYPERLINK("http://141.218.60.56/~jnz1568/getInfo.php?workbook=16_08.xlsx&amp;sheet=U0&amp;row=3996&amp;col=6&amp;number=4.2&amp;sourceID=14","4.2")</f>
        <v>4.2</v>
      </c>
      <c r="G3996" s="4" t="str">
        <f>HYPERLINK("http://141.218.60.56/~jnz1568/getInfo.php?workbook=16_08.xlsx&amp;sheet=U0&amp;row=3996&amp;col=7&amp;number=0.00335&amp;sourceID=14","0.00335")</f>
        <v>0.00335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HYPERLINK("http://141.218.60.56/~jnz1568/getInfo.php?workbook=16_08.xlsx&amp;sheet=U0&amp;row=3997&amp;col=6&amp;number=4.3&amp;sourceID=14","4.3")</f>
        <v>4.3</v>
      </c>
      <c r="G3997" s="4" t="str">
        <f>HYPERLINK("http://141.218.60.56/~jnz1568/getInfo.php?workbook=16_08.xlsx&amp;sheet=U0&amp;row=3997&amp;col=7&amp;number=0.00335&amp;sourceID=14","0.00335")</f>
        <v>0.00335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HYPERLINK("http://141.218.60.56/~jnz1568/getInfo.php?workbook=16_08.xlsx&amp;sheet=U0&amp;row=3998&amp;col=6&amp;number=4.4&amp;sourceID=14","4.4")</f>
        <v>4.4</v>
      </c>
      <c r="G3998" s="4" t="str">
        <f>HYPERLINK("http://141.218.60.56/~jnz1568/getInfo.php?workbook=16_08.xlsx&amp;sheet=U0&amp;row=3998&amp;col=7&amp;number=0.00334&amp;sourceID=14","0.00334")</f>
        <v>0.00334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HYPERLINK("http://141.218.60.56/~jnz1568/getInfo.php?workbook=16_08.xlsx&amp;sheet=U0&amp;row=3999&amp;col=6&amp;number=4.5&amp;sourceID=14","4.5")</f>
        <v>4.5</v>
      </c>
      <c r="G3999" s="4" t="str">
        <f>HYPERLINK("http://141.218.60.56/~jnz1568/getInfo.php?workbook=16_08.xlsx&amp;sheet=U0&amp;row=3999&amp;col=7&amp;number=0.00334&amp;sourceID=14","0.00334")</f>
        <v>0.00334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HYPERLINK("http://141.218.60.56/~jnz1568/getInfo.php?workbook=16_08.xlsx&amp;sheet=U0&amp;row=4000&amp;col=6&amp;number=4.6&amp;sourceID=14","4.6")</f>
        <v>4.6</v>
      </c>
      <c r="G4000" s="4" t="str">
        <f>HYPERLINK("http://141.218.60.56/~jnz1568/getInfo.php?workbook=16_08.xlsx&amp;sheet=U0&amp;row=4000&amp;col=7&amp;number=0.00333&amp;sourceID=14","0.00333")</f>
        <v>0.00333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HYPERLINK("http://141.218.60.56/~jnz1568/getInfo.php?workbook=16_08.xlsx&amp;sheet=U0&amp;row=4001&amp;col=6&amp;number=4.7&amp;sourceID=14","4.7")</f>
        <v>4.7</v>
      </c>
      <c r="G4001" s="4" t="str">
        <f>HYPERLINK("http://141.218.60.56/~jnz1568/getInfo.php?workbook=16_08.xlsx&amp;sheet=U0&amp;row=4001&amp;col=7&amp;number=0.00331&amp;sourceID=14","0.00331")</f>
        <v>0.00331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HYPERLINK("http://141.218.60.56/~jnz1568/getInfo.php?workbook=16_08.xlsx&amp;sheet=U0&amp;row=4002&amp;col=6&amp;number=4.8&amp;sourceID=14","4.8")</f>
        <v>4.8</v>
      </c>
      <c r="G4002" s="4" t="str">
        <f>HYPERLINK("http://141.218.60.56/~jnz1568/getInfo.php?workbook=16_08.xlsx&amp;sheet=U0&amp;row=4002&amp;col=7&amp;number=0.0033&amp;sourceID=14","0.0033")</f>
        <v>0.0033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HYPERLINK("http://141.218.60.56/~jnz1568/getInfo.php?workbook=16_08.xlsx&amp;sheet=U0&amp;row=4003&amp;col=6&amp;number=4.9&amp;sourceID=14","4.9")</f>
        <v>4.9</v>
      </c>
      <c r="G4003" s="4" t="str">
        <f>HYPERLINK("http://141.218.60.56/~jnz1568/getInfo.php?workbook=16_08.xlsx&amp;sheet=U0&amp;row=4003&amp;col=7&amp;number=0.00328&amp;sourceID=14","0.00328")</f>
        <v>0.00328</v>
      </c>
    </row>
    <row r="4004" spans="1:7">
      <c r="A4004" s="3">
        <v>16</v>
      </c>
      <c r="B4004" s="3">
        <v>8</v>
      </c>
      <c r="C4004" s="3">
        <v>3</v>
      </c>
      <c r="D4004" s="3">
        <v>35</v>
      </c>
      <c r="E4004" s="3">
        <v>1</v>
      </c>
      <c r="F4004" s="4" t="str">
        <f>HYPERLINK("http://141.218.60.56/~jnz1568/getInfo.php?workbook=16_08.xlsx&amp;sheet=U0&amp;row=4004&amp;col=6&amp;number=3&amp;sourceID=14","3")</f>
        <v>3</v>
      </c>
      <c r="G4004" s="4" t="str">
        <f>HYPERLINK("http://141.218.60.56/~jnz1568/getInfo.php?workbook=16_08.xlsx&amp;sheet=U0&amp;row=4004&amp;col=7&amp;number=0.0325&amp;sourceID=14","0.0325")</f>
        <v>0.0325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HYPERLINK("http://141.218.60.56/~jnz1568/getInfo.php?workbook=16_08.xlsx&amp;sheet=U0&amp;row=4005&amp;col=6&amp;number=3.1&amp;sourceID=14","3.1")</f>
        <v>3.1</v>
      </c>
      <c r="G4005" s="4" t="str">
        <f>HYPERLINK("http://141.218.60.56/~jnz1568/getInfo.php?workbook=16_08.xlsx&amp;sheet=U0&amp;row=4005&amp;col=7&amp;number=0.0325&amp;sourceID=14","0.0325")</f>
        <v>0.0325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HYPERLINK("http://141.218.60.56/~jnz1568/getInfo.php?workbook=16_08.xlsx&amp;sheet=U0&amp;row=4006&amp;col=6&amp;number=3.2&amp;sourceID=14","3.2")</f>
        <v>3.2</v>
      </c>
      <c r="G4006" s="4" t="str">
        <f>HYPERLINK("http://141.218.60.56/~jnz1568/getInfo.php?workbook=16_08.xlsx&amp;sheet=U0&amp;row=4006&amp;col=7&amp;number=0.0325&amp;sourceID=14","0.0325")</f>
        <v>0.0325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HYPERLINK("http://141.218.60.56/~jnz1568/getInfo.php?workbook=16_08.xlsx&amp;sheet=U0&amp;row=4007&amp;col=6&amp;number=3.3&amp;sourceID=14","3.3")</f>
        <v>3.3</v>
      </c>
      <c r="G4007" s="4" t="str">
        <f>HYPERLINK("http://141.218.60.56/~jnz1568/getInfo.php?workbook=16_08.xlsx&amp;sheet=U0&amp;row=4007&amp;col=7&amp;number=0.0325&amp;sourceID=14","0.0325")</f>
        <v>0.0325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HYPERLINK("http://141.218.60.56/~jnz1568/getInfo.php?workbook=16_08.xlsx&amp;sheet=U0&amp;row=4008&amp;col=6&amp;number=3.4&amp;sourceID=14","3.4")</f>
        <v>3.4</v>
      </c>
      <c r="G4008" s="4" t="str">
        <f>HYPERLINK("http://141.218.60.56/~jnz1568/getInfo.php?workbook=16_08.xlsx&amp;sheet=U0&amp;row=4008&amp;col=7&amp;number=0.0325&amp;sourceID=14","0.0325")</f>
        <v>0.0325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HYPERLINK("http://141.218.60.56/~jnz1568/getInfo.php?workbook=16_08.xlsx&amp;sheet=U0&amp;row=4009&amp;col=6&amp;number=3.5&amp;sourceID=14","3.5")</f>
        <v>3.5</v>
      </c>
      <c r="G4009" s="4" t="str">
        <f>HYPERLINK("http://141.218.60.56/~jnz1568/getInfo.php?workbook=16_08.xlsx&amp;sheet=U0&amp;row=4009&amp;col=7&amp;number=0.0325&amp;sourceID=14","0.0325")</f>
        <v>0.0325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HYPERLINK("http://141.218.60.56/~jnz1568/getInfo.php?workbook=16_08.xlsx&amp;sheet=U0&amp;row=4010&amp;col=6&amp;number=3.6&amp;sourceID=14","3.6")</f>
        <v>3.6</v>
      </c>
      <c r="G4010" s="4" t="str">
        <f>HYPERLINK("http://141.218.60.56/~jnz1568/getInfo.php?workbook=16_08.xlsx&amp;sheet=U0&amp;row=4010&amp;col=7&amp;number=0.0325&amp;sourceID=14","0.0325")</f>
        <v>0.0325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HYPERLINK("http://141.218.60.56/~jnz1568/getInfo.php?workbook=16_08.xlsx&amp;sheet=U0&amp;row=4011&amp;col=6&amp;number=3.7&amp;sourceID=14","3.7")</f>
        <v>3.7</v>
      </c>
      <c r="G4011" s="4" t="str">
        <f>HYPERLINK("http://141.218.60.56/~jnz1568/getInfo.php?workbook=16_08.xlsx&amp;sheet=U0&amp;row=4011&amp;col=7&amp;number=0.0325&amp;sourceID=14","0.0325")</f>
        <v>0.0325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HYPERLINK("http://141.218.60.56/~jnz1568/getInfo.php?workbook=16_08.xlsx&amp;sheet=U0&amp;row=4012&amp;col=6&amp;number=3.8&amp;sourceID=14","3.8")</f>
        <v>3.8</v>
      </c>
      <c r="G4012" s="4" t="str">
        <f>HYPERLINK("http://141.218.60.56/~jnz1568/getInfo.php?workbook=16_08.xlsx&amp;sheet=U0&amp;row=4012&amp;col=7&amp;number=0.0325&amp;sourceID=14","0.0325")</f>
        <v>0.0325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HYPERLINK("http://141.218.60.56/~jnz1568/getInfo.php?workbook=16_08.xlsx&amp;sheet=U0&amp;row=4013&amp;col=6&amp;number=3.9&amp;sourceID=14","3.9")</f>
        <v>3.9</v>
      </c>
      <c r="G4013" s="4" t="str">
        <f>HYPERLINK("http://141.218.60.56/~jnz1568/getInfo.php?workbook=16_08.xlsx&amp;sheet=U0&amp;row=4013&amp;col=7&amp;number=0.0326&amp;sourceID=14","0.0326")</f>
        <v>0.0326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HYPERLINK("http://141.218.60.56/~jnz1568/getInfo.php?workbook=16_08.xlsx&amp;sheet=U0&amp;row=4014&amp;col=6&amp;number=4&amp;sourceID=14","4")</f>
        <v>4</v>
      </c>
      <c r="G4014" s="4" t="str">
        <f>HYPERLINK("http://141.218.60.56/~jnz1568/getInfo.php?workbook=16_08.xlsx&amp;sheet=U0&amp;row=4014&amp;col=7&amp;number=0.0326&amp;sourceID=14","0.0326")</f>
        <v>0.0326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HYPERLINK("http://141.218.60.56/~jnz1568/getInfo.php?workbook=16_08.xlsx&amp;sheet=U0&amp;row=4015&amp;col=6&amp;number=4.1&amp;sourceID=14","4.1")</f>
        <v>4.1</v>
      </c>
      <c r="G4015" s="4" t="str">
        <f>HYPERLINK("http://141.218.60.56/~jnz1568/getInfo.php?workbook=16_08.xlsx&amp;sheet=U0&amp;row=4015&amp;col=7&amp;number=0.0326&amp;sourceID=14","0.0326")</f>
        <v>0.0326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HYPERLINK("http://141.218.60.56/~jnz1568/getInfo.php?workbook=16_08.xlsx&amp;sheet=U0&amp;row=4016&amp;col=6&amp;number=4.2&amp;sourceID=14","4.2")</f>
        <v>4.2</v>
      </c>
      <c r="G4016" s="4" t="str">
        <f>HYPERLINK("http://141.218.60.56/~jnz1568/getInfo.php?workbook=16_08.xlsx&amp;sheet=U0&amp;row=4016&amp;col=7&amp;number=0.0326&amp;sourceID=14","0.0326")</f>
        <v>0.0326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HYPERLINK("http://141.218.60.56/~jnz1568/getInfo.php?workbook=16_08.xlsx&amp;sheet=U0&amp;row=4017&amp;col=6&amp;number=4.3&amp;sourceID=14","4.3")</f>
        <v>4.3</v>
      </c>
      <c r="G4017" s="4" t="str">
        <f>HYPERLINK("http://141.218.60.56/~jnz1568/getInfo.php?workbook=16_08.xlsx&amp;sheet=U0&amp;row=4017&amp;col=7&amp;number=0.0326&amp;sourceID=14","0.0326")</f>
        <v>0.0326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HYPERLINK("http://141.218.60.56/~jnz1568/getInfo.php?workbook=16_08.xlsx&amp;sheet=U0&amp;row=4018&amp;col=6&amp;number=4.4&amp;sourceID=14","4.4")</f>
        <v>4.4</v>
      </c>
      <c r="G4018" s="4" t="str">
        <f>HYPERLINK("http://141.218.60.56/~jnz1568/getInfo.php?workbook=16_08.xlsx&amp;sheet=U0&amp;row=4018&amp;col=7&amp;number=0.0326&amp;sourceID=14","0.0326")</f>
        <v>0.0326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HYPERLINK("http://141.218.60.56/~jnz1568/getInfo.php?workbook=16_08.xlsx&amp;sheet=U0&amp;row=4019&amp;col=6&amp;number=4.5&amp;sourceID=14","4.5")</f>
        <v>4.5</v>
      </c>
      <c r="G4019" s="4" t="str">
        <f>HYPERLINK("http://141.218.60.56/~jnz1568/getInfo.php?workbook=16_08.xlsx&amp;sheet=U0&amp;row=4019&amp;col=7&amp;number=0.0326&amp;sourceID=14","0.0326")</f>
        <v>0.0326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HYPERLINK("http://141.218.60.56/~jnz1568/getInfo.php?workbook=16_08.xlsx&amp;sheet=U0&amp;row=4020&amp;col=6&amp;number=4.6&amp;sourceID=14","4.6")</f>
        <v>4.6</v>
      </c>
      <c r="G4020" s="4" t="str">
        <f>HYPERLINK("http://141.218.60.56/~jnz1568/getInfo.php?workbook=16_08.xlsx&amp;sheet=U0&amp;row=4020&amp;col=7&amp;number=0.0326&amp;sourceID=14","0.0326")</f>
        <v>0.0326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HYPERLINK("http://141.218.60.56/~jnz1568/getInfo.php?workbook=16_08.xlsx&amp;sheet=U0&amp;row=4021&amp;col=6&amp;number=4.7&amp;sourceID=14","4.7")</f>
        <v>4.7</v>
      </c>
      <c r="G4021" s="4" t="str">
        <f>HYPERLINK("http://141.218.60.56/~jnz1568/getInfo.php?workbook=16_08.xlsx&amp;sheet=U0&amp;row=4021&amp;col=7&amp;number=0.0326&amp;sourceID=14","0.0326")</f>
        <v>0.0326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HYPERLINK("http://141.218.60.56/~jnz1568/getInfo.php?workbook=16_08.xlsx&amp;sheet=U0&amp;row=4022&amp;col=6&amp;number=4.8&amp;sourceID=14","4.8")</f>
        <v>4.8</v>
      </c>
      <c r="G4022" s="4" t="str">
        <f>HYPERLINK("http://141.218.60.56/~jnz1568/getInfo.php?workbook=16_08.xlsx&amp;sheet=U0&amp;row=4022&amp;col=7&amp;number=0.0326&amp;sourceID=14","0.0326")</f>
        <v>0.0326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HYPERLINK("http://141.218.60.56/~jnz1568/getInfo.php?workbook=16_08.xlsx&amp;sheet=U0&amp;row=4023&amp;col=6&amp;number=4.9&amp;sourceID=14","4.9")</f>
        <v>4.9</v>
      </c>
      <c r="G4023" s="4" t="str">
        <f>HYPERLINK("http://141.218.60.56/~jnz1568/getInfo.php?workbook=16_08.xlsx&amp;sheet=U0&amp;row=4023&amp;col=7&amp;number=0.0327&amp;sourceID=14","0.0327")</f>
        <v>0.0327</v>
      </c>
    </row>
    <row r="4024" spans="1:7">
      <c r="A4024" s="3">
        <v>16</v>
      </c>
      <c r="B4024" s="3">
        <v>8</v>
      </c>
      <c r="C4024" s="3">
        <v>3</v>
      </c>
      <c r="D4024" s="3">
        <v>36</v>
      </c>
      <c r="E4024" s="3">
        <v>1</v>
      </c>
      <c r="F4024" s="4" t="str">
        <f>HYPERLINK("http://141.218.60.56/~jnz1568/getInfo.php?workbook=16_08.xlsx&amp;sheet=U0&amp;row=4024&amp;col=6&amp;number=3&amp;sourceID=14","3")</f>
        <v>3</v>
      </c>
      <c r="G4024" s="4" t="str">
        <f>HYPERLINK("http://141.218.60.56/~jnz1568/getInfo.php?workbook=16_08.xlsx&amp;sheet=U0&amp;row=4024&amp;col=7&amp;number=0.000797&amp;sourceID=14","0.000797")</f>
        <v>0.000797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HYPERLINK("http://141.218.60.56/~jnz1568/getInfo.php?workbook=16_08.xlsx&amp;sheet=U0&amp;row=4025&amp;col=6&amp;number=3.1&amp;sourceID=14","3.1")</f>
        <v>3.1</v>
      </c>
      <c r="G4025" s="4" t="str">
        <f>HYPERLINK("http://141.218.60.56/~jnz1568/getInfo.php?workbook=16_08.xlsx&amp;sheet=U0&amp;row=4025&amp;col=7&amp;number=0.000797&amp;sourceID=14","0.000797")</f>
        <v>0.000797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HYPERLINK("http://141.218.60.56/~jnz1568/getInfo.php?workbook=16_08.xlsx&amp;sheet=U0&amp;row=4026&amp;col=6&amp;number=3.2&amp;sourceID=14","3.2")</f>
        <v>3.2</v>
      </c>
      <c r="G4026" s="4" t="str">
        <f>HYPERLINK("http://141.218.60.56/~jnz1568/getInfo.php?workbook=16_08.xlsx&amp;sheet=U0&amp;row=4026&amp;col=7&amp;number=0.000797&amp;sourceID=14","0.000797")</f>
        <v>0.000797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HYPERLINK("http://141.218.60.56/~jnz1568/getInfo.php?workbook=16_08.xlsx&amp;sheet=U0&amp;row=4027&amp;col=6&amp;number=3.3&amp;sourceID=14","3.3")</f>
        <v>3.3</v>
      </c>
      <c r="G4027" s="4" t="str">
        <f>HYPERLINK("http://141.218.60.56/~jnz1568/getInfo.php?workbook=16_08.xlsx&amp;sheet=U0&amp;row=4027&amp;col=7&amp;number=0.000797&amp;sourceID=14","0.000797")</f>
        <v>0.000797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HYPERLINK("http://141.218.60.56/~jnz1568/getInfo.php?workbook=16_08.xlsx&amp;sheet=U0&amp;row=4028&amp;col=6&amp;number=3.4&amp;sourceID=14","3.4")</f>
        <v>3.4</v>
      </c>
      <c r="G4028" s="4" t="str">
        <f>HYPERLINK("http://141.218.60.56/~jnz1568/getInfo.php?workbook=16_08.xlsx&amp;sheet=U0&amp;row=4028&amp;col=7&amp;number=0.000797&amp;sourceID=14","0.000797")</f>
        <v>0.000797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HYPERLINK("http://141.218.60.56/~jnz1568/getInfo.php?workbook=16_08.xlsx&amp;sheet=U0&amp;row=4029&amp;col=6&amp;number=3.5&amp;sourceID=14","3.5")</f>
        <v>3.5</v>
      </c>
      <c r="G4029" s="4" t="str">
        <f>HYPERLINK("http://141.218.60.56/~jnz1568/getInfo.php?workbook=16_08.xlsx&amp;sheet=U0&amp;row=4029&amp;col=7&amp;number=0.000797&amp;sourceID=14","0.000797")</f>
        <v>0.000797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HYPERLINK("http://141.218.60.56/~jnz1568/getInfo.php?workbook=16_08.xlsx&amp;sheet=U0&amp;row=4030&amp;col=6&amp;number=3.6&amp;sourceID=14","3.6")</f>
        <v>3.6</v>
      </c>
      <c r="G4030" s="4" t="str">
        <f>HYPERLINK("http://141.218.60.56/~jnz1568/getInfo.php?workbook=16_08.xlsx&amp;sheet=U0&amp;row=4030&amp;col=7&amp;number=0.000796&amp;sourceID=14","0.000796")</f>
        <v>0.000796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HYPERLINK("http://141.218.60.56/~jnz1568/getInfo.php?workbook=16_08.xlsx&amp;sheet=U0&amp;row=4031&amp;col=6&amp;number=3.7&amp;sourceID=14","3.7")</f>
        <v>3.7</v>
      </c>
      <c r="G4031" s="4" t="str">
        <f>HYPERLINK("http://141.218.60.56/~jnz1568/getInfo.php?workbook=16_08.xlsx&amp;sheet=U0&amp;row=4031&amp;col=7&amp;number=0.000796&amp;sourceID=14","0.000796")</f>
        <v>0.000796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HYPERLINK("http://141.218.60.56/~jnz1568/getInfo.php?workbook=16_08.xlsx&amp;sheet=U0&amp;row=4032&amp;col=6&amp;number=3.8&amp;sourceID=14","3.8")</f>
        <v>3.8</v>
      </c>
      <c r="G4032" s="4" t="str">
        <f>HYPERLINK("http://141.218.60.56/~jnz1568/getInfo.php?workbook=16_08.xlsx&amp;sheet=U0&amp;row=4032&amp;col=7&amp;number=0.000796&amp;sourceID=14","0.000796")</f>
        <v>0.000796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HYPERLINK("http://141.218.60.56/~jnz1568/getInfo.php?workbook=16_08.xlsx&amp;sheet=U0&amp;row=4033&amp;col=6&amp;number=3.9&amp;sourceID=14","3.9")</f>
        <v>3.9</v>
      </c>
      <c r="G4033" s="4" t="str">
        <f>HYPERLINK("http://141.218.60.56/~jnz1568/getInfo.php?workbook=16_08.xlsx&amp;sheet=U0&amp;row=4033&amp;col=7&amp;number=0.000796&amp;sourceID=14","0.000796")</f>
        <v>0.000796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HYPERLINK("http://141.218.60.56/~jnz1568/getInfo.php?workbook=16_08.xlsx&amp;sheet=U0&amp;row=4034&amp;col=6&amp;number=4&amp;sourceID=14","4")</f>
        <v>4</v>
      </c>
      <c r="G4034" s="4" t="str">
        <f>HYPERLINK("http://141.218.60.56/~jnz1568/getInfo.php?workbook=16_08.xlsx&amp;sheet=U0&amp;row=4034&amp;col=7&amp;number=0.000795&amp;sourceID=14","0.000795")</f>
        <v>0.000795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HYPERLINK("http://141.218.60.56/~jnz1568/getInfo.php?workbook=16_08.xlsx&amp;sheet=U0&amp;row=4035&amp;col=6&amp;number=4.1&amp;sourceID=14","4.1")</f>
        <v>4.1</v>
      </c>
      <c r="G4035" s="4" t="str">
        <f>HYPERLINK("http://141.218.60.56/~jnz1568/getInfo.php?workbook=16_08.xlsx&amp;sheet=U0&amp;row=4035&amp;col=7&amp;number=0.000795&amp;sourceID=14","0.000795")</f>
        <v>0.000795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HYPERLINK("http://141.218.60.56/~jnz1568/getInfo.php?workbook=16_08.xlsx&amp;sheet=U0&amp;row=4036&amp;col=6&amp;number=4.2&amp;sourceID=14","4.2")</f>
        <v>4.2</v>
      </c>
      <c r="G4036" s="4" t="str">
        <f>HYPERLINK("http://141.218.60.56/~jnz1568/getInfo.php?workbook=16_08.xlsx&amp;sheet=U0&amp;row=4036&amp;col=7&amp;number=0.000795&amp;sourceID=14","0.000795")</f>
        <v>0.000795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HYPERLINK("http://141.218.60.56/~jnz1568/getInfo.php?workbook=16_08.xlsx&amp;sheet=U0&amp;row=4037&amp;col=6&amp;number=4.3&amp;sourceID=14","4.3")</f>
        <v>4.3</v>
      </c>
      <c r="G4037" s="4" t="str">
        <f>HYPERLINK("http://141.218.60.56/~jnz1568/getInfo.php?workbook=16_08.xlsx&amp;sheet=U0&amp;row=4037&amp;col=7&amp;number=0.000794&amp;sourceID=14","0.000794")</f>
        <v>0.000794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HYPERLINK("http://141.218.60.56/~jnz1568/getInfo.php?workbook=16_08.xlsx&amp;sheet=U0&amp;row=4038&amp;col=6&amp;number=4.4&amp;sourceID=14","4.4")</f>
        <v>4.4</v>
      </c>
      <c r="G4038" s="4" t="str">
        <f>HYPERLINK("http://141.218.60.56/~jnz1568/getInfo.php?workbook=16_08.xlsx&amp;sheet=U0&amp;row=4038&amp;col=7&amp;number=0.000793&amp;sourceID=14","0.000793")</f>
        <v>0.000793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HYPERLINK("http://141.218.60.56/~jnz1568/getInfo.php?workbook=16_08.xlsx&amp;sheet=U0&amp;row=4039&amp;col=6&amp;number=4.5&amp;sourceID=14","4.5")</f>
        <v>4.5</v>
      </c>
      <c r="G4039" s="4" t="str">
        <f>HYPERLINK("http://141.218.60.56/~jnz1568/getInfo.php?workbook=16_08.xlsx&amp;sheet=U0&amp;row=4039&amp;col=7&amp;number=0.000792&amp;sourceID=14","0.000792")</f>
        <v>0.000792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HYPERLINK("http://141.218.60.56/~jnz1568/getInfo.php?workbook=16_08.xlsx&amp;sheet=U0&amp;row=4040&amp;col=6&amp;number=4.6&amp;sourceID=14","4.6")</f>
        <v>4.6</v>
      </c>
      <c r="G4040" s="4" t="str">
        <f>HYPERLINK("http://141.218.60.56/~jnz1568/getInfo.php?workbook=16_08.xlsx&amp;sheet=U0&amp;row=4040&amp;col=7&amp;number=0.000791&amp;sourceID=14","0.000791")</f>
        <v>0.000791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HYPERLINK("http://141.218.60.56/~jnz1568/getInfo.php?workbook=16_08.xlsx&amp;sheet=U0&amp;row=4041&amp;col=6&amp;number=4.7&amp;sourceID=14","4.7")</f>
        <v>4.7</v>
      </c>
      <c r="G4041" s="4" t="str">
        <f>HYPERLINK("http://141.218.60.56/~jnz1568/getInfo.php?workbook=16_08.xlsx&amp;sheet=U0&amp;row=4041&amp;col=7&amp;number=0.000789&amp;sourceID=14","0.000789")</f>
        <v>0.000789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HYPERLINK("http://141.218.60.56/~jnz1568/getInfo.php?workbook=16_08.xlsx&amp;sheet=U0&amp;row=4042&amp;col=6&amp;number=4.8&amp;sourceID=14","4.8")</f>
        <v>4.8</v>
      </c>
      <c r="G4042" s="4" t="str">
        <f>HYPERLINK("http://141.218.60.56/~jnz1568/getInfo.php?workbook=16_08.xlsx&amp;sheet=U0&amp;row=4042&amp;col=7&amp;number=0.000787&amp;sourceID=14","0.000787")</f>
        <v>0.000787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HYPERLINK("http://141.218.60.56/~jnz1568/getInfo.php?workbook=16_08.xlsx&amp;sheet=U0&amp;row=4043&amp;col=6&amp;number=4.9&amp;sourceID=14","4.9")</f>
        <v>4.9</v>
      </c>
      <c r="G4043" s="4" t="str">
        <f>HYPERLINK("http://141.218.60.56/~jnz1568/getInfo.php?workbook=16_08.xlsx&amp;sheet=U0&amp;row=4043&amp;col=7&amp;number=0.000785&amp;sourceID=14","0.000785")</f>
        <v>0.000785</v>
      </c>
    </row>
    <row r="4044" spans="1:7">
      <c r="A4044" s="3">
        <v>16</v>
      </c>
      <c r="B4044" s="3">
        <v>8</v>
      </c>
      <c r="C4044" s="3">
        <v>3</v>
      </c>
      <c r="D4044" s="3">
        <v>37</v>
      </c>
      <c r="E4044" s="3">
        <v>1</v>
      </c>
      <c r="F4044" s="4" t="str">
        <f>HYPERLINK("http://141.218.60.56/~jnz1568/getInfo.php?workbook=16_08.xlsx&amp;sheet=U0&amp;row=4044&amp;col=6&amp;number=3&amp;sourceID=14","3")</f>
        <v>3</v>
      </c>
      <c r="G4044" s="4" t="str">
        <f>HYPERLINK("http://141.218.60.56/~jnz1568/getInfo.php?workbook=16_08.xlsx&amp;sheet=U0&amp;row=4044&amp;col=7&amp;number=0.000935&amp;sourceID=14","0.000935")</f>
        <v>0.000935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HYPERLINK("http://141.218.60.56/~jnz1568/getInfo.php?workbook=16_08.xlsx&amp;sheet=U0&amp;row=4045&amp;col=6&amp;number=3.1&amp;sourceID=14","3.1")</f>
        <v>3.1</v>
      </c>
      <c r="G4045" s="4" t="str">
        <f>HYPERLINK("http://141.218.60.56/~jnz1568/getInfo.php?workbook=16_08.xlsx&amp;sheet=U0&amp;row=4045&amp;col=7&amp;number=0.000935&amp;sourceID=14","0.000935")</f>
        <v>0.000935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HYPERLINK("http://141.218.60.56/~jnz1568/getInfo.php?workbook=16_08.xlsx&amp;sheet=U0&amp;row=4046&amp;col=6&amp;number=3.2&amp;sourceID=14","3.2")</f>
        <v>3.2</v>
      </c>
      <c r="G4046" s="4" t="str">
        <f>HYPERLINK("http://141.218.60.56/~jnz1568/getInfo.php?workbook=16_08.xlsx&amp;sheet=U0&amp;row=4046&amp;col=7&amp;number=0.000935&amp;sourceID=14","0.000935")</f>
        <v>0.000935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HYPERLINK("http://141.218.60.56/~jnz1568/getInfo.php?workbook=16_08.xlsx&amp;sheet=U0&amp;row=4047&amp;col=6&amp;number=3.3&amp;sourceID=14","3.3")</f>
        <v>3.3</v>
      </c>
      <c r="G4047" s="4" t="str">
        <f>HYPERLINK("http://141.218.60.56/~jnz1568/getInfo.php?workbook=16_08.xlsx&amp;sheet=U0&amp;row=4047&amp;col=7&amp;number=0.000936&amp;sourceID=14","0.000936")</f>
        <v>0.000936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HYPERLINK("http://141.218.60.56/~jnz1568/getInfo.php?workbook=16_08.xlsx&amp;sheet=U0&amp;row=4048&amp;col=6&amp;number=3.4&amp;sourceID=14","3.4")</f>
        <v>3.4</v>
      </c>
      <c r="G4048" s="4" t="str">
        <f>HYPERLINK("http://141.218.60.56/~jnz1568/getInfo.php?workbook=16_08.xlsx&amp;sheet=U0&amp;row=4048&amp;col=7&amp;number=0.000936&amp;sourceID=14","0.000936")</f>
        <v>0.000936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HYPERLINK("http://141.218.60.56/~jnz1568/getInfo.php?workbook=16_08.xlsx&amp;sheet=U0&amp;row=4049&amp;col=6&amp;number=3.5&amp;sourceID=14","3.5")</f>
        <v>3.5</v>
      </c>
      <c r="G4049" s="4" t="str">
        <f>HYPERLINK("http://141.218.60.56/~jnz1568/getInfo.php?workbook=16_08.xlsx&amp;sheet=U0&amp;row=4049&amp;col=7&amp;number=0.000936&amp;sourceID=14","0.000936")</f>
        <v>0.000936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HYPERLINK("http://141.218.60.56/~jnz1568/getInfo.php?workbook=16_08.xlsx&amp;sheet=U0&amp;row=4050&amp;col=6&amp;number=3.6&amp;sourceID=14","3.6")</f>
        <v>3.6</v>
      </c>
      <c r="G4050" s="4" t="str">
        <f>HYPERLINK("http://141.218.60.56/~jnz1568/getInfo.php?workbook=16_08.xlsx&amp;sheet=U0&amp;row=4050&amp;col=7&amp;number=0.000936&amp;sourceID=14","0.000936")</f>
        <v>0.000936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HYPERLINK("http://141.218.60.56/~jnz1568/getInfo.php?workbook=16_08.xlsx&amp;sheet=U0&amp;row=4051&amp;col=6&amp;number=3.7&amp;sourceID=14","3.7")</f>
        <v>3.7</v>
      </c>
      <c r="G4051" s="4" t="str">
        <f>HYPERLINK("http://141.218.60.56/~jnz1568/getInfo.php?workbook=16_08.xlsx&amp;sheet=U0&amp;row=4051&amp;col=7&amp;number=0.000936&amp;sourceID=14","0.000936")</f>
        <v>0.000936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HYPERLINK("http://141.218.60.56/~jnz1568/getInfo.php?workbook=16_08.xlsx&amp;sheet=U0&amp;row=4052&amp;col=6&amp;number=3.8&amp;sourceID=14","3.8")</f>
        <v>3.8</v>
      </c>
      <c r="G4052" s="4" t="str">
        <f>HYPERLINK("http://141.218.60.56/~jnz1568/getInfo.php?workbook=16_08.xlsx&amp;sheet=U0&amp;row=4052&amp;col=7&amp;number=0.000936&amp;sourceID=14","0.000936")</f>
        <v>0.000936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HYPERLINK("http://141.218.60.56/~jnz1568/getInfo.php?workbook=16_08.xlsx&amp;sheet=U0&amp;row=4053&amp;col=6&amp;number=3.9&amp;sourceID=14","3.9")</f>
        <v>3.9</v>
      </c>
      <c r="G4053" s="4" t="str">
        <f>HYPERLINK("http://141.218.60.56/~jnz1568/getInfo.php?workbook=16_08.xlsx&amp;sheet=U0&amp;row=4053&amp;col=7&amp;number=0.000936&amp;sourceID=14","0.000936")</f>
        <v>0.000936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HYPERLINK("http://141.218.60.56/~jnz1568/getInfo.php?workbook=16_08.xlsx&amp;sheet=U0&amp;row=4054&amp;col=6&amp;number=4&amp;sourceID=14","4")</f>
        <v>4</v>
      </c>
      <c r="G4054" s="4" t="str">
        <f>HYPERLINK("http://141.218.60.56/~jnz1568/getInfo.php?workbook=16_08.xlsx&amp;sheet=U0&amp;row=4054&amp;col=7&amp;number=0.000936&amp;sourceID=14","0.000936")</f>
        <v>0.000936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HYPERLINK("http://141.218.60.56/~jnz1568/getInfo.php?workbook=16_08.xlsx&amp;sheet=U0&amp;row=4055&amp;col=6&amp;number=4.1&amp;sourceID=14","4.1")</f>
        <v>4.1</v>
      </c>
      <c r="G4055" s="4" t="str">
        <f>HYPERLINK("http://141.218.60.56/~jnz1568/getInfo.php?workbook=16_08.xlsx&amp;sheet=U0&amp;row=4055&amp;col=7&amp;number=0.000937&amp;sourceID=14","0.000937")</f>
        <v>0.000937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HYPERLINK("http://141.218.60.56/~jnz1568/getInfo.php?workbook=16_08.xlsx&amp;sheet=U0&amp;row=4056&amp;col=6&amp;number=4.2&amp;sourceID=14","4.2")</f>
        <v>4.2</v>
      </c>
      <c r="G4056" s="4" t="str">
        <f>HYPERLINK("http://141.218.60.56/~jnz1568/getInfo.php?workbook=16_08.xlsx&amp;sheet=U0&amp;row=4056&amp;col=7&amp;number=0.000937&amp;sourceID=14","0.000937")</f>
        <v>0.000937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HYPERLINK("http://141.218.60.56/~jnz1568/getInfo.php?workbook=16_08.xlsx&amp;sheet=U0&amp;row=4057&amp;col=6&amp;number=4.3&amp;sourceID=14","4.3")</f>
        <v>4.3</v>
      </c>
      <c r="G4057" s="4" t="str">
        <f>HYPERLINK("http://141.218.60.56/~jnz1568/getInfo.php?workbook=16_08.xlsx&amp;sheet=U0&amp;row=4057&amp;col=7&amp;number=0.000937&amp;sourceID=14","0.000937")</f>
        <v>0.000937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HYPERLINK("http://141.218.60.56/~jnz1568/getInfo.php?workbook=16_08.xlsx&amp;sheet=U0&amp;row=4058&amp;col=6&amp;number=4.4&amp;sourceID=14","4.4")</f>
        <v>4.4</v>
      </c>
      <c r="G4058" s="4" t="str">
        <f>HYPERLINK("http://141.218.60.56/~jnz1568/getInfo.php?workbook=16_08.xlsx&amp;sheet=U0&amp;row=4058&amp;col=7&amp;number=0.000938&amp;sourceID=14","0.000938")</f>
        <v>0.000938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HYPERLINK("http://141.218.60.56/~jnz1568/getInfo.php?workbook=16_08.xlsx&amp;sheet=U0&amp;row=4059&amp;col=6&amp;number=4.5&amp;sourceID=14","4.5")</f>
        <v>4.5</v>
      </c>
      <c r="G4059" s="4" t="str">
        <f>HYPERLINK("http://141.218.60.56/~jnz1568/getInfo.php?workbook=16_08.xlsx&amp;sheet=U0&amp;row=4059&amp;col=7&amp;number=0.000939&amp;sourceID=14","0.000939")</f>
        <v>0.000939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HYPERLINK("http://141.218.60.56/~jnz1568/getInfo.php?workbook=16_08.xlsx&amp;sheet=U0&amp;row=4060&amp;col=6&amp;number=4.6&amp;sourceID=14","4.6")</f>
        <v>4.6</v>
      </c>
      <c r="G4060" s="4" t="str">
        <f>HYPERLINK("http://141.218.60.56/~jnz1568/getInfo.php?workbook=16_08.xlsx&amp;sheet=U0&amp;row=4060&amp;col=7&amp;number=0.000939&amp;sourceID=14","0.000939")</f>
        <v>0.000939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HYPERLINK("http://141.218.60.56/~jnz1568/getInfo.php?workbook=16_08.xlsx&amp;sheet=U0&amp;row=4061&amp;col=6&amp;number=4.7&amp;sourceID=14","4.7")</f>
        <v>4.7</v>
      </c>
      <c r="G4061" s="4" t="str">
        <f>HYPERLINK("http://141.218.60.56/~jnz1568/getInfo.php?workbook=16_08.xlsx&amp;sheet=U0&amp;row=4061&amp;col=7&amp;number=0.00094&amp;sourceID=14","0.00094")</f>
        <v>0.00094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HYPERLINK("http://141.218.60.56/~jnz1568/getInfo.php?workbook=16_08.xlsx&amp;sheet=U0&amp;row=4062&amp;col=6&amp;number=4.8&amp;sourceID=14","4.8")</f>
        <v>4.8</v>
      </c>
      <c r="G4062" s="4" t="str">
        <f>HYPERLINK("http://141.218.60.56/~jnz1568/getInfo.php?workbook=16_08.xlsx&amp;sheet=U0&amp;row=4062&amp;col=7&amp;number=0.000942&amp;sourceID=14","0.000942")</f>
        <v>0.000942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HYPERLINK("http://141.218.60.56/~jnz1568/getInfo.php?workbook=16_08.xlsx&amp;sheet=U0&amp;row=4063&amp;col=6&amp;number=4.9&amp;sourceID=14","4.9")</f>
        <v>4.9</v>
      </c>
      <c r="G4063" s="4" t="str">
        <f>HYPERLINK("http://141.218.60.56/~jnz1568/getInfo.php?workbook=16_08.xlsx&amp;sheet=U0&amp;row=4063&amp;col=7&amp;number=0.000943&amp;sourceID=14","0.000943")</f>
        <v>0.000943</v>
      </c>
    </row>
    <row r="4064" spans="1:7">
      <c r="A4064" s="3">
        <v>16</v>
      </c>
      <c r="B4064" s="3">
        <v>8</v>
      </c>
      <c r="C4064" s="3">
        <v>3</v>
      </c>
      <c r="D4064" s="3">
        <v>38</v>
      </c>
      <c r="E4064" s="3">
        <v>1</v>
      </c>
      <c r="F4064" s="4" t="str">
        <f>HYPERLINK("http://141.218.60.56/~jnz1568/getInfo.php?workbook=16_08.xlsx&amp;sheet=U0&amp;row=4064&amp;col=6&amp;number=3&amp;sourceID=14","3")</f>
        <v>3</v>
      </c>
      <c r="G4064" s="4" t="str">
        <f>HYPERLINK("http://141.218.60.56/~jnz1568/getInfo.php?workbook=16_08.xlsx&amp;sheet=U0&amp;row=4064&amp;col=7&amp;number=0.00257&amp;sourceID=14","0.00257")</f>
        <v>0.00257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HYPERLINK("http://141.218.60.56/~jnz1568/getInfo.php?workbook=16_08.xlsx&amp;sheet=U0&amp;row=4065&amp;col=6&amp;number=3.1&amp;sourceID=14","3.1")</f>
        <v>3.1</v>
      </c>
      <c r="G4065" s="4" t="str">
        <f>HYPERLINK("http://141.218.60.56/~jnz1568/getInfo.php?workbook=16_08.xlsx&amp;sheet=U0&amp;row=4065&amp;col=7&amp;number=0.00257&amp;sourceID=14","0.00257")</f>
        <v>0.00257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HYPERLINK("http://141.218.60.56/~jnz1568/getInfo.php?workbook=16_08.xlsx&amp;sheet=U0&amp;row=4066&amp;col=6&amp;number=3.2&amp;sourceID=14","3.2")</f>
        <v>3.2</v>
      </c>
      <c r="G4066" s="4" t="str">
        <f>HYPERLINK("http://141.218.60.56/~jnz1568/getInfo.php?workbook=16_08.xlsx&amp;sheet=U0&amp;row=4066&amp;col=7&amp;number=0.00257&amp;sourceID=14","0.00257")</f>
        <v>0.00257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HYPERLINK("http://141.218.60.56/~jnz1568/getInfo.php?workbook=16_08.xlsx&amp;sheet=U0&amp;row=4067&amp;col=6&amp;number=3.3&amp;sourceID=14","3.3")</f>
        <v>3.3</v>
      </c>
      <c r="G4067" s="4" t="str">
        <f>HYPERLINK("http://141.218.60.56/~jnz1568/getInfo.php?workbook=16_08.xlsx&amp;sheet=U0&amp;row=4067&amp;col=7&amp;number=0.00257&amp;sourceID=14","0.00257")</f>
        <v>0.00257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HYPERLINK("http://141.218.60.56/~jnz1568/getInfo.php?workbook=16_08.xlsx&amp;sheet=U0&amp;row=4068&amp;col=6&amp;number=3.4&amp;sourceID=14","3.4")</f>
        <v>3.4</v>
      </c>
      <c r="G4068" s="4" t="str">
        <f>HYPERLINK("http://141.218.60.56/~jnz1568/getInfo.php?workbook=16_08.xlsx&amp;sheet=U0&amp;row=4068&amp;col=7&amp;number=0.00257&amp;sourceID=14","0.00257")</f>
        <v>0.00257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HYPERLINK("http://141.218.60.56/~jnz1568/getInfo.php?workbook=16_08.xlsx&amp;sheet=U0&amp;row=4069&amp;col=6&amp;number=3.5&amp;sourceID=14","3.5")</f>
        <v>3.5</v>
      </c>
      <c r="G4069" s="4" t="str">
        <f>HYPERLINK("http://141.218.60.56/~jnz1568/getInfo.php?workbook=16_08.xlsx&amp;sheet=U0&amp;row=4069&amp;col=7&amp;number=0.00256&amp;sourceID=14","0.00256")</f>
        <v>0.00256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HYPERLINK("http://141.218.60.56/~jnz1568/getInfo.php?workbook=16_08.xlsx&amp;sheet=U0&amp;row=4070&amp;col=6&amp;number=3.6&amp;sourceID=14","3.6")</f>
        <v>3.6</v>
      </c>
      <c r="G4070" s="4" t="str">
        <f>HYPERLINK("http://141.218.60.56/~jnz1568/getInfo.php?workbook=16_08.xlsx&amp;sheet=U0&amp;row=4070&amp;col=7&amp;number=0.00256&amp;sourceID=14","0.00256")</f>
        <v>0.00256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HYPERLINK("http://141.218.60.56/~jnz1568/getInfo.php?workbook=16_08.xlsx&amp;sheet=U0&amp;row=4071&amp;col=6&amp;number=3.7&amp;sourceID=14","3.7")</f>
        <v>3.7</v>
      </c>
      <c r="G4071" s="4" t="str">
        <f>HYPERLINK("http://141.218.60.56/~jnz1568/getInfo.php?workbook=16_08.xlsx&amp;sheet=U0&amp;row=4071&amp;col=7&amp;number=0.00256&amp;sourceID=14","0.00256")</f>
        <v>0.00256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HYPERLINK("http://141.218.60.56/~jnz1568/getInfo.php?workbook=16_08.xlsx&amp;sheet=U0&amp;row=4072&amp;col=6&amp;number=3.8&amp;sourceID=14","3.8")</f>
        <v>3.8</v>
      </c>
      <c r="G4072" s="4" t="str">
        <f>HYPERLINK("http://141.218.60.56/~jnz1568/getInfo.php?workbook=16_08.xlsx&amp;sheet=U0&amp;row=4072&amp;col=7&amp;number=0.00256&amp;sourceID=14","0.00256")</f>
        <v>0.00256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HYPERLINK("http://141.218.60.56/~jnz1568/getInfo.php?workbook=16_08.xlsx&amp;sheet=U0&amp;row=4073&amp;col=6&amp;number=3.9&amp;sourceID=14","3.9")</f>
        <v>3.9</v>
      </c>
      <c r="G4073" s="4" t="str">
        <f>HYPERLINK("http://141.218.60.56/~jnz1568/getInfo.php?workbook=16_08.xlsx&amp;sheet=U0&amp;row=4073&amp;col=7&amp;number=0.00256&amp;sourceID=14","0.00256")</f>
        <v>0.00256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HYPERLINK("http://141.218.60.56/~jnz1568/getInfo.php?workbook=16_08.xlsx&amp;sheet=U0&amp;row=4074&amp;col=6&amp;number=4&amp;sourceID=14","4")</f>
        <v>4</v>
      </c>
      <c r="G4074" s="4" t="str">
        <f>HYPERLINK("http://141.218.60.56/~jnz1568/getInfo.php?workbook=16_08.xlsx&amp;sheet=U0&amp;row=4074&amp;col=7&amp;number=0.00256&amp;sourceID=14","0.00256")</f>
        <v>0.00256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HYPERLINK("http://141.218.60.56/~jnz1568/getInfo.php?workbook=16_08.xlsx&amp;sheet=U0&amp;row=4075&amp;col=6&amp;number=4.1&amp;sourceID=14","4.1")</f>
        <v>4.1</v>
      </c>
      <c r="G4075" s="4" t="str">
        <f>HYPERLINK("http://141.218.60.56/~jnz1568/getInfo.php?workbook=16_08.xlsx&amp;sheet=U0&amp;row=4075&amp;col=7&amp;number=0.00255&amp;sourceID=14","0.00255")</f>
        <v>0.00255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HYPERLINK("http://141.218.60.56/~jnz1568/getInfo.php?workbook=16_08.xlsx&amp;sheet=U0&amp;row=4076&amp;col=6&amp;number=4.2&amp;sourceID=14","4.2")</f>
        <v>4.2</v>
      </c>
      <c r="G4076" s="4" t="str">
        <f>HYPERLINK("http://141.218.60.56/~jnz1568/getInfo.php?workbook=16_08.xlsx&amp;sheet=U0&amp;row=4076&amp;col=7&amp;number=0.00255&amp;sourceID=14","0.00255")</f>
        <v>0.00255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HYPERLINK("http://141.218.60.56/~jnz1568/getInfo.php?workbook=16_08.xlsx&amp;sheet=U0&amp;row=4077&amp;col=6&amp;number=4.3&amp;sourceID=14","4.3")</f>
        <v>4.3</v>
      </c>
      <c r="G4077" s="4" t="str">
        <f>HYPERLINK("http://141.218.60.56/~jnz1568/getInfo.php?workbook=16_08.xlsx&amp;sheet=U0&amp;row=4077&amp;col=7&amp;number=0.00254&amp;sourceID=14","0.00254")</f>
        <v>0.00254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HYPERLINK("http://141.218.60.56/~jnz1568/getInfo.php?workbook=16_08.xlsx&amp;sheet=U0&amp;row=4078&amp;col=6&amp;number=4.4&amp;sourceID=14","4.4")</f>
        <v>4.4</v>
      </c>
      <c r="G4078" s="4" t="str">
        <f>HYPERLINK("http://141.218.60.56/~jnz1568/getInfo.php?workbook=16_08.xlsx&amp;sheet=U0&amp;row=4078&amp;col=7&amp;number=0.00254&amp;sourceID=14","0.00254")</f>
        <v>0.00254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HYPERLINK("http://141.218.60.56/~jnz1568/getInfo.php?workbook=16_08.xlsx&amp;sheet=U0&amp;row=4079&amp;col=6&amp;number=4.5&amp;sourceID=14","4.5")</f>
        <v>4.5</v>
      </c>
      <c r="G4079" s="4" t="str">
        <f>HYPERLINK("http://141.218.60.56/~jnz1568/getInfo.php?workbook=16_08.xlsx&amp;sheet=U0&amp;row=4079&amp;col=7&amp;number=0.00253&amp;sourceID=14","0.00253")</f>
        <v>0.00253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HYPERLINK("http://141.218.60.56/~jnz1568/getInfo.php?workbook=16_08.xlsx&amp;sheet=U0&amp;row=4080&amp;col=6&amp;number=4.6&amp;sourceID=14","4.6")</f>
        <v>4.6</v>
      </c>
      <c r="G4080" s="4" t="str">
        <f>HYPERLINK("http://141.218.60.56/~jnz1568/getInfo.php?workbook=16_08.xlsx&amp;sheet=U0&amp;row=4080&amp;col=7&amp;number=0.00252&amp;sourceID=14","0.00252")</f>
        <v>0.00252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HYPERLINK("http://141.218.60.56/~jnz1568/getInfo.php?workbook=16_08.xlsx&amp;sheet=U0&amp;row=4081&amp;col=6&amp;number=4.7&amp;sourceID=14","4.7")</f>
        <v>4.7</v>
      </c>
      <c r="G4081" s="4" t="str">
        <f>HYPERLINK("http://141.218.60.56/~jnz1568/getInfo.php?workbook=16_08.xlsx&amp;sheet=U0&amp;row=4081&amp;col=7&amp;number=0.00251&amp;sourceID=14","0.00251")</f>
        <v>0.00251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HYPERLINK("http://141.218.60.56/~jnz1568/getInfo.php?workbook=16_08.xlsx&amp;sheet=U0&amp;row=4082&amp;col=6&amp;number=4.8&amp;sourceID=14","4.8")</f>
        <v>4.8</v>
      </c>
      <c r="G4082" s="4" t="str">
        <f>HYPERLINK("http://141.218.60.56/~jnz1568/getInfo.php?workbook=16_08.xlsx&amp;sheet=U0&amp;row=4082&amp;col=7&amp;number=0.00249&amp;sourceID=14","0.00249")</f>
        <v>0.00249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HYPERLINK("http://141.218.60.56/~jnz1568/getInfo.php?workbook=16_08.xlsx&amp;sheet=U0&amp;row=4083&amp;col=6&amp;number=4.9&amp;sourceID=14","4.9")</f>
        <v>4.9</v>
      </c>
      <c r="G4083" s="4" t="str">
        <f>HYPERLINK("http://141.218.60.56/~jnz1568/getInfo.php?workbook=16_08.xlsx&amp;sheet=U0&amp;row=4083&amp;col=7&amp;number=0.00247&amp;sourceID=14","0.00247")</f>
        <v>0.00247</v>
      </c>
    </row>
    <row r="4084" spans="1:7">
      <c r="A4084" s="3">
        <v>16</v>
      </c>
      <c r="B4084" s="3">
        <v>8</v>
      </c>
      <c r="C4084" s="3">
        <v>3</v>
      </c>
      <c r="D4084" s="3">
        <v>39</v>
      </c>
      <c r="E4084" s="3">
        <v>1</v>
      </c>
      <c r="F4084" s="4" t="str">
        <f>HYPERLINK("http://141.218.60.56/~jnz1568/getInfo.php?workbook=16_08.xlsx&amp;sheet=U0&amp;row=4084&amp;col=6&amp;number=3&amp;sourceID=14","3")</f>
        <v>3</v>
      </c>
      <c r="G4084" s="4" t="str">
        <f>HYPERLINK("http://141.218.60.56/~jnz1568/getInfo.php?workbook=16_08.xlsx&amp;sheet=U0&amp;row=4084&amp;col=7&amp;number=0.00474&amp;sourceID=14","0.00474")</f>
        <v>0.00474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HYPERLINK("http://141.218.60.56/~jnz1568/getInfo.php?workbook=16_08.xlsx&amp;sheet=U0&amp;row=4085&amp;col=6&amp;number=3.1&amp;sourceID=14","3.1")</f>
        <v>3.1</v>
      </c>
      <c r="G4085" s="4" t="str">
        <f>HYPERLINK("http://141.218.60.56/~jnz1568/getInfo.php?workbook=16_08.xlsx&amp;sheet=U0&amp;row=4085&amp;col=7&amp;number=0.00474&amp;sourceID=14","0.00474")</f>
        <v>0.00474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HYPERLINK("http://141.218.60.56/~jnz1568/getInfo.php?workbook=16_08.xlsx&amp;sheet=U0&amp;row=4086&amp;col=6&amp;number=3.2&amp;sourceID=14","3.2")</f>
        <v>3.2</v>
      </c>
      <c r="G4086" s="4" t="str">
        <f>HYPERLINK("http://141.218.60.56/~jnz1568/getInfo.php?workbook=16_08.xlsx&amp;sheet=U0&amp;row=4086&amp;col=7&amp;number=0.00474&amp;sourceID=14","0.00474")</f>
        <v>0.00474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HYPERLINK("http://141.218.60.56/~jnz1568/getInfo.php?workbook=16_08.xlsx&amp;sheet=U0&amp;row=4087&amp;col=6&amp;number=3.3&amp;sourceID=14","3.3")</f>
        <v>3.3</v>
      </c>
      <c r="G4087" s="4" t="str">
        <f>HYPERLINK("http://141.218.60.56/~jnz1568/getInfo.php?workbook=16_08.xlsx&amp;sheet=U0&amp;row=4087&amp;col=7&amp;number=0.00474&amp;sourceID=14","0.00474")</f>
        <v>0.00474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HYPERLINK("http://141.218.60.56/~jnz1568/getInfo.php?workbook=16_08.xlsx&amp;sheet=U0&amp;row=4088&amp;col=6&amp;number=3.4&amp;sourceID=14","3.4")</f>
        <v>3.4</v>
      </c>
      <c r="G4088" s="4" t="str">
        <f>HYPERLINK("http://141.218.60.56/~jnz1568/getInfo.php?workbook=16_08.xlsx&amp;sheet=U0&amp;row=4088&amp;col=7&amp;number=0.00474&amp;sourceID=14","0.00474")</f>
        <v>0.00474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HYPERLINK("http://141.218.60.56/~jnz1568/getInfo.php?workbook=16_08.xlsx&amp;sheet=U0&amp;row=4089&amp;col=6&amp;number=3.5&amp;sourceID=14","3.5")</f>
        <v>3.5</v>
      </c>
      <c r="G4089" s="4" t="str">
        <f>HYPERLINK("http://141.218.60.56/~jnz1568/getInfo.php?workbook=16_08.xlsx&amp;sheet=U0&amp;row=4089&amp;col=7&amp;number=0.00474&amp;sourceID=14","0.00474")</f>
        <v>0.00474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HYPERLINK("http://141.218.60.56/~jnz1568/getInfo.php?workbook=16_08.xlsx&amp;sheet=U0&amp;row=4090&amp;col=6&amp;number=3.6&amp;sourceID=14","3.6")</f>
        <v>3.6</v>
      </c>
      <c r="G4090" s="4" t="str">
        <f>HYPERLINK("http://141.218.60.56/~jnz1568/getInfo.php?workbook=16_08.xlsx&amp;sheet=U0&amp;row=4090&amp;col=7&amp;number=0.00473&amp;sourceID=14","0.00473")</f>
        <v>0.00473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HYPERLINK("http://141.218.60.56/~jnz1568/getInfo.php?workbook=16_08.xlsx&amp;sheet=U0&amp;row=4091&amp;col=6&amp;number=3.7&amp;sourceID=14","3.7")</f>
        <v>3.7</v>
      </c>
      <c r="G4091" s="4" t="str">
        <f>HYPERLINK("http://141.218.60.56/~jnz1568/getInfo.php?workbook=16_08.xlsx&amp;sheet=U0&amp;row=4091&amp;col=7&amp;number=0.00473&amp;sourceID=14","0.00473")</f>
        <v>0.00473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HYPERLINK("http://141.218.60.56/~jnz1568/getInfo.php?workbook=16_08.xlsx&amp;sheet=U0&amp;row=4092&amp;col=6&amp;number=3.8&amp;sourceID=14","3.8")</f>
        <v>3.8</v>
      </c>
      <c r="G4092" s="4" t="str">
        <f>HYPERLINK("http://141.218.60.56/~jnz1568/getInfo.php?workbook=16_08.xlsx&amp;sheet=U0&amp;row=4092&amp;col=7&amp;number=0.00473&amp;sourceID=14","0.00473")</f>
        <v>0.00473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HYPERLINK("http://141.218.60.56/~jnz1568/getInfo.php?workbook=16_08.xlsx&amp;sheet=U0&amp;row=4093&amp;col=6&amp;number=3.9&amp;sourceID=14","3.9")</f>
        <v>3.9</v>
      </c>
      <c r="G4093" s="4" t="str">
        <f>HYPERLINK("http://141.218.60.56/~jnz1568/getInfo.php?workbook=16_08.xlsx&amp;sheet=U0&amp;row=4093&amp;col=7&amp;number=0.00473&amp;sourceID=14","0.00473")</f>
        <v>0.00473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HYPERLINK("http://141.218.60.56/~jnz1568/getInfo.php?workbook=16_08.xlsx&amp;sheet=U0&amp;row=4094&amp;col=6&amp;number=4&amp;sourceID=14","4")</f>
        <v>4</v>
      </c>
      <c r="G4094" s="4" t="str">
        <f>HYPERLINK("http://141.218.60.56/~jnz1568/getInfo.php?workbook=16_08.xlsx&amp;sheet=U0&amp;row=4094&amp;col=7&amp;number=0.00473&amp;sourceID=14","0.00473")</f>
        <v>0.00473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HYPERLINK("http://141.218.60.56/~jnz1568/getInfo.php?workbook=16_08.xlsx&amp;sheet=U0&amp;row=4095&amp;col=6&amp;number=4.1&amp;sourceID=14","4.1")</f>
        <v>4.1</v>
      </c>
      <c r="G4095" s="4" t="str">
        <f>HYPERLINK("http://141.218.60.56/~jnz1568/getInfo.php?workbook=16_08.xlsx&amp;sheet=U0&amp;row=4095&amp;col=7&amp;number=0.00473&amp;sourceID=14","0.00473")</f>
        <v>0.00473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HYPERLINK("http://141.218.60.56/~jnz1568/getInfo.php?workbook=16_08.xlsx&amp;sheet=U0&amp;row=4096&amp;col=6&amp;number=4.2&amp;sourceID=14","4.2")</f>
        <v>4.2</v>
      </c>
      <c r="G4096" s="4" t="str">
        <f>HYPERLINK("http://141.218.60.56/~jnz1568/getInfo.php?workbook=16_08.xlsx&amp;sheet=U0&amp;row=4096&amp;col=7&amp;number=0.00472&amp;sourceID=14","0.00472")</f>
        <v>0.00472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HYPERLINK("http://141.218.60.56/~jnz1568/getInfo.php?workbook=16_08.xlsx&amp;sheet=U0&amp;row=4097&amp;col=6&amp;number=4.3&amp;sourceID=14","4.3")</f>
        <v>4.3</v>
      </c>
      <c r="G4097" s="4" t="str">
        <f>HYPERLINK("http://141.218.60.56/~jnz1568/getInfo.php?workbook=16_08.xlsx&amp;sheet=U0&amp;row=4097&amp;col=7&amp;number=0.00472&amp;sourceID=14","0.00472")</f>
        <v>0.00472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HYPERLINK("http://141.218.60.56/~jnz1568/getInfo.php?workbook=16_08.xlsx&amp;sheet=U0&amp;row=4098&amp;col=6&amp;number=4.4&amp;sourceID=14","4.4")</f>
        <v>4.4</v>
      </c>
      <c r="G4098" s="4" t="str">
        <f>HYPERLINK("http://141.218.60.56/~jnz1568/getInfo.php?workbook=16_08.xlsx&amp;sheet=U0&amp;row=4098&amp;col=7&amp;number=0.00471&amp;sourceID=14","0.00471")</f>
        <v>0.00471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HYPERLINK("http://141.218.60.56/~jnz1568/getInfo.php?workbook=16_08.xlsx&amp;sheet=U0&amp;row=4099&amp;col=6&amp;number=4.5&amp;sourceID=14","4.5")</f>
        <v>4.5</v>
      </c>
      <c r="G4099" s="4" t="str">
        <f>HYPERLINK("http://141.218.60.56/~jnz1568/getInfo.php?workbook=16_08.xlsx&amp;sheet=U0&amp;row=4099&amp;col=7&amp;number=0.00471&amp;sourceID=14","0.00471")</f>
        <v>0.00471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HYPERLINK("http://141.218.60.56/~jnz1568/getInfo.php?workbook=16_08.xlsx&amp;sheet=U0&amp;row=4100&amp;col=6&amp;number=4.6&amp;sourceID=14","4.6")</f>
        <v>4.6</v>
      </c>
      <c r="G4100" s="4" t="str">
        <f>HYPERLINK("http://141.218.60.56/~jnz1568/getInfo.php?workbook=16_08.xlsx&amp;sheet=U0&amp;row=4100&amp;col=7&amp;number=0.0047&amp;sourceID=14","0.0047")</f>
        <v>0.0047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HYPERLINK("http://141.218.60.56/~jnz1568/getInfo.php?workbook=16_08.xlsx&amp;sheet=U0&amp;row=4101&amp;col=6&amp;number=4.7&amp;sourceID=14","4.7")</f>
        <v>4.7</v>
      </c>
      <c r="G4101" s="4" t="str">
        <f>HYPERLINK("http://141.218.60.56/~jnz1568/getInfo.php?workbook=16_08.xlsx&amp;sheet=U0&amp;row=4101&amp;col=7&amp;number=0.00469&amp;sourceID=14","0.00469")</f>
        <v>0.00469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HYPERLINK("http://141.218.60.56/~jnz1568/getInfo.php?workbook=16_08.xlsx&amp;sheet=U0&amp;row=4102&amp;col=6&amp;number=4.8&amp;sourceID=14","4.8")</f>
        <v>4.8</v>
      </c>
      <c r="G4102" s="4" t="str">
        <f>HYPERLINK("http://141.218.60.56/~jnz1568/getInfo.php?workbook=16_08.xlsx&amp;sheet=U0&amp;row=4102&amp;col=7&amp;number=0.00467&amp;sourceID=14","0.00467")</f>
        <v>0.00467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HYPERLINK("http://141.218.60.56/~jnz1568/getInfo.php?workbook=16_08.xlsx&amp;sheet=U0&amp;row=4103&amp;col=6&amp;number=4.9&amp;sourceID=14","4.9")</f>
        <v>4.9</v>
      </c>
      <c r="G4103" s="4" t="str">
        <f>HYPERLINK("http://141.218.60.56/~jnz1568/getInfo.php?workbook=16_08.xlsx&amp;sheet=U0&amp;row=4103&amp;col=7&amp;number=0.00466&amp;sourceID=14","0.00466")</f>
        <v>0.00466</v>
      </c>
    </row>
    <row r="4104" spans="1:7">
      <c r="A4104" s="3">
        <v>16</v>
      </c>
      <c r="B4104" s="3">
        <v>8</v>
      </c>
      <c r="C4104" s="3">
        <v>3</v>
      </c>
      <c r="D4104" s="3">
        <v>40</v>
      </c>
      <c r="E4104" s="3">
        <v>1</v>
      </c>
      <c r="F4104" s="4" t="str">
        <f>HYPERLINK("http://141.218.60.56/~jnz1568/getInfo.php?workbook=16_08.xlsx&amp;sheet=U0&amp;row=4104&amp;col=6&amp;number=3&amp;sourceID=14","3")</f>
        <v>3</v>
      </c>
      <c r="G4104" s="4" t="str">
        <f>HYPERLINK("http://141.218.60.56/~jnz1568/getInfo.php?workbook=16_08.xlsx&amp;sheet=U0&amp;row=4104&amp;col=7&amp;number=0.00671&amp;sourceID=14","0.00671")</f>
        <v>0.00671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HYPERLINK("http://141.218.60.56/~jnz1568/getInfo.php?workbook=16_08.xlsx&amp;sheet=U0&amp;row=4105&amp;col=6&amp;number=3.1&amp;sourceID=14","3.1")</f>
        <v>3.1</v>
      </c>
      <c r="G4105" s="4" t="str">
        <f>HYPERLINK("http://141.218.60.56/~jnz1568/getInfo.php?workbook=16_08.xlsx&amp;sheet=U0&amp;row=4105&amp;col=7&amp;number=0.00671&amp;sourceID=14","0.00671")</f>
        <v>0.00671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HYPERLINK("http://141.218.60.56/~jnz1568/getInfo.php?workbook=16_08.xlsx&amp;sheet=U0&amp;row=4106&amp;col=6&amp;number=3.2&amp;sourceID=14","3.2")</f>
        <v>3.2</v>
      </c>
      <c r="G4106" s="4" t="str">
        <f>HYPERLINK("http://141.218.60.56/~jnz1568/getInfo.php?workbook=16_08.xlsx&amp;sheet=U0&amp;row=4106&amp;col=7&amp;number=0.00671&amp;sourceID=14","0.00671")</f>
        <v>0.00671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HYPERLINK("http://141.218.60.56/~jnz1568/getInfo.php?workbook=16_08.xlsx&amp;sheet=U0&amp;row=4107&amp;col=6&amp;number=3.3&amp;sourceID=14","3.3")</f>
        <v>3.3</v>
      </c>
      <c r="G4107" s="4" t="str">
        <f>HYPERLINK("http://141.218.60.56/~jnz1568/getInfo.php?workbook=16_08.xlsx&amp;sheet=U0&amp;row=4107&amp;col=7&amp;number=0.00671&amp;sourceID=14","0.00671")</f>
        <v>0.00671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HYPERLINK("http://141.218.60.56/~jnz1568/getInfo.php?workbook=16_08.xlsx&amp;sheet=U0&amp;row=4108&amp;col=6&amp;number=3.4&amp;sourceID=14","3.4")</f>
        <v>3.4</v>
      </c>
      <c r="G4108" s="4" t="str">
        <f>HYPERLINK("http://141.218.60.56/~jnz1568/getInfo.php?workbook=16_08.xlsx&amp;sheet=U0&amp;row=4108&amp;col=7&amp;number=0.0067&amp;sourceID=14","0.0067")</f>
        <v>0.0067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HYPERLINK("http://141.218.60.56/~jnz1568/getInfo.php?workbook=16_08.xlsx&amp;sheet=U0&amp;row=4109&amp;col=6&amp;number=3.5&amp;sourceID=14","3.5")</f>
        <v>3.5</v>
      </c>
      <c r="G4109" s="4" t="str">
        <f>HYPERLINK("http://141.218.60.56/~jnz1568/getInfo.php?workbook=16_08.xlsx&amp;sheet=U0&amp;row=4109&amp;col=7&amp;number=0.0067&amp;sourceID=14","0.0067")</f>
        <v>0.0067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HYPERLINK("http://141.218.60.56/~jnz1568/getInfo.php?workbook=16_08.xlsx&amp;sheet=U0&amp;row=4110&amp;col=6&amp;number=3.6&amp;sourceID=14","3.6")</f>
        <v>3.6</v>
      </c>
      <c r="G4110" s="4" t="str">
        <f>HYPERLINK("http://141.218.60.56/~jnz1568/getInfo.php?workbook=16_08.xlsx&amp;sheet=U0&amp;row=4110&amp;col=7&amp;number=0.0067&amp;sourceID=14","0.0067")</f>
        <v>0.0067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HYPERLINK("http://141.218.60.56/~jnz1568/getInfo.php?workbook=16_08.xlsx&amp;sheet=U0&amp;row=4111&amp;col=6&amp;number=3.7&amp;sourceID=14","3.7")</f>
        <v>3.7</v>
      </c>
      <c r="G4111" s="4" t="str">
        <f>HYPERLINK("http://141.218.60.56/~jnz1568/getInfo.php?workbook=16_08.xlsx&amp;sheet=U0&amp;row=4111&amp;col=7&amp;number=0.00669&amp;sourceID=14","0.00669")</f>
        <v>0.00669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HYPERLINK("http://141.218.60.56/~jnz1568/getInfo.php?workbook=16_08.xlsx&amp;sheet=U0&amp;row=4112&amp;col=6&amp;number=3.8&amp;sourceID=14","3.8")</f>
        <v>3.8</v>
      </c>
      <c r="G4112" s="4" t="str">
        <f>HYPERLINK("http://141.218.60.56/~jnz1568/getInfo.php?workbook=16_08.xlsx&amp;sheet=U0&amp;row=4112&amp;col=7&amp;number=0.00669&amp;sourceID=14","0.00669")</f>
        <v>0.00669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HYPERLINK("http://141.218.60.56/~jnz1568/getInfo.php?workbook=16_08.xlsx&amp;sheet=U0&amp;row=4113&amp;col=6&amp;number=3.9&amp;sourceID=14","3.9")</f>
        <v>3.9</v>
      </c>
      <c r="G4113" s="4" t="str">
        <f>HYPERLINK("http://141.218.60.56/~jnz1568/getInfo.php?workbook=16_08.xlsx&amp;sheet=U0&amp;row=4113&amp;col=7&amp;number=0.00668&amp;sourceID=14","0.00668")</f>
        <v>0.00668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HYPERLINK("http://141.218.60.56/~jnz1568/getInfo.php?workbook=16_08.xlsx&amp;sheet=U0&amp;row=4114&amp;col=6&amp;number=4&amp;sourceID=14","4")</f>
        <v>4</v>
      </c>
      <c r="G4114" s="4" t="str">
        <f>HYPERLINK("http://141.218.60.56/~jnz1568/getInfo.php?workbook=16_08.xlsx&amp;sheet=U0&amp;row=4114&amp;col=7&amp;number=0.00668&amp;sourceID=14","0.00668")</f>
        <v>0.00668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HYPERLINK("http://141.218.60.56/~jnz1568/getInfo.php?workbook=16_08.xlsx&amp;sheet=U0&amp;row=4115&amp;col=6&amp;number=4.1&amp;sourceID=14","4.1")</f>
        <v>4.1</v>
      </c>
      <c r="G4115" s="4" t="str">
        <f>HYPERLINK("http://141.218.60.56/~jnz1568/getInfo.php?workbook=16_08.xlsx&amp;sheet=U0&amp;row=4115&amp;col=7&amp;number=0.00667&amp;sourceID=14","0.00667")</f>
        <v>0.00667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HYPERLINK("http://141.218.60.56/~jnz1568/getInfo.php?workbook=16_08.xlsx&amp;sheet=U0&amp;row=4116&amp;col=6&amp;number=4.2&amp;sourceID=14","4.2")</f>
        <v>4.2</v>
      </c>
      <c r="G4116" s="4" t="str">
        <f>HYPERLINK("http://141.218.60.56/~jnz1568/getInfo.php?workbook=16_08.xlsx&amp;sheet=U0&amp;row=4116&amp;col=7&amp;number=0.00666&amp;sourceID=14","0.00666")</f>
        <v>0.00666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HYPERLINK("http://141.218.60.56/~jnz1568/getInfo.php?workbook=16_08.xlsx&amp;sheet=U0&amp;row=4117&amp;col=6&amp;number=4.3&amp;sourceID=14","4.3")</f>
        <v>4.3</v>
      </c>
      <c r="G4117" s="4" t="str">
        <f>HYPERLINK("http://141.218.60.56/~jnz1568/getInfo.php?workbook=16_08.xlsx&amp;sheet=U0&amp;row=4117&amp;col=7&amp;number=0.00664&amp;sourceID=14","0.00664")</f>
        <v>0.00664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HYPERLINK("http://141.218.60.56/~jnz1568/getInfo.php?workbook=16_08.xlsx&amp;sheet=U0&amp;row=4118&amp;col=6&amp;number=4.4&amp;sourceID=14","4.4")</f>
        <v>4.4</v>
      </c>
      <c r="G4118" s="4" t="str">
        <f>HYPERLINK("http://141.218.60.56/~jnz1568/getInfo.php?workbook=16_08.xlsx&amp;sheet=U0&amp;row=4118&amp;col=7&amp;number=0.00662&amp;sourceID=14","0.00662")</f>
        <v>0.00662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HYPERLINK("http://141.218.60.56/~jnz1568/getInfo.php?workbook=16_08.xlsx&amp;sheet=U0&amp;row=4119&amp;col=6&amp;number=4.5&amp;sourceID=14","4.5")</f>
        <v>4.5</v>
      </c>
      <c r="G4119" s="4" t="str">
        <f>HYPERLINK("http://141.218.60.56/~jnz1568/getInfo.php?workbook=16_08.xlsx&amp;sheet=U0&amp;row=4119&amp;col=7&amp;number=0.0066&amp;sourceID=14","0.0066")</f>
        <v>0.0066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HYPERLINK("http://141.218.60.56/~jnz1568/getInfo.php?workbook=16_08.xlsx&amp;sheet=U0&amp;row=4120&amp;col=6&amp;number=4.6&amp;sourceID=14","4.6")</f>
        <v>4.6</v>
      </c>
      <c r="G4120" s="4" t="str">
        <f>HYPERLINK("http://141.218.60.56/~jnz1568/getInfo.php?workbook=16_08.xlsx&amp;sheet=U0&amp;row=4120&amp;col=7&amp;number=0.00657&amp;sourceID=14","0.00657")</f>
        <v>0.00657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HYPERLINK("http://141.218.60.56/~jnz1568/getInfo.php?workbook=16_08.xlsx&amp;sheet=U0&amp;row=4121&amp;col=6&amp;number=4.7&amp;sourceID=14","4.7")</f>
        <v>4.7</v>
      </c>
      <c r="G4121" s="4" t="str">
        <f>HYPERLINK("http://141.218.60.56/~jnz1568/getInfo.php?workbook=16_08.xlsx&amp;sheet=U0&amp;row=4121&amp;col=7&amp;number=0.00653&amp;sourceID=14","0.00653")</f>
        <v>0.00653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HYPERLINK("http://141.218.60.56/~jnz1568/getInfo.php?workbook=16_08.xlsx&amp;sheet=U0&amp;row=4122&amp;col=6&amp;number=4.8&amp;sourceID=14","4.8")</f>
        <v>4.8</v>
      </c>
      <c r="G4122" s="4" t="str">
        <f>HYPERLINK("http://141.218.60.56/~jnz1568/getInfo.php?workbook=16_08.xlsx&amp;sheet=U0&amp;row=4122&amp;col=7&amp;number=0.00649&amp;sourceID=14","0.00649")</f>
        <v>0.00649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HYPERLINK("http://141.218.60.56/~jnz1568/getInfo.php?workbook=16_08.xlsx&amp;sheet=U0&amp;row=4123&amp;col=6&amp;number=4.9&amp;sourceID=14","4.9")</f>
        <v>4.9</v>
      </c>
      <c r="G4123" s="4" t="str">
        <f>HYPERLINK("http://141.218.60.56/~jnz1568/getInfo.php?workbook=16_08.xlsx&amp;sheet=U0&amp;row=4123&amp;col=7&amp;number=0.00643&amp;sourceID=14","0.00643")</f>
        <v>0.00643</v>
      </c>
    </row>
    <row r="4124" spans="1:7">
      <c r="A4124" s="3">
        <v>16</v>
      </c>
      <c r="B4124" s="3">
        <v>8</v>
      </c>
      <c r="C4124" s="3">
        <v>3</v>
      </c>
      <c r="D4124" s="3">
        <v>41</v>
      </c>
      <c r="E4124" s="3">
        <v>1</v>
      </c>
      <c r="F4124" s="4" t="str">
        <f>HYPERLINK("http://141.218.60.56/~jnz1568/getInfo.php?workbook=16_08.xlsx&amp;sheet=U0&amp;row=4124&amp;col=6&amp;number=3&amp;sourceID=14","3")</f>
        <v>3</v>
      </c>
      <c r="G4124" s="4" t="str">
        <f>HYPERLINK("http://141.218.60.56/~jnz1568/getInfo.php?workbook=16_08.xlsx&amp;sheet=U0&amp;row=4124&amp;col=7&amp;number=0.00573&amp;sourceID=14","0.00573")</f>
        <v>0.00573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HYPERLINK("http://141.218.60.56/~jnz1568/getInfo.php?workbook=16_08.xlsx&amp;sheet=U0&amp;row=4125&amp;col=6&amp;number=3.1&amp;sourceID=14","3.1")</f>
        <v>3.1</v>
      </c>
      <c r="G4125" s="4" t="str">
        <f>HYPERLINK("http://141.218.60.56/~jnz1568/getInfo.php?workbook=16_08.xlsx&amp;sheet=U0&amp;row=4125&amp;col=7&amp;number=0.00573&amp;sourceID=14","0.00573")</f>
        <v>0.00573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HYPERLINK("http://141.218.60.56/~jnz1568/getInfo.php?workbook=16_08.xlsx&amp;sheet=U0&amp;row=4126&amp;col=6&amp;number=3.2&amp;sourceID=14","3.2")</f>
        <v>3.2</v>
      </c>
      <c r="G4126" s="4" t="str">
        <f>HYPERLINK("http://141.218.60.56/~jnz1568/getInfo.php?workbook=16_08.xlsx&amp;sheet=U0&amp;row=4126&amp;col=7&amp;number=0.00572&amp;sourceID=14","0.00572")</f>
        <v>0.00572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HYPERLINK("http://141.218.60.56/~jnz1568/getInfo.php?workbook=16_08.xlsx&amp;sheet=U0&amp;row=4127&amp;col=6&amp;number=3.3&amp;sourceID=14","3.3")</f>
        <v>3.3</v>
      </c>
      <c r="G4127" s="4" t="str">
        <f>HYPERLINK("http://141.218.60.56/~jnz1568/getInfo.php?workbook=16_08.xlsx&amp;sheet=U0&amp;row=4127&amp;col=7&amp;number=0.00572&amp;sourceID=14","0.00572")</f>
        <v>0.00572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HYPERLINK("http://141.218.60.56/~jnz1568/getInfo.php?workbook=16_08.xlsx&amp;sheet=U0&amp;row=4128&amp;col=6&amp;number=3.4&amp;sourceID=14","3.4")</f>
        <v>3.4</v>
      </c>
      <c r="G4128" s="4" t="str">
        <f>HYPERLINK("http://141.218.60.56/~jnz1568/getInfo.php?workbook=16_08.xlsx&amp;sheet=U0&amp;row=4128&amp;col=7&amp;number=0.00572&amp;sourceID=14","0.00572")</f>
        <v>0.00572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HYPERLINK("http://141.218.60.56/~jnz1568/getInfo.php?workbook=16_08.xlsx&amp;sheet=U0&amp;row=4129&amp;col=6&amp;number=3.5&amp;sourceID=14","3.5")</f>
        <v>3.5</v>
      </c>
      <c r="G4129" s="4" t="str">
        <f>HYPERLINK("http://141.218.60.56/~jnz1568/getInfo.php?workbook=16_08.xlsx&amp;sheet=U0&amp;row=4129&amp;col=7&amp;number=0.00572&amp;sourceID=14","0.00572")</f>
        <v>0.00572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HYPERLINK("http://141.218.60.56/~jnz1568/getInfo.php?workbook=16_08.xlsx&amp;sheet=U0&amp;row=4130&amp;col=6&amp;number=3.6&amp;sourceID=14","3.6")</f>
        <v>3.6</v>
      </c>
      <c r="G4130" s="4" t="str">
        <f>HYPERLINK("http://141.218.60.56/~jnz1568/getInfo.php?workbook=16_08.xlsx&amp;sheet=U0&amp;row=4130&amp;col=7&amp;number=0.00572&amp;sourceID=14","0.00572")</f>
        <v>0.00572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HYPERLINK("http://141.218.60.56/~jnz1568/getInfo.php?workbook=16_08.xlsx&amp;sheet=U0&amp;row=4131&amp;col=6&amp;number=3.7&amp;sourceID=14","3.7")</f>
        <v>3.7</v>
      </c>
      <c r="G4131" s="4" t="str">
        <f>HYPERLINK("http://141.218.60.56/~jnz1568/getInfo.php?workbook=16_08.xlsx&amp;sheet=U0&amp;row=4131&amp;col=7&amp;number=0.00571&amp;sourceID=14","0.00571")</f>
        <v>0.00571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HYPERLINK("http://141.218.60.56/~jnz1568/getInfo.php?workbook=16_08.xlsx&amp;sheet=U0&amp;row=4132&amp;col=6&amp;number=3.8&amp;sourceID=14","3.8")</f>
        <v>3.8</v>
      </c>
      <c r="G4132" s="4" t="str">
        <f>HYPERLINK("http://141.218.60.56/~jnz1568/getInfo.php?workbook=16_08.xlsx&amp;sheet=U0&amp;row=4132&amp;col=7&amp;number=0.00571&amp;sourceID=14","0.00571")</f>
        <v>0.00571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HYPERLINK("http://141.218.60.56/~jnz1568/getInfo.php?workbook=16_08.xlsx&amp;sheet=U0&amp;row=4133&amp;col=6&amp;number=3.9&amp;sourceID=14","3.9")</f>
        <v>3.9</v>
      </c>
      <c r="G4133" s="4" t="str">
        <f>HYPERLINK("http://141.218.60.56/~jnz1568/getInfo.php?workbook=16_08.xlsx&amp;sheet=U0&amp;row=4133&amp;col=7&amp;number=0.0057&amp;sourceID=14","0.0057")</f>
        <v>0.0057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HYPERLINK("http://141.218.60.56/~jnz1568/getInfo.php?workbook=16_08.xlsx&amp;sheet=U0&amp;row=4134&amp;col=6&amp;number=4&amp;sourceID=14","4")</f>
        <v>4</v>
      </c>
      <c r="G4134" s="4" t="str">
        <f>HYPERLINK("http://141.218.60.56/~jnz1568/getInfo.php?workbook=16_08.xlsx&amp;sheet=U0&amp;row=4134&amp;col=7&amp;number=0.0057&amp;sourceID=14","0.0057")</f>
        <v>0.0057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HYPERLINK("http://141.218.60.56/~jnz1568/getInfo.php?workbook=16_08.xlsx&amp;sheet=U0&amp;row=4135&amp;col=6&amp;number=4.1&amp;sourceID=14","4.1")</f>
        <v>4.1</v>
      </c>
      <c r="G4135" s="4" t="str">
        <f>HYPERLINK("http://141.218.60.56/~jnz1568/getInfo.php?workbook=16_08.xlsx&amp;sheet=U0&amp;row=4135&amp;col=7&amp;number=0.00569&amp;sourceID=14","0.00569")</f>
        <v>0.00569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HYPERLINK("http://141.218.60.56/~jnz1568/getInfo.php?workbook=16_08.xlsx&amp;sheet=U0&amp;row=4136&amp;col=6&amp;number=4.2&amp;sourceID=14","4.2")</f>
        <v>4.2</v>
      </c>
      <c r="G4136" s="4" t="str">
        <f>HYPERLINK("http://141.218.60.56/~jnz1568/getInfo.php?workbook=16_08.xlsx&amp;sheet=U0&amp;row=4136&amp;col=7&amp;number=0.00568&amp;sourceID=14","0.00568")</f>
        <v>0.00568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HYPERLINK("http://141.218.60.56/~jnz1568/getInfo.php?workbook=16_08.xlsx&amp;sheet=U0&amp;row=4137&amp;col=6&amp;number=4.3&amp;sourceID=14","4.3")</f>
        <v>4.3</v>
      </c>
      <c r="G4137" s="4" t="str">
        <f>HYPERLINK("http://141.218.60.56/~jnz1568/getInfo.php?workbook=16_08.xlsx&amp;sheet=U0&amp;row=4137&amp;col=7&amp;number=0.00566&amp;sourceID=14","0.00566")</f>
        <v>0.00566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HYPERLINK("http://141.218.60.56/~jnz1568/getInfo.php?workbook=16_08.xlsx&amp;sheet=U0&amp;row=4138&amp;col=6&amp;number=4.4&amp;sourceID=14","4.4")</f>
        <v>4.4</v>
      </c>
      <c r="G4138" s="4" t="str">
        <f>HYPERLINK("http://141.218.60.56/~jnz1568/getInfo.php?workbook=16_08.xlsx&amp;sheet=U0&amp;row=4138&amp;col=7&amp;number=0.00565&amp;sourceID=14","0.00565")</f>
        <v>0.00565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HYPERLINK("http://141.218.60.56/~jnz1568/getInfo.php?workbook=16_08.xlsx&amp;sheet=U0&amp;row=4139&amp;col=6&amp;number=4.5&amp;sourceID=14","4.5")</f>
        <v>4.5</v>
      </c>
      <c r="G4139" s="4" t="str">
        <f>HYPERLINK("http://141.218.60.56/~jnz1568/getInfo.php?workbook=16_08.xlsx&amp;sheet=U0&amp;row=4139&amp;col=7&amp;number=0.00562&amp;sourceID=14","0.00562")</f>
        <v>0.00562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HYPERLINK("http://141.218.60.56/~jnz1568/getInfo.php?workbook=16_08.xlsx&amp;sheet=U0&amp;row=4140&amp;col=6&amp;number=4.6&amp;sourceID=14","4.6")</f>
        <v>4.6</v>
      </c>
      <c r="G4140" s="4" t="str">
        <f>HYPERLINK("http://141.218.60.56/~jnz1568/getInfo.php?workbook=16_08.xlsx&amp;sheet=U0&amp;row=4140&amp;col=7&amp;number=0.0056&amp;sourceID=14","0.0056")</f>
        <v>0.0056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HYPERLINK("http://141.218.60.56/~jnz1568/getInfo.php?workbook=16_08.xlsx&amp;sheet=U0&amp;row=4141&amp;col=6&amp;number=4.7&amp;sourceID=14","4.7")</f>
        <v>4.7</v>
      </c>
      <c r="G4141" s="4" t="str">
        <f>HYPERLINK("http://141.218.60.56/~jnz1568/getInfo.php?workbook=16_08.xlsx&amp;sheet=U0&amp;row=4141&amp;col=7&amp;number=0.00556&amp;sourceID=14","0.00556")</f>
        <v>0.00556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HYPERLINK("http://141.218.60.56/~jnz1568/getInfo.php?workbook=16_08.xlsx&amp;sheet=U0&amp;row=4142&amp;col=6&amp;number=4.8&amp;sourceID=14","4.8")</f>
        <v>4.8</v>
      </c>
      <c r="G4142" s="4" t="str">
        <f>HYPERLINK("http://141.218.60.56/~jnz1568/getInfo.php?workbook=16_08.xlsx&amp;sheet=U0&amp;row=4142&amp;col=7&amp;number=0.00552&amp;sourceID=14","0.00552")</f>
        <v>0.00552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HYPERLINK("http://141.218.60.56/~jnz1568/getInfo.php?workbook=16_08.xlsx&amp;sheet=U0&amp;row=4143&amp;col=6&amp;number=4.9&amp;sourceID=14","4.9")</f>
        <v>4.9</v>
      </c>
      <c r="G4143" s="4" t="str">
        <f>HYPERLINK("http://141.218.60.56/~jnz1568/getInfo.php?workbook=16_08.xlsx&amp;sheet=U0&amp;row=4143&amp;col=7&amp;number=0.00547&amp;sourceID=14","0.00547")</f>
        <v>0.00547</v>
      </c>
    </row>
    <row r="4144" spans="1:7">
      <c r="A4144" s="3">
        <v>16</v>
      </c>
      <c r="B4144" s="3">
        <v>8</v>
      </c>
      <c r="C4144" s="3">
        <v>3</v>
      </c>
      <c r="D4144" s="3">
        <v>42</v>
      </c>
      <c r="E4144" s="3">
        <v>1</v>
      </c>
      <c r="F4144" s="4" t="str">
        <f>HYPERLINK("http://141.218.60.56/~jnz1568/getInfo.php?workbook=16_08.xlsx&amp;sheet=U0&amp;row=4144&amp;col=6&amp;number=3&amp;sourceID=14","3")</f>
        <v>3</v>
      </c>
      <c r="G4144" s="4" t="str">
        <f>HYPERLINK("http://141.218.60.56/~jnz1568/getInfo.php?workbook=16_08.xlsx&amp;sheet=U0&amp;row=4144&amp;col=7&amp;number=0.00957&amp;sourceID=14","0.00957")</f>
        <v>0.00957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HYPERLINK("http://141.218.60.56/~jnz1568/getInfo.php?workbook=16_08.xlsx&amp;sheet=U0&amp;row=4145&amp;col=6&amp;number=3.1&amp;sourceID=14","3.1")</f>
        <v>3.1</v>
      </c>
      <c r="G4145" s="4" t="str">
        <f>HYPERLINK("http://141.218.60.56/~jnz1568/getInfo.php?workbook=16_08.xlsx&amp;sheet=U0&amp;row=4145&amp;col=7&amp;number=0.00957&amp;sourceID=14","0.00957")</f>
        <v>0.00957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HYPERLINK("http://141.218.60.56/~jnz1568/getInfo.php?workbook=16_08.xlsx&amp;sheet=U0&amp;row=4146&amp;col=6&amp;number=3.2&amp;sourceID=14","3.2")</f>
        <v>3.2</v>
      </c>
      <c r="G4146" s="4" t="str">
        <f>HYPERLINK("http://141.218.60.56/~jnz1568/getInfo.php?workbook=16_08.xlsx&amp;sheet=U0&amp;row=4146&amp;col=7&amp;number=0.00957&amp;sourceID=14","0.00957")</f>
        <v>0.00957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HYPERLINK("http://141.218.60.56/~jnz1568/getInfo.php?workbook=16_08.xlsx&amp;sheet=U0&amp;row=4147&amp;col=6&amp;number=3.3&amp;sourceID=14","3.3")</f>
        <v>3.3</v>
      </c>
      <c r="G4147" s="4" t="str">
        <f>HYPERLINK("http://141.218.60.56/~jnz1568/getInfo.php?workbook=16_08.xlsx&amp;sheet=U0&amp;row=4147&amp;col=7&amp;number=0.00957&amp;sourceID=14","0.00957")</f>
        <v>0.00957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HYPERLINK("http://141.218.60.56/~jnz1568/getInfo.php?workbook=16_08.xlsx&amp;sheet=U0&amp;row=4148&amp;col=6&amp;number=3.4&amp;sourceID=14","3.4")</f>
        <v>3.4</v>
      </c>
      <c r="G4148" s="4" t="str">
        <f>HYPERLINK("http://141.218.60.56/~jnz1568/getInfo.php?workbook=16_08.xlsx&amp;sheet=U0&amp;row=4148&amp;col=7&amp;number=0.00957&amp;sourceID=14","0.00957")</f>
        <v>0.00957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HYPERLINK("http://141.218.60.56/~jnz1568/getInfo.php?workbook=16_08.xlsx&amp;sheet=U0&amp;row=4149&amp;col=6&amp;number=3.5&amp;sourceID=14","3.5")</f>
        <v>3.5</v>
      </c>
      <c r="G4149" s="4" t="str">
        <f>HYPERLINK("http://141.218.60.56/~jnz1568/getInfo.php?workbook=16_08.xlsx&amp;sheet=U0&amp;row=4149&amp;col=7&amp;number=0.00956&amp;sourceID=14","0.00956")</f>
        <v>0.00956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HYPERLINK("http://141.218.60.56/~jnz1568/getInfo.php?workbook=16_08.xlsx&amp;sheet=U0&amp;row=4150&amp;col=6&amp;number=3.6&amp;sourceID=14","3.6")</f>
        <v>3.6</v>
      </c>
      <c r="G4150" s="4" t="str">
        <f>HYPERLINK("http://141.218.60.56/~jnz1568/getInfo.php?workbook=16_08.xlsx&amp;sheet=U0&amp;row=4150&amp;col=7&amp;number=0.00956&amp;sourceID=14","0.00956")</f>
        <v>0.00956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HYPERLINK("http://141.218.60.56/~jnz1568/getInfo.php?workbook=16_08.xlsx&amp;sheet=U0&amp;row=4151&amp;col=6&amp;number=3.7&amp;sourceID=14","3.7")</f>
        <v>3.7</v>
      </c>
      <c r="G4151" s="4" t="str">
        <f>HYPERLINK("http://141.218.60.56/~jnz1568/getInfo.php?workbook=16_08.xlsx&amp;sheet=U0&amp;row=4151&amp;col=7&amp;number=0.00955&amp;sourceID=14","0.00955")</f>
        <v>0.00955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HYPERLINK("http://141.218.60.56/~jnz1568/getInfo.php?workbook=16_08.xlsx&amp;sheet=U0&amp;row=4152&amp;col=6&amp;number=3.8&amp;sourceID=14","3.8")</f>
        <v>3.8</v>
      </c>
      <c r="G4152" s="4" t="str">
        <f>HYPERLINK("http://141.218.60.56/~jnz1568/getInfo.php?workbook=16_08.xlsx&amp;sheet=U0&amp;row=4152&amp;col=7&amp;number=0.00955&amp;sourceID=14","0.00955")</f>
        <v>0.00955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HYPERLINK("http://141.218.60.56/~jnz1568/getInfo.php?workbook=16_08.xlsx&amp;sheet=U0&amp;row=4153&amp;col=6&amp;number=3.9&amp;sourceID=14","3.9")</f>
        <v>3.9</v>
      </c>
      <c r="G4153" s="4" t="str">
        <f>HYPERLINK("http://141.218.60.56/~jnz1568/getInfo.php?workbook=16_08.xlsx&amp;sheet=U0&amp;row=4153&amp;col=7&amp;number=0.00954&amp;sourceID=14","0.00954")</f>
        <v>0.00954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HYPERLINK("http://141.218.60.56/~jnz1568/getInfo.php?workbook=16_08.xlsx&amp;sheet=U0&amp;row=4154&amp;col=6&amp;number=4&amp;sourceID=14","4")</f>
        <v>4</v>
      </c>
      <c r="G4154" s="4" t="str">
        <f>HYPERLINK("http://141.218.60.56/~jnz1568/getInfo.php?workbook=16_08.xlsx&amp;sheet=U0&amp;row=4154&amp;col=7&amp;number=0.00953&amp;sourceID=14","0.00953")</f>
        <v>0.00953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HYPERLINK("http://141.218.60.56/~jnz1568/getInfo.php?workbook=16_08.xlsx&amp;sheet=U0&amp;row=4155&amp;col=6&amp;number=4.1&amp;sourceID=14","4.1")</f>
        <v>4.1</v>
      </c>
      <c r="G4155" s="4" t="str">
        <f>HYPERLINK("http://141.218.60.56/~jnz1568/getInfo.php?workbook=16_08.xlsx&amp;sheet=U0&amp;row=4155&amp;col=7&amp;number=0.00951&amp;sourceID=14","0.00951")</f>
        <v>0.00951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HYPERLINK("http://141.218.60.56/~jnz1568/getInfo.php?workbook=16_08.xlsx&amp;sheet=U0&amp;row=4156&amp;col=6&amp;number=4.2&amp;sourceID=14","4.2")</f>
        <v>4.2</v>
      </c>
      <c r="G4156" s="4" t="str">
        <f>HYPERLINK("http://141.218.60.56/~jnz1568/getInfo.php?workbook=16_08.xlsx&amp;sheet=U0&amp;row=4156&amp;col=7&amp;number=0.0095&amp;sourceID=14","0.0095")</f>
        <v>0.0095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HYPERLINK("http://141.218.60.56/~jnz1568/getInfo.php?workbook=16_08.xlsx&amp;sheet=U0&amp;row=4157&amp;col=6&amp;number=4.3&amp;sourceID=14","4.3")</f>
        <v>4.3</v>
      </c>
      <c r="G4157" s="4" t="str">
        <f>HYPERLINK("http://141.218.60.56/~jnz1568/getInfo.php?workbook=16_08.xlsx&amp;sheet=U0&amp;row=4157&amp;col=7&amp;number=0.00948&amp;sourceID=14","0.00948")</f>
        <v>0.00948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HYPERLINK("http://141.218.60.56/~jnz1568/getInfo.php?workbook=16_08.xlsx&amp;sheet=U0&amp;row=4158&amp;col=6&amp;number=4.4&amp;sourceID=14","4.4")</f>
        <v>4.4</v>
      </c>
      <c r="G4158" s="4" t="str">
        <f>HYPERLINK("http://141.218.60.56/~jnz1568/getInfo.php?workbook=16_08.xlsx&amp;sheet=U0&amp;row=4158&amp;col=7&amp;number=0.00945&amp;sourceID=14","0.00945")</f>
        <v>0.00945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HYPERLINK("http://141.218.60.56/~jnz1568/getInfo.php?workbook=16_08.xlsx&amp;sheet=U0&amp;row=4159&amp;col=6&amp;number=4.5&amp;sourceID=14","4.5")</f>
        <v>4.5</v>
      </c>
      <c r="G4159" s="4" t="str">
        <f>HYPERLINK("http://141.218.60.56/~jnz1568/getInfo.php?workbook=16_08.xlsx&amp;sheet=U0&amp;row=4159&amp;col=7&amp;number=0.00941&amp;sourceID=14","0.00941")</f>
        <v>0.00941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HYPERLINK("http://141.218.60.56/~jnz1568/getInfo.php?workbook=16_08.xlsx&amp;sheet=U0&amp;row=4160&amp;col=6&amp;number=4.6&amp;sourceID=14","4.6")</f>
        <v>4.6</v>
      </c>
      <c r="G4160" s="4" t="str">
        <f>HYPERLINK("http://141.218.60.56/~jnz1568/getInfo.php?workbook=16_08.xlsx&amp;sheet=U0&amp;row=4160&amp;col=7&amp;number=0.00937&amp;sourceID=14","0.00937")</f>
        <v>0.00937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HYPERLINK("http://141.218.60.56/~jnz1568/getInfo.php?workbook=16_08.xlsx&amp;sheet=U0&amp;row=4161&amp;col=6&amp;number=4.7&amp;sourceID=14","4.7")</f>
        <v>4.7</v>
      </c>
      <c r="G4161" s="4" t="str">
        <f>HYPERLINK("http://141.218.60.56/~jnz1568/getInfo.php?workbook=16_08.xlsx&amp;sheet=U0&amp;row=4161&amp;col=7&amp;number=0.00932&amp;sourceID=14","0.00932")</f>
        <v>0.00932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HYPERLINK("http://141.218.60.56/~jnz1568/getInfo.php?workbook=16_08.xlsx&amp;sheet=U0&amp;row=4162&amp;col=6&amp;number=4.8&amp;sourceID=14","4.8")</f>
        <v>4.8</v>
      </c>
      <c r="G4162" s="4" t="str">
        <f>HYPERLINK("http://141.218.60.56/~jnz1568/getInfo.php?workbook=16_08.xlsx&amp;sheet=U0&amp;row=4162&amp;col=7&amp;number=0.00926&amp;sourceID=14","0.00926")</f>
        <v>0.00926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HYPERLINK("http://141.218.60.56/~jnz1568/getInfo.php?workbook=16_08.xlsx&amp;sheet=U0&amp;row=4163&amp;col=6&amp;number=4.9&amp;sourceID=14","4.9")</f>
        <v>4.9</v>
      </c>
      <c r="G4163" s="4" t="str">
        <f>HYPERLINK("http://141.218.60.56/~jnz1568/getInfo.php?workbook=16_08.xlsx&amp;sheet=U0&amp;row=4163&amp;col=7&amp;number=0.00917&amp;sourceID=14","0.00917")</f>
        <v>0.00917</v>
      </c>
    </row>
    <row r="4164" spans="1:7">
      <c r="A4164" s="3">
        <v>16</v>
      </c>
      <c r="B4164" s="3">
        <v>8</v>
      </c>
      <c r="C4164" s="3">
        <v>3</v>
      </c>
      <c r="D4164" s="3">
        <v>43</v>
      </c>
      <c r="E4164" s="3">
        <v>1</v>
      </c>
      <c r="F4164" s="4" t="str">
        <f>HYPERLINK("http://141.218.60.56/~jnz1568/getInfo.php?workbook=16_08.xlsx&amp;sheet=U0&amp;row=4164&amp;col=6&amp;number=3&amp;sourceID=14","3")</f>
        <v>3</v>
      </c>
      <c r="G4164" s="4" t="str">
        <f>HYPERLINK("http://141.218.60.56/~jnz1568/getInfo.php?workbook=16_08.xlsx&amp;sheet=U0&amp;row=4164&amp;col=7&amp;number=0.00113&amp;sourceID=14","0.00113")</f>
        <v>0.00113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HYPERLINK("http://141.218.60.56/~jnz1568/getInfo.php?workbook=16_08.xlsx&amp;sheet=U0&amp;row=4165&amp;col=6&amp;number=3.1&amp;sourceID=14","3.1")</f>
        <v>3.1</v>
      </c>
      <c r="G4165" s="4" t="str">
        <f>HYPERLINK("http://141.218.60.56/~jnz1568/getInfo.php?workbook=16_08.xlsx&amp;sheet=U0&amp;row=4165&amp;col=7&amp;number=0.00113&amp;sourceID=14","0.00113")</f>
        <v>0.00113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HYPERLINK("http://141.218.60.56/~jnz1568/getInfo.php?workbook=16_08.xlsx&amp;sheet=U0&amp;row=4166&amp;col=6&amp;number=3.2&amp;sourceID=14","3.2")</f>
        <v>3.2</v>
      </c>
      <c r="G4166" s="4" t="str">
        <f>HYPERLINK("http://141.218.60.56/~jnz1568/getInfo.php?workbook=16_08.xlsx&amp;sheet=U0&amp;row=4166&amp;col=7&amp;number=0.00113&amp;sourceID=14","0.00113")</f>
        <v>0.00113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HYPERLINK("http://141.218.60.56/~jnz1568/getInfo.php?workbook=16_08.xlsx&amp;sheet=U0&amp;row=4167&amp;col=6&amp;number=3.3&amp;sourceID=14","3.3")</f>
        <v>3.3</v>
      </c>
      <c r="G4167" s="4" t="str">
        <f>HYPERLINK("http://141.218.60.56/~jnz1568/getInfo.php?workbook=16_08.xlsx&amp;sheet=U0&amp;row=4167&amp;col=7&amp;number=0.00113&amp;sourceID=14","0.00113")</f>
        <v>0.00113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HYPERLINK("http://141.218.60.56/~jnz1568/getInfo.php?workbook=16_08.xlsx&amp;sheet=U0&amp;row=4168&amp;col=6&amp;number=3.4&amp;sourceID=14","3.4")</f>
        <v>3.4</v>
      </c>
      <c r="G4168" s="4" t="str">
        <f>HYPERLINK("http://141.218.60.56/~jnz1568/getInfo.php?workbook=16_08.xlsx&amp;sheet=U0&amp;row=4168&amp;col=7&amp;number=0.00113&amp;sourceID=14","0.00113")</f>
        <v>0.00113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HYPERLINK("http://141.218.60.56/~jnz1568/getInfo.php?workbook=16_08.xlsx&amp;sheet=U0&amp;row=4169&amp;col=6&amp;number=3.5&amp;sourceID=14","3.5")</f>
        <v>3.5</v>
      </c>
      <c r="G4169" s="4" t="str">
        <f>HYPERLINK("http://141.218.60.56/~jnz1568/getInfo.php?workbook=16_08.xlsx&amp;sheet=U0&amp;row=4169&amp;col=7&amp;number=0.00113&amp;sourceID=14","0.00113")</f>
        <v>0.00113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HYPERLINK("http://141.218.60.56/~jnz1568/getInfo.php?workbook=16_08.xlsx&amp;sheet=U0&amp;row=4170&amp;col=6&amp;number=3.6&amp;sourceID=14","3.6")</f>
        <v>3.6</v>
      </c>
      <c r="G4170" s="4" t="str">
        <f>HYPERLINK("http://141.218.60.56/~jnz1568/getInfo.php?workbook=16_08.xlsx&amp;sheet=U0&amp;row=4170&amp;col=7&amp;number=0.00113&amp;sourceID=14","0.00113")</f>
        <v>0.00113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HYPERLINK("http://141.218.60.56/~jnz1568/getInfo.php?workbook=16_08.xlsx&amp;sheet=U0&amp;row=4171&amp;col=6&amp;number=3.7&amp;sourceID=14","3.7")</f>
        <v>3.7</v>
      </c>
      <c r="G4171" s="4" t="str">
        <f>HYPERLINK("http://141.218.60.56/~jnz1568/getInfo.php?workbook=16_08.xlsx&amp;sheet=U0&amp;row=4171&amp;col=7&amp;number=0.00113&amp;sourceID=14","0.00113")</f>
        <v>0.00113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HYPERLINK("http://141.218.60.56/~jnz1568/getInfo.php?workbook=16_08.xlsx&amp;sheet=U0&amp;row=4172&amp;col=6&amp;number=3.8&amp;sourceID=14","3.8")</f>
        <v>3.8</v>
      </c>
      <c r="G4172" s="4" t="str">
        <f>HYPERLINK("http://141.218.60.56/~jnz1568/getInfo.php?workbook=16_08.xlsx&amp;sheet=U0&amp;row=4172&amp;col=7&amp;number=0.00113&amp;sourceID=14","0.00113")</f>
        <v>0.00113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HYPERLINK("http://141.218.60.56/~jnz1568/getInfo.php?workbook=16_08.xlsx&amp;sheet=U0&amp;row=4173&amp;col=6&amp;number=3.9&amp;sourceID=14","3.9")</f>
        <v>3.9</v>
      </c>
      <c r="G4173" s="4" t="str">
        <f>HYPERLINK("http://141.218.60.56/~jnz1568/getInfo.php?workbook=16_08.xlsx&amp;sheet=U0&amp;row=4173&amp;col=7&amp;number=0.00113&amp;sourceID=14","0.00113")</f>
        <v>0.00113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HYPERLINK("http://141.218.60.56/~jnz1568/getInfo.php?workbook=16_08.xlsx&amp;sheet=U0&amp;row=4174&amp;col=6&amp;number=4&amp;sourceID=14","4")</f>
        <v>4</v>
      </c>
      <c r="G4174" s="4" t="str">
        <f>HYPERLINK("http://141.218.60.56/~jnz1568/getInfo.php?workbook=16_08.xlsx&amp;sheet=U0&amp;row=4174&amp;col=7&amp;number=0.00113&amp;sourceID=14","0.00113")</f>
        <v>0.00113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HYPERLINK("http://141.218.60.56/~jnz1568/getInfo.php?workbook=16_08.xlsx&amp;sheet=U0&amp;row=4175&amp;col=6&amp;number=4.1&amp;sourceID=14","4.1")</f>
        <v>4.1</v>
      </c>
      <c r="G4175" s="4" t="str">
        <f>HYPERLINK("http://141.218.60.56/~jnz1568/getInfo.php?workbook=16_08.xlsx&amp;sheet=U0&amp;row=4175&amp;col=7&amp;number=0.00113&amp;sourceID=14","0.00113")</f>
        <v>0.00113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HYPERLINK("http://141.218.60.56/~jnz1568/getInfo.php?workbook=16_08.xlsx&amp;sheet=U0&amp;row=4176&amp;col=6&amp;number=4.2&amp;sourceID=14","4.2")</f>
        <v>4.2</v>
      </c>
      <c r="G4176" s="4" t="str">
        <f>HYPERLINK("http://141.218.60.56/~jnz1568/getInfo.php?workbook=16_08.xlsx&amp;sheet=U0&amp;row=4176&amp;col=7&amp;number=0.00113&amp;sourceID=14","0.00113")</f>
        <v>0.00113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HYPERLINK("http://141.218.60.56/~jnz1568/getInfo.php?workbook=16_08.xlsx&amp;sheet=U0&amp;row=4177&amp;col=6&amp;number=4.3&amp;sourceID=14","4.3")</f>
        <v>4.3</v>
      </c>
      <c r="G4177" s="4" t="str">
        <f>HYPERLINK("http://141.218.60.56/~jnz1568/getInfo.php?workbook=16_08.xlsx&amp;sheet=U0&amp;row=4177&amp;col=7&amp;number=0.00113&amp;sourceID=14","0.00113")</f>
        <v>0.00113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HYPERLINK("http://141.218.60.56/~jnz1568/getInfo.php?workbook=16_08.xlsx&amp;sheet=U0&amp;row=4178&amp;col=6&amp;number=4.4&amp;sourceID=14","4.4")</f>
        <v>4.4</v>
      </c>
      <c r="G4178" s="4" t="str">
        <f>HYPERLINK("http://141.218.60.56/~jnz1568/getInfo.php?workbook=16_08.xlsx&amp;sheet=U0&amp;row=4178&amp;col=7&amp;number=0.00113&amp;sourceID=14","0.00113")</f>
        <v>0.00113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HYPERLINK("http://141.218.60.56/~jnz1568/getInfo.php?workbook=16_08.xlsx&amp;sheet=U0&amp;row=4179&amp;col=6&amp;number=4.5&amp;sourceID=14","4.5")</f>
        <v>4.5</v>
      </c>
      <c r="G4179" s="4" t="str">
        <f>HYPERLINK("http://141.218.60.56/~jnz1568/getInfo.php?workbook=16_08.xlsx&amp;sheet=U0&amp;row=4179&amp;col=7&amp;number=0.00113&amp;sourceID=14","0.00113")</f>
        <v>0.00113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HYPERLINK("http://141.218.60.56/~jnz1568/getInfo.php?workbook=16_08.xlsx&amp;sheet=U0&amp;row=4180&amp;col=6&amp;number=4.6&amp;sourceID=14","4.6")</f>
        <v>4.6</v>
      </c>
      <c r="G4180" s="4" t="str">
        <f>HYPERLINK("http://141.218.60.56/~jnz1568/getInfo.php?workbook=16_08.xlsx&amp;sheet=U0&amp;row=4180&amp;col=7&amp;number=0.00112&amp;sourceID=14","0.00112")</f>
        <v>0.00112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HYPERLINK("http://141.218.60.56/~jnz1568/getInfo.php?workbook=16_08.xlsx&amp;sheet=U0&amp;row=4181&amp;col=6&amp;number=4.7&amp;sourceID=14","4.7")</f>
        <v>4.7</v>
      </c>
      <c r="G4181" s="4" t="str">
        <f>HYPERLINK("http://141.218.60.56/~jnz1568/getInfo.php?workbook=16_08.xlsx&amp;sheet=U0&amp;row=4181&amp;col=7&amp;number=0.00112&amp;sourceID=14","0.00112")</f>
        <v>0.00112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HYPERLINK("http://141.218.60.56/~jnz1568/getInfo.php?workbook=16_08.xlsx&amp;sheet=U0&amp;row=4182&amp;col=6&amp;number=4.8&amp;sourceID=14","4.8")</f>
        <v>4.8</v>
      </c>
      <c r="G4182" s="4" t="str">
        <f>HYPERLINK("http://141.218.60.56/~jnz1568/getInfo.php?workbook=16_08.xlsx&amp;sheet=U0&amp;row=4182&amp;col=7&amp;number=0.00112&amp;sourceID=14","0.00112")</f>
        <v>0.00112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HYPERLINK("http://141.218.60.56/~jnz1568/getInfo.php?workbook=16_08.xlsx&amp;sheet=U0&amp;row=4183&amp;col=6&amp;number=4.9&amp;sourceID=14","4.9")</f>
        <v>4.9</v>
      </c>
      <c r="G4183" s="4" t="str">
        <f>HYPERLINK("http://141.218.60.56/~jnz1568/getInfo.php?workbook=16_08.xlsx&amp;sheet=U0&amp;row=4183&amp;col=7&amp;number=0.00111&amp;sourceID=14","0.00111")</f>
        <v>0.00111</v>
      </c>
    </row>
    <row r="4184" spans="1:7">
      <c r="A4184" s="3">
        <v>16</v>
      </c>
      <c r="B4184" s="3">
        <v>8</v>
      </c>
      <c r="C4184" s="3">
        <v>3</v>
      </c>
      <c r="D4184" s="3">
        <v>44</v>
      </c>
      <c r="E4184" s="3">
        <v>1</v>
      </c>
      <c r="F4184" s="4" t="str">
        <f>HYPERLINK("http://141.218.60.56/~jnz1568/getInfo.php?workbook=16_08.xlsx&amp;sheet=U0&amp;row=4184&amp;col=6&amp;number=3&amp;sourceID=14","3")</f>
        <v>3</v>
      </c>
      <c r="G4184" s="4" t="str">
        <f>HYPERLINK("http://141.218.60.56/~jnz1568/getInfo.php?workbook=16_08.xlsx&amp;sheet=U0&amp;row=4184&amp;col=7&amp;number=0.000943&amp;sourceID=14","0.000943")</f>
        <v>0.000943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HYPERLINK("http://141.218.60.56/~jnz1568/getInfo.php?workbook=16_08.xlsx&amp;sheet=U0&amp;row=4185&amp;col=6&amp;number=3.1&amp;sourceID=14","3.1")</f>
        <v>3.1</v>
      </c>
      <c r="G4185" s="4" t="str">
        <f>HYPERLINK("http://141.218.60.56/~jnz1568/getInfo.php?workbook=16_08.xlsx&amp;sheet=U0&amp;row=4185&amp;col=7&amp;number=0.000943&amp;sourceID=14","0.000943")</f>
        <v>0.000943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HYPERLINK("http://141.218.60.56/~jnz1568/getInfo.php?workbook=16_08.xlsx&amp;sheet=U0&amp;row=4186&amp;col=6&amp;number=3.2&amp;sourceID=14","3.2")</f>
        <v>3.2</v>
      </c>
      <c r="G4186" s="4" t="str">
        <f>HYPERLINK("http://141.218.60.56/~jnz1568/getInfo.php?workbook=16_08.xlsx&amp;sheet=U0&amp;row=4186&amp;col=7&amp;number=0.000943&amp;sourceID=14","0.000943")</f>
        <v>0.000943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HYPERLINK("http://141.218.60.56/~jnz1568/getInfo.php?workbook=16_08.xlsx&amp;sheet=U0&amp;row=4187&amp;col=6&amp;number=3.3&amp;sourceID=14","3.3")</f>
        <v>3.3</v>
      </c>
      <c r="G4187" s="4" t="str">
        <f>HYPERLINK("http://141.218.60.56/~jnz1568/getInfo.php?workbook=16_08.xlsx&amp;sheet=U0&amp;row=4187&amp;col=7&amp;number=0.000943&amp;sourceID=14","0.000943")</f>
        <v>0.000943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HYPERLINK("http://141.218.60.56/~jnz1568/getInfo.php?workbook=16_08.xlsx&amp;sheet=U0&amp;row=4188&amp;col=6&amp;number=3.4&amp;sourceID=14","3.4")</f>
        <v>3.4</v>
      </c>
      <c r="G4188" s="4" t="str">
        <f>HYPERLINK("http://141.218.60.56/~jnz1568/getInfo.php?workbook=16_08.xlsx&amp;sheet=U0&amp;row=4188&amp;col=7&amp;number=0.000943&amp;sourceID=14","0.000943")</f>
        <v>0.000943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HYPERLINK("http://141.218.60.56/~jnz1568/getInfo.php?workbook=16_08.xlsx&amp;sheet=U0&amp;row=4189&amp;col=6&amp;number=3.5&amp;sourceID=14","3.5")</f>
        <v>3.5</v>
      </c>
      <c r="G4189" s="4" t="str">
        <f>HYPERLINK("http://141.218.60.56/~jnz1568/getInfo.php?workbook=16_08.xlsx&amp;sheet=U0&amp;row=4189&amp;col=7&amp;number=0.000943&amp;sourceID=14","0.000943")</f>
        <v>0.000943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HYPERLINK("http://141.218.60.56/~jnz1568/getInfo.php?workbook=16_08.xlsx&amp;sheet=U0&amp;row=4190&amp;col=6&amp;number=3.6&amp;sourceID=14","3.6")</f>
        <v>3.6</v>
      </c>
      <c r="G4190" s="4" t="str">
        <f>HYPERLINK("http://141.218.60.56/~jnz1568/getInfo.php?workbook=16_08.xlsx&amp;sheet=U0&amp;row=4190&amp;col=7&amp;number=0.000944&amp;sourceID=14","0.000944")</f>
        <v>0.000944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HYPERLINK("http://141.218.60.56/~jnz1568/getInfo.php?workbook=16_08.xlsx&amp;sheet=U0&amp;row=4191&amp;col=6&amp;number=3.7&amp;sourceID=14","3.7")</f>
        <v>3.7</v>
      </c>
      <c r="G4191" s="4" t="str">
        <f>HYPERLINK("http://141.218.60.56/~jnz1568/getInfo.php?workbook=16_08.xlsx&amp;sheet=U0&amp;row=4191&amp;col=7&amp;number=0.000944&amp;sourceID=14","0.000944")</f>
        <v>0.000944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HYPERLINK("http://141.218.60.56/~jnz1568/getInfo.php?workbook=16_08.xlsx&amp;sheet=U0&amp;row=4192&amp;col=6&amp;number=3.8&amp;sourceID=14","3.8")</f>
        <v>3.8</v>
      </c>
      <c r="G4192" s="4" t="str">
        <f>HYPERLINK("http://141.218.60.56/~jnz1568/getInfo.php?workbook=16_08.xlsx&amp;sheet=U0&amp;row=4192&amp;col=7&amp;number=0.000944&amp;sourceID=14","0.000944")</f>
        <v>0.000944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HYPERLINK("http://141.218.60.56/~jnz1568/getInfo.php?workbook=16_08.xlsx&amp;sheet=U0&amp;row=4193&amp;col=6&amp;number=3.9&amp;sourceID=14","3.9")</f>
        <v>3.9</v>
      </c>
      <c r="G4193" s="4" t="str">
        <f>HYPERLINK("http://141.218.60.56/~jnz1568/getInfo.php?workbook=16_08.xlsx&amp;sheet=U0&amp;row=4193&amp;col=7&amp;number=0.000944&amp;sourceID=14","0.000944")</f>
        <v>0.000944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HYPERLINK("http://141.218.60.56/~jnz1568/getInfo.php?workbook=16_08.xlsx&amp;sheet=U0&amp;row=4194&amp;col=6&amp;number=4&amp;sourceID=14","4")</f>
        <v>4</v>
      </c>
      <c r="G4194" s="4" t="str">
        <f>HYPERLINK("http://141.218.60.56/~jnz1568/getInfo.php?workbook=16_08.xlsx&amp;sheet=U0&amp;row=4194&amp;col=7&amp;number=0.000944&amp;sourceID=14","0.000944")</f>
        <v>0.000944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HYPERLINK("http://141.218.60.56/~jnz1568/getInfo.php?workbook=16_08.xlsx&amp;sheet=U0&amp;row=4195&amp;col=6&amp;number=4.1&amp;sourceID=14","4.1")</f>
        <v>4.1</v>
      </c>
      <c r="G4195" s="4" t="str">
        <f>HYPERLINK("http://141.218.60.56/~jnz1568/getInfo.php?workbook=16_08.xlsx&amp;sheet=U0&amp;row=4195&amp;col=7&amp;number=0.000944&amp;sourceID=14","0.000944")</f>
        <v>0.000944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HYPERLINK("http://141.218.60.56/~jnz1568/getInfo.php?workbook=16_08.xlsx&amp;sheet=U0&amp;row=4196&amp;col=6&amp;number=4.2&amp;sourceID=14","4.2")</f>
        <v>4.2</v>
      </c>
      <c r="G4196" s="4" t="str">
        <f>HYPERLINK("http://141.218.60.56/~jnz1568/getInfo.php?workbook=16_08.xlsx&amp;sheet=U0&amp;row=4196&amp;col=7&amp;number=0.000945&amp;sourceID=14","0.000945")</f>
        <v>0.000945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HYPERLINK("http://141.218.60.56/~jnz1568/getInfo.php?workbook=16_08.xlsx&amp;sheet=U0&amp;row=4197&amp;col=6&amp;number=4.3&amp;sourceID=14","4.3")</f>
        <v>4.3</v>
      </c>
      <c r="G4197" s="4" t="str">
        <f>HYPERLINK("http://141.218.60.56/~jnz1568/getInfo.php?workbook=16_08.xlsx&amp;sheet=U0&amp;row=4197&amp;col=7&amp;number=0.000945&amp;sourceID=14","0.000945")</f>
        <v>0.000945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HYPERLINK("http://141.218.60.56/~jnz1568/getInfo.php?workbook=16_08.xlsx&amp;sheet=U0&amp;row=4198&amp;col=6&amp;number=4.4&amp;sourceID=14","4.4")</f>
        <v>4.4</v>
      </c>
      <c r="G4198" s="4" t="str">
        <f>HYPERLINK("http://141.218.60.56/~jnz1568/getInfo.php?workbook=16_08.xlsx&amp;sheet=U0&amp;row=4198&amp;col=7&amp;number=0.000946&amp;sourceID=14","0.000946")</f>
        <v>0.000946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HYPERLINK("http://141.218.60.56/~jnz1568/getInfo.php?workbook=16_08.xlsx&amp;sheet=U0&amp;row=4199&amp;col=6&amp;number=4.5&amp;sourceID=14","4.5")</f>
        <v>4.5</v>
      </c>
      <c r="G4199" s="4" t="str">
        <f>HYPERLINK("http://141.218.60.56/~jnz1568/getInfo.php?workbook=16_08.xlsx&amp;sheet=U0&amp;row=4199&amp;col=7&amp;number=0.000947&amp;sourceID=14","0.000947")</f>
        <v>0.000947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HYPERLINK("http://141.218.60.56/~jnz1568/getInfo.php?workbook=16_08.xlsx&amp;sheet=U0&amp;row=4200&amp;col=6&amp;number=4.6&amp;sourceID=14","4.6")</f>
        <v>4.6</v>
      </c>
      <c r="G4200" s="4" t="str">
        <f>HYPERLINK("http://141.218.60.56/~jnz1568/getInfo.php?workbook=16_08.xlsx&amp;sheet=U0&amp;row=4200&amp;col=7&amp;number=0.000947&amp;sourceID=14","0.000947")</f>
        <v>0.000947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HYPERLINK("http://141.218.60.56/~jnz1568/getInfo.php?workbook=16_08.xlsx&amp;sheet=U0&amp;row=4201&amp;col=6&amp;number=4.7&amp;sourceID=14","4.7")</f>
        <v>4.7</v>
      </c>
      <c r="G4201" s="4" t="str">
        <f>HYPERLINK("http://141.218.60.56/~jnz1568/getInfo.php?workbook=16_08.xlsx&amp;sheet=U0&amp;row=4201&amp;col=7&amp;number=0.000949&amp;sourceID=14","0.000949")</f>
        <v>0.000949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HYPERLINK("http://141.218.60.56/~jnz1568/getInfo.php?workbook=16_08.xlsx&amp;sheet=U0&amp;row=4202&amp;col=6&amp;number=4.8&amp;sourceID=14","4.8")</f>
        <v>4.8</v>
      </c>
      <c r="G4202" s="4" t="str">
        <f>HYPERLINK("http://141.218.60.56/~jnz1568/getInfo.php?workbook=16_08.xlsx&amp;sheet=U0&amp;row=4202&amp;col=7&amp;number=0.00095&amp;sourceID=14","0.00095")</f>
        <v>0.00095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HYPERLINK("http://141.218.60.56/~jnz1568/getInfo.php?workbook=16_08.xlsx&amp;sheet=U0&amp;row=4203&amp;col=6&amp;number=4.9&amp;sourceID=14","4.9")</f>
        <v>4.9</v>
      </c>
      <c r="G4203" s="4" t="str">
        <f>HYPERLINK("http://141.218.60.56/~jnz1568/getInfo.php?workbook=16_08.xlsx&amp;sheet=U0&amp;row=4203&amp;col=7&amp;number=0.000952&amp;sourceID=14","0.000952")</f>
        <v>0.000952</v>
      </c>
    </row>
    <row r="4204" spans="1:7">
      <c r="A4204" s="3">
        <v>16</v>
      </c>
      <c r="B4204" s="3">
        <v>8</v>
      </c>
      <c r="C4204" s="3">
        <v>3</v>
      </c>
      <c r="D4204" s="3">
        <v>45</v>
      </c>
      <c r="E4204" s="3">
        <v>1</v>
      </c>
      <c r="F4204" s="4" t="str">
        <f>HYPERLINK("http://141.218.60.56/~jnz1568/getInfo.php?workbook=16_08.xlsx&amp;sheet=U0&amp;row=4204&amp;col=6&amp;number=3&amp;sourceID=14","3")</f>
        <v>3</v>
      </c>
      <c r="G4204" s="4" t="str">
        <f>HYPERLINK("http://141.218.60.56/~jnz1568/getInfo.php?workbook=16_08.xlsx&amp;sheet=U0&amp;row=4204&amp;col=7&amp;number=0.00248&amp;sourceID=14","0.00248")</f>
        <v>0.00248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HYPERLINK("http://141.218.60.56/~jnz1568/getInfo.php?workbook=16_08.xlsx&amp;sheet=U0&amp;row=4205&amp;col=6&amp;number=3.1&amp;sourceID=14","3.1")</f>
        <v>3.1</v>
      </c>
      <c r="G4205" s="4" t="str">
        <f>HYPERLINK("http://141.218.60.56/~jnz1568/getInfo.php?workbook=16_08.xlsx&amp;sheet=U0&amp;row=4205&amp;col=7&amp;number=0.00248&amp;sourceID=14","0.00248")</f>
        <v>0.00248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HYPERLINK("http://141.218.60.56/~jnz1568/getInfo.php?workbook=16_08.xlsx&amp;sheet=U0&amp;row=4206&amp;col=6&amp;number=3.2&amp;sourceID=14","3.2")</f>
        <v>3.2</v>
      </c>
      <c r="G4206" s="4" t="str">
        <f>HYPERLINK("http://141.218.60.56/~jnz1568/getInfo.php?workbook=16_08.xlsx&amp;sheet=U0&amp;row=4206&amp;col=7&amp;number=0.00248&amp;sourceID=14","0.00248")</f>
        <v>0.00248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HYPERLINK("http://141.218.60.56/~jnz1568/getInfo.php?workbook=16_08.xlsx&amp;sheet=U0&amp;row=4207&amp;col=6&amp;number=3.3&amp;sourceID=14","3.3")</f>
        <v>3.3</v>
      </c>
      <c r="G4207" s="4" t="str">
        <f>HYPERLINK("http://141.218.60.56/~jnz1568/getInfo.php?workbook=16_08.xlsx&amp;sheet=U0&amp;row=4207&amp;col=7&amp;number=0.00247&amp;sourceID=14","0.00247")</f>
        <v>0.00247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HYPERLINK("http://141.218.60.56/~jnz1568/getInfo.php?workbook=16_08.xlsx&amp;sheet=U0&amp;row=4208&amp;col=6&amp;number=3.4&amp;sourceID=14","3.4")</f>
        <v>3.4</v>
      </c>
      <c r="G4208" s="4" t="str">
        <f>HYPERLINK("http://141.218.60.56/~jnz1568/getInfo.php?workbook=16_08.xlsx&amp;sheet=U0&amp;row=4208&amp;col=7&amp;number=0.00247&amp;sourceID=14","0.00247")</f>
        <v>0.00247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HYPERLINK("http://141.218.60.56/~jnz1568/getInfo.php?workbook=16_08.xlsx&amp;sheet=U0&amp;row=4209&amp;col=6&amp;number=3.5&amp;sourceID=14","3.5")</f>
        <v>3.5</v>
      </c>
      <c r="G4209" s="4" t="str">
        <f>HYPERLINK("http://141.218.60.56/~jnz1568/getInfo.php?workbook=16_08.xlsx&amp;sheet=U0&amp;row=4209&amp;col=7&amp;number=0.00247&amp;sourceID=14","0.00247")</f>
        <v>0.00247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HYPERLINK("http://141.218.60.56/~jnz1568/getInfo.php?workbook=16_08.xlsx&amp;sheet=U0&amp;row=4210&amp;col=6&amp;number=3.6&amp;sourceID=14","3.6")</f>
        <v>3.6</v>
      </c>
      <c r="G4210" s="4" t="str">
        <f>HYPERLINK("http://141.218.60.56/~jnz1568/getInfo.php?workbook=16_08.xlsx&amp;sheet=U0&amp;row=4210&amp;col=7&amp;number=0.00247&amp;sourceID=14","0.00247")</f>
        <v>0.00247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HYPERLINK("http://141.218.60.56/~jnz1568/getInfo.php?workbook=16_08.xlsx&amp;sheet=U0&amp;row=4211&amp;col=6&amp;number=3.7&amp;sourceID=14","3.7")</f>
        <v>3.7</v>
      </c>
      <c r="G4211" s="4" t="str">
        <f>HYPERLINK("http://141.218.60.56/~jnz1568/getInfo.php?workbook=16_08.xlsx&amp;sheet=U0&amp;row=4211&amp;col=7&amp;number=0.00247&amp;sourceID=14","0.00247")</f>
        <v>0.00247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HYPERLINK("http://141.218.60.56/~jnz1568/getInfo.php?workbook=16_08.xlsx&amp;sheet=U0&amp;row=4212&amp;col=6&amp;number=3.8&amp;sourceID=14","3.8")</f>
        <v>3.8</v>
      </c>
      <c r="G4212" s="4" t="str">
        <f>HYPERLINK("http://141.218.60.56/~jnz1568/getInfo.php?workbook=16_08.xlsx&amp;sheet=U0&amp;row=4212&amp;col=7&amp;number=0.00247&amp;sourceID=14","0.00247")</f>
        <v>0.00247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HYPERLINK("http://141.218.60.56/~jnz1568/getInfo.php?workbook=16_08.xlsx&amp;sheet=U0&amp;row=4213&amp;col=6&amp;number=3.9&amp;sourceID=14","3.9")</f>
        <v>3.9</v>
      </c>
      <c r="G4213" s="4" t="str">
        <f>HYPERLINK("http://141.218.60.56/~jnz1568/getInfo.php?workbook=16_08.xlsx&amp;sheet=U0&amp;row=4213&amp;col=7&amp;number=0.00247&amp;sourceID=14","0.00247")</f>
        <v>0.00247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HYPERLINK("http://141.218.60.56/~jnz1568/getInfo.php?workbook=16_08.xlsx&amp;sheet=U0&amp;row=4214&amp;col=6&amp;number=4&amp;sourceID=14","4")</f>
        <v>4</v>
      </c>
      <c r="G4214" s="4" t="str">
        <f>HYPERLINK("http://141.218.60.56/~jnz1568/getInfo.php?workbook=16_08.xlsx&amp;sheet=U0&amp;row=4214&amp;col=7&amp;number=0.00247&amp;sourceID=14","0.00247")</f>
        <v>0.00247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HYPERLINK("http://141.218.60.56/~jnz1568/getInfo.php?workbook=16_08.xlsx&amp;sheet=U0&amp;row=4215&amp;col=6&amp;number=4.1&amp;sourceID=14","4.1")</f>
        <v>4.1</v>
      </c>
      <c r="G4215" s="4" t="str">
        <f>HYPERLINK("http://141.218.60.56/~jnz1568/getInfo.php?workbook=16_08.xlsx&amp;sheet=U0&amp;row=4215&amp;col=7&amp;number=0.00247&amp;sourceID=14","0.00247")</f>
        <v>0.00247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HYPERLINK("http://141.218.60.56/~jnz1568/getInfo.php?workbook=16_08.xlsx&amp;sheet=U0&amp;row=4216&amp;col=6&amp;number=4.2&amp;sourceID=14","4.2")</f>
        <v>4.2</v>
      </c>
      <c r="G4216" s="4" t="str">
        <f>HYPERLINK("http://141.218.60.56/~jnz1568/getInfo.php?workbook=16_08.xlsx&amp;sheet=U0&amp;row=4216&amp;col=7&amp;number=0.00247&amp;sourceID=14","0.00247")</f>
        <v>0.00247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HYPERLINK("http://141.218.60.56/~jnz1568/getInfo.php?workbook=16_08.xlsx&amp;sheet=U0&amp;row=4217&amp;col=6&amp;number=4.3&amp;sourceID=14","4.3")</f>
        <v>4.3</v>
      </c>
      <c r="G4217" s="4" t="str">
        <f>HYPERLINK("http://141.218.60.56/~jnz1568/getInfo.php?workbook=16_08.xlsx&amp;sheet=U0&amp;row=4217&amp;col=7&amp;number=0.00246&amp;sourceID=14","0.00246")</f>
        <v>0.00246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HYPERLINK("http://141.218.60.56/~jnz1568/getInfo.php?workbook=16_08.xlsx&amp;sheet=U0&amp;row=4218&amp;col=6&amp;number=4.4&amp;sourceID=14","4.4")</f>
        <v>4.4</v>
      </c>
      <c r="G4218" s="4" t="str">
        <f>HYPERLINK("http://141.218.60.56/~jnz1568/getInfo.php?workbook=16_08.xlsx&amp;sheet=U0&amp;row=4218&amp;col=7&amp;number=0.00246&amp;sourceID=14","0.00246")</f>
        <v>0.00246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HYPERLINK("http://141.218.60.56/~jnz1568/getInfo.php?workbook=16_08.xlsx&amp;sheet=U0&amp;row=4219&amp;col=6&amp;number=4.5&amp;sourceID=14","4.5")</f>
        <v>4.5</v>
      </c>
      <c r="G4219" s="4" t="str">
        <f>HYPERLINK("http://141.218.60.56/~jnz1568/getInfo.php?workbook=16_08.xlsx&amp;sheet=U0&amp;row=4219&amp;col=7&amp;number=0.00246&amp;sourceID=14","0.00246")</f>
        <v>0.00246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HYPERLINK("http://141.218.60.56/~jnz1568/getInfo.php?workbook=16_08.xlsx&amp;sheet=U0&amp;row=4220&amp;col=6&amp;number=4.6&amp;sourceID=14","4.6")</f>
        <v>4.6</v>
      </c>
      <c r="G4220" s="4" t="str">
        <f>HYPERLINK("http://141.218.60.56/~jnz1568/getInfo.php?workbook=16_08.xlsx&amp;sheet=U0&amp;row=4220&amp;col=7&amp;number=0.00245&amp;sourceID=14","0.00245")</f>
        <v>0.00245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HYPERLINK("http://141.218.60.56/~jnz1568/getInfo.php?workbook=16_08.xlsx&amp;sheet=U0&amp;row=4221&amp;col=6&amp;number=4.7&amp;sourceID=14","4.7")</f>
        <v>4.7</v>
      </c>
      <c r="G4221" s="4" t="str">
        <f>HYPERLINK("http://141.218.60.56/~jnz1568/getInfo.php?workbook=16_08.xlsx&amp;sheet=U0&amp;row=4221&amp;col=7&amp;number=0.00245&amp;sourceID=14","0.00245")</f>
        <v>0.00245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HYPERLINK("http://141.218.60.56/~jnz1568/getInfo.php?workbook=16_08.xlsx&amp;sheet=U0&amp;row=4222&amp;col=6&amp;number=4.8&amp;sourceID=14","4.8")</f>
        <v>4.8</v>
      </c>
      <c r="G4222" s="4" t="str">
        <f>HYPERLINK("http://141.218.60.56/~jnz1568/getInfo.php?workbook=16_08.xlsx&amp;sheet=U0&amp;row=4222&amp;col=7&amp;number=0.00244&amp;sourceID=14","0.00244")</f>
        <v>0.00244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HYPERLINK("http://141.218.60.56/~jnz1568/getInfo.php?workbook=16_08.xlsx&amp;sheet=U0&amp;row=4223&amp;col=6&amp;number=4.9&amp;sourceID=14","4.9")</f>
        <v>4.9</v>
      </c>
      <c r="G4223" s="4" t="str">
        <f>HYPERLINK("http://141.218.60.56/~jnz1568/getInfo.php?workbook=16_08.xlsx&amp;sheet=U0&amp;row=4223&amp;col=7&amp;number=0.00243&amp;sourceID=14","0.00243")</f>
        <v>0.00243</v>
      </c>
    </row>
    <row r="4224" spans="1:7">
      <c r="A4224" s="3">
        <v>16</v>
      </c>
      <c r="B4224" s="3">
        <v>8</v>
      </c>
      <c r="C4224" s="3">
        <v>3</v>
      </c>
      <c r="D4224" s="3">
        <v>46</v>
      </c>
      <c r="E4224" s="3">
        <v>1</v>
      </c>
      <c r="F4224" s="4" t="str">
        <f>HYPERLINK("http://141.218.60.56/~jnz1568/getInfo.php?workbook=16_08.xlsx&amp;sheet=U0&amp;row=4224&amp;col=6&amp;number=3&amp;sourceID=14","3")</f>
        <v>3</v>
      </c>
      <c r="G4224" s="4" t="str">
        <f>HYPERLINK("http://141.218.60.56/~jnz1568/getInfo.php?workbook=16_08.xlsx&amp;sheet=U0&amp;row=4224&amp;col=7&amp;number=0.00147&amp;sourceID=14","0.00147")</f>
        <v>0.00147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HYPERLINK("http://141.218.60.56/~jnz1568/getInfo.php?workbook=16_08.xlsx&amp;sheet=U0&amp;row=4225&amp;col=6&amp;number=3.1&amp;sourceID=14","3.1")</f>
        <v>3.1</v>
      </c>
      <c r="G4225" s="4" t="str">
        <f>HYPERLINK("http://141.218.60.56/~jnz1568/getInfo.php?workbook=16_08.xlsx&amp;sheet=U0&amp;row=4225&amp;col=7&amp;number=0.00147&amp;sourceID=14","0.00147")</f>
        <v>0.00147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HYPERLINK("http://141.218.60.56/~jnz1568/getInfo.php?workbook=16_08.xlsx&amp;sheet=U0&amp;row=4226&amp;col=6&amp;number=3.2&amp;sourceID=14","3.2")</f>
        <v>3.2</v>
      </c>
      <c r="G4226" s="4" t="str">
        <f>HYPERLINK("http://141.218.60.56/~jnz1568/getInfo.php?workbook=16_08.xlsx&amp;sheet=U0&amp;row=4226&amp;col=7&amp;number=0.00147&amp;sourceID=14","0.00147")</f>
        <v>0.00147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HYPERLINK("http://141.218.60.56/~jnz1568/getInfo.php?workbook=16_08.xlsx&amp;sheet=U0&amp;row=4227&amp;col=6&amp;number=3.3&amp;sourceID=14","3.3")</f>
        <v>3.3</v>
      </c>
      <c r="G4227" s="4" t="str">
        <f>HYPERLINK("http://141.218.60.56/~jnz1568/getInfo.php?workbook=16_08.xlsx&amp;sheet=U0&amp;row=4227&amp;col=7&amp;number=0.00147&amp;sourceID=14","0.00147")</f>
        <v>0.00147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HYPERLINK("http://141.218.60.56/~jnz1568/getInfo.php?workbook=16_08.xlsx&amp;sheet=U0&amp;row=4228&amp;col=6&amp;number=3.4&amp;sourceID=14","3.4")</f>
        <v>3.4</v>
      </c>
      <c r="G4228" s="4" t="str">
        <f>HYPERLINK("http://141.218.60.56/~jnz1568/getInfo.php?workbook=16_08.xlsx&amp;sheet=U0&amp;row=4228&amp;col=7&amp;number=0.00147&amp;sourceID=14","0.00147")</f>
        <v>0.00147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HYPERLINK("http://141.218.60.56/~jnz1568/getInfo.php?workbook=16_08.xlsx&amp;sheet=U0&amp;row=4229&amp;col=6&amp;number=3.5&amp;sourceID=14","3.5")</f>
        <v>3.5</v>
      </c>
      <c r="G4229" s="4" t="str">
        <f>HYPERLINK("http://141.218.60.56/~jnz1568/getInfo.php?workbook=16_08.xlsx&amp;sheet=U0&amp;row=4229&amp;col=7&amp;number=0.00147&amp;sourceID=14","0.00147")</f>
        <v>0.00147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HYPERLINK("http://141.218.60.56/~jnz1568/getInfo.php?workbook=16_08.xlsx&amp;sheet=U0&amp;row=4230&amp;col=6&amp;number=3.6&amp;sourceID=14","3.6")</f>
        <v>3.6</v>
      </c>
      <c r="G4230" s="4" t="str">
        <f>HYPERLINK("http://141.218.60.56/~jnz1568/getInfo.php?workbook=16_08.xlsx&amp;sheet=U0&amp;row=4230&amp;col=7&amp;number=0.00147&amp;sourceID=14","0.00147")</f>
        <v>0.00147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HYPERLINK("http://141.218.60.56/~jnz1568/getInfo.php?workbook=16_08.xlsx&amp;sheet=U0&amp;row=4231&amp;col=6&amp;number=3.7&amp;sourceID=14","3.7")</f>
        <v>3.7</v>
      </c>
      <c r="G4231" s="4" t="str">
        <f>HYPERLINK("http://141.218.60.56/~jnz1568/getInfo.php?workbook=16_08.xlsx&amp;sheet=U0&amp;row=4231&amp;col=7&amp;number=0.00147&amp;sourceID=14","0.00147")</f>
        <v>0.00147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HYPERLINK("http://141.218.60.56/~jnz1568/getInfo.php?workbook=16_08.xlsx&amp;sheet=U0&amp;row=4232&amp;col=6&amp;number=3.8&amp;sourceID=14","3.8")</f>
        <v>3.8</v>
      </c>
      <c r="G4232" s="4" t="str">
        <f>HYPERLINK("http://141.218.60.56/~jnz1568/getInfo.php?workbook=16_08.xlsx&amp;sheet=U0&amp;row=4232&amp;col=7&amp;number=0.00147&amp;sourceID=14","0.00147")</f>
        <v>0.00147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HYPERLINK("http://141.218.60.56/~jnz1568/getInfo.php?workbook=16_08.xlsx&amp;sheet=U0&amp;row=4233&amp;col=6&amp;number=3.9&amp;sourceID=14","3.9")</f>
        <v>3.9</v>
      </c>
      <c r="G4233" s="4" t="str">
        <f>HYPERLINK("http://141.218.60.56/~jnz1568/getInfo.php?workbook=16_08.xlsx&amp;sheet=U0&amp;row=4233&amp;col=7&amp;number=0.00147&amp;sourceID=14","0.00147")</f>
        <v>0.00147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HYPERLINK("http://141.218.60.56/~jnz1568/getInfo.php?workbook=16_08.xlsx&amp;sheet=U0&amp;row=4234&amp;col=6&amp;number=4&amp;sourceID=14","4")</f>
        <v>4</v>
      </c>
      <c r="G4234" s="4" t="str">
        <f>HYPERLINK("http://141.218.60.56/~jnz1568/getInfo.php?workbook=16_08.xlsx&amp;sheet=U0&amp;row=4234&amp;col=7&amp;number=0.00147&amp;sourceID=14","0.00147")</f>
        <v>0.00147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HYPERLINK("http://141.218.60.56/~jnz1568/getInfo.php?workbook=16_08.xlsx&amp;sheet=U0&amp;row=4235&amp;col=6&amp;number=4.1&amp;sourceID=14","4.1")</f>
        <v>4.1</v>
      </c>
      <c r="G4235" s="4" t="str">
        <f>HYPERLINK("http://141.218.60.56/~jnz1568/getInfo.php?workbook=16_08.xlsx&amp;sheet=U0&amp;row=4235&amp;col=7&amp;number=0.00147&amp;sourceID=14","0.00147")</f>
        <v>0.00147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HYPERLINK("http://141.218.60.56/~jnz1568/getInfo.php?workbook=16_08.xlsx&amp;sheet=U0&amp;row=4236&amp;col=6&amp;number=4.2&amp;sourceID=14","4.2")</f>
        <v>4.2</v>
      </c>
      <c r="G4236" s="4" t="str">
        <f>HYPERLINK("http://141.218.60.56/~jnz1568/getInfo.php?workbook=16_08.xlsx&amp;sheet=U0&amp;row=4236&amp;col=7&amp;number=0.00147&amp;sourceID=14","0.00147")</f>
        <v>0.00147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HYPERLINK("http://141.218.60.56/~jnz1568/getInfo.php?workbook=16_08.xlsx&amp;sheet=U0&amp;row=4237&amp;col=6&amp;number=4.3&amp;sourceID=14","4.3")</f>
        <v>4.3</v>
      </c>
      <c r="G4237" s="4" t="str">
        <f>HYPERLINK("http://141.218.60.56/~jnz1568/getInfo.php?workbook=16_08.xlsx&amp;sheet=U0&amp;row=4237&amp;col=7&amp;number=0.00147&amp;sourceID=14","0.00147")</f>
        <v>0.00147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HYPERLINK("http://141.218.60.56/~jnz1568/getInfo.php?workbook=16_08.xlsx&amp;sheet=U0&amp;row=4238&amp;col=6&amp;number=4.4&amp;sourceID=14","4.4")</f>
        <v>4.4</v>
      </c>
      <c r="G4238" s="4" t="str">
        <f>HYPERLINK("http://141.218.60.56/~jnz1568/getInfo.php?workbook=16_08.xlsx&amp;sheet=U0&amp;row=4238&amp;col=7&amp;number=0.00147&amp;sourceID=14","0.00147")</f>
        <v>0.00147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HYPERLINK("http://141.218.60.56/~jnz1568/getInfo.php?workbook=16_08.xlsx&amp;sheet=U0&amp;row=4239&amp;col=6&amp;number=4.5&amp;sourceID=14","4.5")</f>
        <v>4.5</v>
      </c>
      <c r="G4239" s="4" t="str">
        <f>HYPERLINK("http://141.218.60.56/~jnz1568/getInfo.php?workbook=16_08.xlsx&amp;sheet=U0&amp;row=4239&amp;col=7&amp;number=0.00146&amp;sourceID=14","0.00146")</f>
        <v>0.00146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HYPERLINK("http://141.218.60.56/~jnz1568/getInfo.php?workbook=16_08.xlsx&amp;sheet=U0&amp;row=4240&amp;col=6&amp;number=4.6&amp;sourceID=14","4.6")</f>
        <v>4.6</v>
      </c>
      <c r="G4240" s="4" t="str">
        <f>HYPERLINK("http://141.218.60.56/~jnz1568/getInfo.php?workbook=16_08.xlsx&amp;sheet=U0&amp;row=4240&amp;col=7&amp;number=0.00146&amp;sourceID=14","0.00146")</f>
        <v>0.00146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HYPERLINK("http://141.218.60.56/~jnz1568/getInfo.php?workbook=16_08.xlsx&amp;sheet=U0&amp;row=4241&amp;col=6&amp;number=4.7&amp;sourceID=14","4.7")</f>
        <v>4.7</v>
      </c>
      <c r="G4241" s="4" t="str">
        <f>HYPERLINK("http://141.218.60.56/~jnz1568/getInfo.php?workbook=16_08.xlsx&amp;sheet=U0&amp;row=4241&amp;col=7&amp;number=0.00146&amp;sourceID=14","0.00146")</f>
        <v>0.00146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HYPERLINK("http://141.218.60.56/~jnz1568/getInfo.php?workbook=16_08.xlsx&amp;sheet=U0&amp;row=4242&amp;col=6&amp;number=4.8&amp;sourceID=14","4.8")</f>
        <v>4.8</v>
      </c>
      <c r="G4242" s="4" t="str">
        <f>HYPERLINK("http://141.218.60.56/~jnz1568/getInfo.php?workbook=16_08.xlsx&amp;sheet=U0&amp;row=4242&amp;col=7&amp;number=0.00145&amp;sourceID=14","0.00145")</f>
        <v>0.00145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HYPERLINK("http://141.218.60.56/~jnz1568/getInfo.php?workbook=16_08.xlsx&amp;sheet=U0&amp;row=4243&amp;col=6&amp;number=4.9&amp;sourceID=14","4.9")</f>
        <v>4.9</v>
      </c>
      <c r="G4243" s="4" t="str">
        <f>HYPERLINK("http://141.218.60.56/~jnz1568/getInfo.php?workbook=16_08.xlsx&amp;sheet=U0&amp;row=4243&amp;col=7&amp;number=0.00145&amp;sourceID=14","0.00145")</f>
        <v>0.00145</v>
      </c>
    </row>
    <row r="4244" spans="1:7">
      <c r="A4244" s="3">
        <v>16</v>
      </c>
      <c r="B4244" s="3">
        <v>8</v>
      </c>
      <c r="C4244" s="3">
        <v>3</v>
      </c>
      <c r="D4244" s="3">
        <v>47</v>
      </c>
      <c r="E4244" s="3">
        <v>1</v>
      </c>
      <c r="F4244" s="4" t="str">
        <f>HYPERLINK("http://141.218.60.56/~jnz1568/getInfo.php?workbook=16_08.xlsx&amp;sheet=U0&amp;row=4244&amp;col=6&amp;number=3&amp;sourceID=14","3")</f>
        <v>3</v>
      </c>
      <c r="G4244" s="4" t="str">
        <f>HYPERLINK("http://141.218.60.56/~jnz1568/getInfo.php?workbook=16_08.xlsx&amp;sheet=U0&amp;row=4244&amp;col=7&amp;number=0.0034&amp;sourceID=14","0.0034")</f>
        <v>0.0034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HYPERLINK("http://141.218.60.56/~jnz1568/getInfo.php?workbook=16_08.xlsx&amp;sheet=U0&amp;row=4245&amp;col=6&amp;number=3.1&amp;sourceID=14","3.1")</f>
        <v>3.1</v>
      </c>
      <c r="G4245" s="4" t="str">
        <f>HYPERLINK("http://141.218.60.56/~jnz1568/getInfo.php?workbook=16_08.xlsx&amp;sheet=U0&amp;row=4245&amp;col=7&amp;number=0.0034&amp;sourceID=14","0.0034")</f>
        <v>0.0034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HYPERLINK("http://141.218.60.56/~jnz1568/getInfo.php?workbook=16_08.xlsx&amp;sheet=U0&amp;row=4246&amp;col=6&amp;number=3.2&amp;sourceID=14","3.2")</f>
        <v>3.2</v>
      </c>
      <c r="G4246" s="4" t="str">
        <f>HYPERLINK("http://141.218.60.56/~jnz1568/getInfo.php?workbook=16_08.xlsx&amp;sheet=U0&amp;row=4246&amp;col=7&amp;number=0.0034&amp;sourceID=14","0.0034")</f>
        <v>0.0034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HYPERLINK("http://141.218.60.56/~jnz1568/getInfo.php?workbook=16_08.xlsx&amp;sheet=U0&amp;row=4247&amp;col=6&amp;number=3.3&amp;sourceID=14","3.3")</f>
        <v>3.3</v>
      </c>
      <c r="G4247" s="4" t="str">
        <f>HYPERLINK("http://141.218.60.56/~jnz1568/getInfo.php?workbook=16_08.xlsx&amp;sheet=U0&amp;row=4247&amp;col=7&amp;number=0.0034&amp;sourceID=14","0.0034")</f>
        <v>0.0034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HYPERLINK("http://141.218.60.56/~jnz1568/getInfo.php?workbook=16_08.xlsx&amp;sheet=U0&amp;row=4248&amp;col=6&amp;number=3.4&amp;sourceID=14","3.4")</f>
        <v>3.4</v>
      </c>
      <c r="G4248" s="4" t="str">
        <f>HYPERLINK("http://141.218.60.56/~jnz1568/getInfo.php?workbook=16_08.xlsx&amp;sheet=U0&amp;row=4248&amp;col=7&amp;number=0.0034&amp;sourceID=14","0.0034")</f>
        <v>0.0034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HYPERLINK("http://141.218.60.56/~jnz1568/getInfo.php?workbook=16_08.xlsx&amp;sheet=U0&amp;row=4249&amp;col=6&amp;number=3.5&amp;sourceID=14","3.5")</f>
        <v>3.5</v>
      </c>
      <c r="G4249" s="4" t="str">
        <f>HYPERLINK("http://141.218.60.56/~jnz1568/getInfo.php?workbook=16_08.xlsx&amp;sheet=U0&amp;row=4249&amp;col=7&amp;number=0.0034&amp;sourceID=14","0.0034")</f>
        <v>0.0034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HYPERLINK("http://141.218.60.56/~jnz1568/getInfo.php?workbook=16_08.xlsx&amp;sheet=U0&amp;row=4250&amp;col=6&amp;number=3.6&amp;sourceID=14","3.6")</f>
        <v>3.6</v>
      </c>
      <c r="G4250" s="4" t="str">
        <f>HYPERLINK("http://141.218.60.56/~jnz1568/getInfo.php?workbook=16_08.xlsx&amp;sheet=U0&amp;row=4250&amp;col=7&amp;number=0.0034&amp;sourceID=14","0.0034")</f>
        <v>0.0034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HYPERLINK("http://141.218.60.56/~jnz1568/getInfo.php?workbook=16_08.xlsx&amp;sheet=U0&amp;row=4251&amp;col=6&amp;number=3.7&amp;sourceID=14","3.7")</f>
        <v>3.7</v>
      </c>
      <c r="G4251" s="4" t="str">
        <f>HYPERLINK("http://141.218.60.56/~jnz1568/getInfo.php?workbook=16_08.xlsx&amp;sheet=U0&amp;row=4251&amp;col=7&amp;number=0.0034&amp;sourceID=14","0.0034")</f>
        <v>0.0034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HYPERLINK("http://141.218.60.56/~jnz1568/getInfo.php?workbook=16_08.xlsx&amp;sheet=U0&amp;row=4252&amp;col=6&amp;number=3.8&amp;sourceID=14","3.8")</f>
        <v>3.8</v>
      </c>
      <c r="G4252" s="4" t="str">
        <f>HYPERLINK("http://141.218.60.56/~jnz1568/getInfo.php?workbook=16_08.xlsx&amp;sheet=U0&amp;row=4252&amp;col=7&amp;number=0.0034&amp;sourceID=14","0.0034")</f>
        <v>0.0034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HYPERLINK("http://141.218.60.56/~jnz1568/getInfo.php?workbook=16_08.xlsx&amp;sheet=U0&amp;row=4253&amp;col=6&amp;number=3.9&amp;sourceID=14","3.9")</f>
        <v>3.9</v>
      </c>
      <c r="G4253" s="4" t="str">
        <f>HYPERLINK("http://141.218.60.56/~jnz1568/getInfo.php?workbook=16_08.xlsx&amp;sheet=U0&amp;row=4253&amp;col=7&amp;number=0.0034&amp;sourceID=14","0.0034")</f>
        <v>0.0034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HYPERLINK("http://141.218.60.56/~jnz1568/getInfo.php?workbook=16_08.xlsx&amp;sheet=U0&amp;row=4254&amp;col=6&amp;number=4&amp;sourceID=14","4")</f>
        <v>4</v>
      </c>
      <c r="G4254" s="4" t="str">
        <f>HYPERLINK("http://141.218.60.56/~jnz1568/getInfo.php?workbook=16_08.xlsx&amp;sheet=U0&amp;row=4254&amp;col=7&amp;number=0.0034&amp;sourceID=14","0.0034")</f>
        <v>0.0034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HYPERLINK("http://141.218.60.56/~jnz1568/getInfo.php?workbook=16_08.xlsx&amp;sheet=U0&amp;row=4255&amp;col=6&amp;number=4.1&amp;sourceID=14","4.1")</f>
        <v>4.1</v>
      </c>
      <c r="G4255" s="4" t="str">
        <f>HYPERLINK("http://141.218.60.56/~jnz1568/getInfo.php?workbook=16_08.xlsx&amp;sheet=U0&amp;row=4255&amp;col=7&amp;number=0.0034&amp;sourceID=14","0.0034")</f>
        <v>0.0034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HYPERLINK("http://141.218.60.56/~jnz1568/getInfo.php?workbook=16_08.xlsx&amp;sheet=U0&amp;row=4256&amp;col=6&amp;number=4.2&amp;sourceID=14","4.2")</f>
        <v>4.2</v>
      </c>
      <c r="G4256" s="4" t="str">
        <f>HYPERLINK("http://141.218.60.56/~jnz1568/getInfo.php?workbook=16_08.xlsx&amp;sheet=U0&amp;row=4256&amp;col=7&amp;number=0.0034&amp;sourceID=14","0.0034")</f>
        <v>0.0034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HYPERLINK("http://141.218.60.56/~jnz1568/getInfo.php?workbook=16_08.xlsx&amp;sheet=U0&amp;row=4257&amp;col=6&amp;number=4.3&amp;sourceID=14","4.3")</f>
        <v>4.3</v>
      </c>
      <c r="G4257" s="4" t="str">
        <f>HYPERLINK("http://141.218.60.56/~jnz1568/getInfo.php?workbook=16_08.xlsx&amp;sheet=U0&amp;row=4257&amp;col=7&amp;number=0.0034&amp;sourceID=14","0.0034")</f>
        <v>0.0034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HYPERLINK("http://141.218.60.56/~jnz1568/getInfo.php?workbook=16_08.xlsx&amp;sheet=U0&amp;row=4258&amp;col=6&amp;number=4.4&amp;sourceID=14","4.4")</f>
        <v>4.4</v>
      </c>
      <c r="G4258" s="4" t="str">
        <f>HYPERLINK("http://141.218.60.56/~jnz1568/getInfo.php?workbook=16_08.xlsx&amp;sheet=U0&amp;row=4258&amp;col=7&amp;number=0.00339&amp;sourceID=14","0.00339")</f>
        <v>0.00339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HYPERLINK("http://141.218.60.56/~jnz1568/getInfo.php?workbook=16_08.xlsx&amp;sheet=U0&amp;row=4259&amp;col=6&amp;number=4.5&amp;sourceID=14","4.5")</f>
        <v>4.5</v>
      </c>
      <c r="G4259" s="4" t="str">
        <f>HYPERLINK("http://141.218.60.56/~jnz1568/getInfo.php?workbook=16_08.xlsx&amp;sheet=U0&amp;row=4259&amp;col=7&amp;number=0.00339&amp;sourceID=14","0.00339")</f>
        <v>0.00339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HYPERLINK("http://141.218.60.56/~jnz1568/getInfo.php?workbook=16_08.xlsx&amp;sheet=U0&amp;row=4260&amp;col=6&amp;number=4.6&amp;sourceID=14","4.6")</f>
        <v>4.6</v>
      </c>
      <c r="G4260" s="4" t="str">
        <f>HYPERLINK("http://141.218.60.56/~jnz1568/getInfo.php?workbook=16_08.xlsx&amp;sheet=U0&amp;row=4260&amp;col=7&amp;number=0.00339&amp;sourceID=14","0.00339")</f>
        <v>0.00339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HYPERLINK("http://141.218.60.56/~jnz1568/getInfo.php?workbook=16_08.xlsx&amp;sheet=U0&amp;row=4261&amp;col=6&amp;number=4.7&amp;sourceID=14","4.7")</f>
        <v>4.7</v>
      </c>
      <c r="G4261" s="4" t="str">
        <f>HYPERLINK("http://141.218.60.56/~jnz1568/getInfo.php?workbook=16_08.xlsx&amp;sheet=U0&amp;row=4261&amp;col=7&amp;number=0.00339&amp;sourceID=14","0.00339")</f>
        <v>0.00339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HYPERLINK("http://141.218.60.56/~jnz1568/getInfo.php?workbook=16_08.xlsx&amp;sheet=U0&amp;row=4262&amp;col=6&amp;number=4.8&amp;sourceID=14","4.8")</f>
        <v>4.8</v>
      </c>
      <c r="G4262" s="4" t="str">
        <f>HYPERLINK("http://141.218.60.56/~jnz1568/getInfo.php?workbook=16_08.xlsx&amp;sheet=U0&amp;row=4262&amp;col=7&amp;number=0.00339&amp;sourceID=14","0.00339")</f>
        <v>0.00339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HYPERLINK("http://141.218.60.56/~jnz1568/getInfo.php?workbook=16_08.xlsx&amp;sheet=U0&amp;row=4263&amp;col=6&amp;number=4.9&amp;sourceID=14","4.9")</f>
        <v>4.9</v>
      </c>
      <c r="G4263" s="4" t="str">
        <f>HYPERLINK("http://141.218.60.56/~jnz1568/getInfo.php?workbook=16_08.xlsx&amp;sheet=U0&amp;row=4263&amp;col=7&amp;number=0.00338&amp;sourceID=14","0.00338")</f>
        <v>0.00338</v>
      </c>
    </row>
    <row r="4264" spans="1:7">
      <c r="A4264" s="3">
        <v>16</v>
      </c>
      <c r="B4264" s="3">
        <v>8</v>
      </c>
      <c r="C4264" s="3">
        <v>3</v>
      </c>
      <c r="D4264" s="3">
        <v>48</v>
      </c>
      <c r="E4264" s="3">
        <v>1</v>
      </c>
      <c r="F4264" s="4" t="str">
        <f>HYPERLINK("http://141.218.60.56/~jnz1568/getInfo.php?workbook=16_08.xlsx&amp;sheet=U0&amp;row=4264&amp;col=6&amp;number=3&amp;sourceID=14","3")</f>
        <v>3</v>
      </c>
      <c r="G4264" s="4" t="str">
        <f>HYPERLINK("http://141.218.60.56/~jnz1568/getInfo.php?workbook=16_08.xlsx&amp;sheet=U0&amp;row=4264&amp;col=7&amp;number=0.00133&amp;sourceID=14","0.00133")</f>
        <v>0.00133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HYPERLINK("http://141.218.60.56/~jnz1568/getInfo.php?workbook=16_08.xlsx&amp;sheet=U0&amp;row=4265&amp;col=6&amp;number=3.1&amp;sourceID=14","3.1")</f>
        <v>3.1</v>
      </c>
      <c r="G4265" s="4" t="str">
        <f>HYPERLINK("http://141.218.60.56/~jnz1568/getInfo.php?workbook=16_08.xlsx&amp;sheet=U0&amp;row=4265&amp;col=7&amp;number=0.00133&amp;sourceID=14","0.00133")</f>
        <v>0.00133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HYPERLINK("http://141.218.60.56/~jnz1568/getInfo.php?workbook=16_08.xlsx&amp;sheet=U0&amp;row=4266&amp;col=6&amp;number=3.2&amp;sourceID=14","3.2")</f>
        <v>3.2</v>
      </c>
      <c r="G4266" s="4" t="str">
        <f>HYPERLINK("http://141.218.60.56/~jnz1568/getInfo.php?workbook=16_08.xlsx&amp;sheet=U0&amp;row=4266&amp;col=7&amp;number=0.00133&amp;sourceID=14","0.00133")</f>
        <v>0.00133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HYPERLINK("http://141.218.60.56/~jnz1568/getInfo.php?workbook=16_08.xlsx&amp;sheet=U0&amp;row=4267&amp;col=6&amp;number=3.3&amp;sourceID=14","3.3")</f>
        <v>3.3</v>
      </c>
      <c r="G4267" s="4" t="str">
        <f>HYPERLINK("http://141.218.60.56/~jnz1568/getInfo.php?workbook=16_08.xlsx&amp;sheet=U0&amp;row=4267&amp;col=7&amp;number=0.00133&amp;sourceID=14","0.00133")</f>
        <v>0.00133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HYPERLINK("http://141.218.60.56/~jnz1568/getInfo.php?workbook=16_08.xlsx&amp;sheet=U0&amp;row=4268&amp;col=6&amp;number=3.4&amp;sourceID=14","3.4")</f>
        <v>3.4</v>
      </c>
      <c r="G4268" s="4" t="str">
        <f>HYPERLINK("http://141.218.60.56/~jnz1568/getInfo.php?workbook=16_08.xlsx&amp;sheet=U0&amp;row=4268&amp;col=7&amp;number=0.00133&amp;sourceID=14","0.00133")</f>
        <v>0.00133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HYPERLINK("http://141.218.60.56/~jnz1568/getInfo.php?workbook=16_08.xlsx&amp;sheet=U0&amp;row=4269&amp;col=6&amp;number=3.5&amp;sourceID=14","3.5")</f>
        <v>3.5</v>
      </c>
      <c r="G4269" s="4" t="str">
        <f>HYPERLINK("http://141.218.60.56/~jnz1568/getInfo.php?workbook=16_08.xlsx&amp;sheet=U0&amp;row=4269&amp;col=7&amp;number=0.00132&amp;sourceID=14","0.00132")</f>
        <v>0.00132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HYPERLINK("http://141.218.60.56/~jnz1568/getInfo.php?workbook=16_08.xlsx&amp;sheet=U0&amp;row=4270&amp;col=6&amp;number=3.6&amp;sourceID=14","3.6")</f>
        <v>3.6</v>
      </c>
      <c r="G4270" s="4" t="str">
        <f>HYPERLINK("http://141.218.60.56/~jnz1568/getInfo.php?workbook=16_08.xlsx&amp;sheet=U0&amp;row=4270&amp;col=7&amp;number=0.00132&amp;sourceID=14","0.00132")</f>
        <v>0.00132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HYPERLINK("http://141.218.60.56/~jnz1568/getInfo.php?workbook=16_08.xlsx&amp;sheet=U0&amp;row=4271&amp;col=6&amp;number=3.7&amp;sourceID=14","3.7")</f>
        <v>3.7</v>
      </c>
      <c r="G4271" s="4" t="str">
        <f>HYPERLINK("http://141.218.60.56/~jnz1568/getInfo.php?workbook=16_08.xlsx&amp;sheet=U0&amp;row=4271&amp;col=7&amp;number=0.00132&amp;sourceID=14","0.00132")</f>
        <v>0.00132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HYPERLINK("http://141.218.60.56/~jnz1568/getInfo.php?workbook=16_08.xlsx&amp;sheet=U0&amp;row=4272&amp;col=6&amp;number=3.8&amp;sourceID=14","3.8")</f>
        <v>3.8</v>
      </c>
      <c r="G4272" s="4" t="str">
        <f>HYPERLINK("http://141.218.60.56/~jnz1568/getInfo.php?workbook=16_08.xlsx&amp;sheet=U0&amp;row=4272&amp;col=7&amp;number=0.00132&amp;sourceID=14","0.00132")</f>
        <v>0.00132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HYPERLINK("http://141.218.60.56/~jnz1568/getInfo.php?workbook=16_08.xlsx&amp;sheet=U0&amp;row=4273&amp;col=6&amp;number=3.9&amp;sourceID=14","3.9")</f>
        <v>3.9</v>
      </c>
      <c r="G4273" s="4" t="str">
        <f>HYPERLINK("http://141.218.60.56/~jnz1568/getInfo.php?workbook=16_08.xlsx&amp;sheet=U0&amp;row=4273&amp;col=7&amp;number=0.00132&amp;sourceID=14","0.00132")</f>
        <v>0.00132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HYPERLINK("http://141.218.60.56/~jnz1568/getInfo.php?workbook=16_08.xlsx&amp;sheet=U0&amp;row=4274&amp;col=6&amp;number=4&amp;sourceID=14","4")</f>
        <v>4</v>
      </c>
      <c r="G4274" s="4" t="str">
        <f>HYPERLINK("http://141.218.60.56/~jnz1568/getInfo.php?workbook=16_08.xlsx&amp;sheet=U0&amp;row=4274&amp;col=7&amp;number=0.00132&amp;sourceID=14","0.00132")</f>
        <v>0.00132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HYPERLINK("http://141.218.60.56/~jnz1568/getInfo.php?workbook=16_08.xlsx&amp;sheet=U0&amp;row=4275&amp;col=6&amp;number=4.1&amp;sourceID=14","4.1")</f>
        <v>4.1</v>
      </c>
      <c r="G4275" s="4" t="str">
        <f>HYPERLINK("http://141.218.60.56/~jnz1568/getInfo.php?workbook=16_08.xlsx&amp;sheet=U0&amp;row=4275&amp;col=7&amp;number=0.00132&amp;sourceID=14","0.00132")</f>
        <v>0.00132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HYPERLINK("http://141.218.60.56/~jnz1568/getInfo.php?workbook=16_08.xlsx&amp;sheet=U0&amp;row=4276&amp;col=6&amp;number=4.2&amp;sourceID=14","4.2")</f>
        <v>4.2</v>
      </c>
      <c r="G4276" s="4" t="str">
        <f>HYPERLINK("http://141.218.60.56/~jnz1568/getInfo.php?workbook=16_08.xlsx&amp;sheet=U0&amp;row=4276&amp;col=7&amp;number=0.00132&amp;sourceID=14","0.00132")</f>
        <v>0.00132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HYPERLINK("http://141.218.60.56/~jnz1568/getInfo.php?workbook=16_08.xlsx&amp;sheet=U0&amp;row=4277&amp;col=6&amp;number=4.3&amp;sourceID=14","4.3")</f>
        <v>4.3</v>
      </c>
      <c r="G4277" s="4" t="str">
        <f>HYPERLINK("http://141.218.60.56/~jnz1568/getInfo.php?workbook=16_08.xlsx&amp;sheet=U0&amp;row=4277&amp;col=7&amp;number=0.00132&amp;sourceID=14","0.00132")</f>
        <v>0.00132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HYPERLINK("http://141.218.60.56/~jnz1568/getInfo.php?workbook=16_08.xlsx&amp;sheet=U0&amp;row=4278&amp;col=6&amp;number=4.4&amp;sourceID=14","4.4")</f>
        <v>4.4</v>
      </c>
      <c r="G4278" s="4" t="str">
        <f>HYPERLINK("http://141.218.60.56/~jnz1568/getInfo.php?workbook=16_08.xlsx&amp;sheet=U0&amp;row=4278&amp;col=7&amp;number=0.00132&amp;sourceID=14","0.00132")</f>
        <v>0.00132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HYPERLINK("http://141.218.60.56/~jnz1568/getInfo.php?workbook=16_08.xlsx&amp;sheet=U0&amp;row=4279&amp;col=6&amp;number=4.5&amp;sourceID=14","4.5")</f>
        <v>4.5</v>
      </c>
      <c r="G4279" s="4" t="str">
        <f>HYPERLINK("http://141.218.60.56/~jnz1568/getInfo.php?workbook=16_08.xlsx&amp;sheet=U0&amp;row=4279&amp;col=7&amp;number=0.00131&amp;sourceID=14","0.00131")</f>
        <v>0.00131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HYPERLINK("http://141.218.60.56/~jnz1568/getInfo.php?workbook=16_08.xlsx&amp;sheet=U0&amp;row=4280&amp;col=6&amp;number=4.6&amp;sourceID=14","4.6")</f>
        <v>4.6</v>
      </c>
      <c r="G4280" s="4" t="str">
        <f>HYPERLINK("http://141.218.60.56/~jnz1568/getInfo.php?workbook=16_08.xlsx&amp;sheet=U0&amp;row=4280&amp;col=7&amp;number=0.00131&amp;sourceID=14","0.00131")</f>
        <v>0.00131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HYPERLINK("http://141.218.60.56/~jnz1568/getInfo.php?workbook=16_08.xlsx&amp;sheet=U0&amp;row=4281&amp;col=6&amp;number=4.7&amp;sourceID=14","4.7")</f>
        <v>4.7</v>
      </c>
      <c r="G4281" s="4" t="str">
        <f>HYPERLINK("http://141.218.60.56/~jnz1568/getInfo.php?workbook=16_08.xlsx&amp;sheet=U0&amp;row=4281&amp;col=7&amp;number=0.00131&amp;sourceID=14","0.00131")</f>
        <v>0.00131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HYPERLINK("http://141.218.60.56/~jnz1568/getInfo.php?workbook=16_08.xlsx&amp;sheet=U0&amp;row=4282&amp;col=6&amp;number=4.8&amp;sourceID=14","4.8")</f>
        <v>4.8</v>
      </c>
      <c r="G4282" s="4" t="str">
        <f>HYPERLINK("http://141.218.60.56/~jnz1568/getInfo.php?workbook=16_08.xlsx&amp;sheet=U0&amp;row=4282&amp;col=7&amp;number=0.0013&amp;sourceID=14","0.0013")</f>
        <v>0.0013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HYPERLINK("http://141.218.60.56/~jnz1568/getInfo.php?workbook=16_08.xlsx&amp;sheet=U0&amp;row=4283&amp;col=6&amp;number=4.9&amp;sourceID=14","4.9")</f>
        <v>4.9</v>
      </c>
      <c r="G4283" s="4" t="str">
        <f>HYPERLINK("http://141.218.60.56/~jnz1568/getInfo.php?workbook=16_08.xlsx&amp;sheet=U0&amp;row=4283&amp;col=7&amp;number=0.0013&amp;sourceID=14","0.0013")</f>
        <v>0.0013</v>
      </c>
    </row>
    <row r="4284" spans="1:7">
      <c r="A4284" s="3">
        <v>16</v>
      </c>
      <c r="B4284" s="3">
        <v>8</v>
      </c>
      <c r="C4284" s="3">
        <v>3</v>
      </c>
      <c r="D4284" s="3">
        <v>49</v>
      </c>
      <c r="E4284" s="3">
        <v>1</v>
      </c>
      <c r="F4284" s="4" t="str">
        <f>HYPERLINK("http://141.218.60.56/~jnz1568/getInfo.php?workbook=16_08.xlsx&amp;sheet=U0&amp;row=4284&amp;col=6&amp;number=3&amp;sourceID=14","3")</f>
        <v>3</v>
      </c>
      <c r="G4284" s="4" t="str">
        <f>HYPERLINK("http://141.218.60.56/~jnz1568/getInfo.php?workbook=16_08.xlsx&amp;sheet=U0&amp;row=4284&amp;col=7&amp;number=0.00574&amp;sourceID=14","0.00574")</f>
        <v>0.00574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HYPERLINK("http://141.218.60.56/~jnz1568/getInfo.php?workbook=16_08.xlsx&amp;sheet=U0&amp;row=4285&amp;col=6&amp;number=3.1&amp;sourceID=14","3.1")</f>
        <v>3.1</v>
      </c>
      <c r="G4285" s="4" t="str">
        <f>HYPERLINK("http://141.218.60.56/~jnz1568/getInfo.php?workbook=16_08.xlsx&amp;sheet=U0&amp;row=4285&amp;col=7&amp;number=0.00574&amp;sourceID=14","0.00574")</f>
        <v>0.00574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HYPERLINK("http://141.218.60.56/~jnz1568/getInfo.php?workbook=16_08.xlsx&amp;sheet=U0&amp;row=4286&amp;col=6&amp;number=3.2&amp;sourceID=14","3.2")</f>
        <v>3.2</v>
      </c>
      <c r="G4286" s="4" t="str">
        <f>HYPERLINK("http://141.218.60.56/~jnz1568/getInfo.php?workbook=16_08.xlsx&amp;sheet=U0&amp;row=4286&amp;col=7&amp;number=0.00574&amp;sourceID=14","0.00574")</f>
        <v>0.00574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HYPERLINK("http://141.218.60.56/~jnz1568/getInfo.php?workbook=16_08.xlsx&amp;sheet=U0&amp;row=4287&amp;col=6&amp;number=3.3&amp;sourceID=14","3.3")</f>
        <v>3.3</v>
      </c>
      <c r="G4287" s="4" t="str">
        <f>HYPERLINK("http://141.218.60.56/~jnz1568/getInfo.php?workbook=16_08.xlsx&amp;sheet=U0&amp;row=4287&amp;col=7&amp;number=0.00574&amp;sourceID=14","0.00574")</f>
        <v>0.00574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HYPERLINK("http://141.218.60.56/~jnz1568/getInfo.php?workbook=16_08.xlsx&amp;sheet=U0&amp;row=4288&amp;col=6&amp;number=3.4&amp;sourceID=14","3.4")</f>
        <v>3.4</v>
      </c>
      <c r="G4288" s="4" t="str">
        <f>HYPERLINK("http://141.218.60.56/~jnz1568/getInfo.php?workbook=16_08.xlsx&amp;sheet=U0&amp;row=4288&amp;col=7&amp;number=0.00574&amp;sourceID=14","0.00574")</f>
        <v>0.00574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HYPERLINK("http://141.218.60.56/~jnz1568/getInfo.php?workbook=16_08.xlsx&amp;sheet=U0&amp;row=4289&amp;col=6&amp;number=3.5&amp;sourceID=14","3.5")</f>
        <v>3.5</v>
      </c>
      <c r="G4289" s="4" t="str">
        <f>HYPERLINK("http://141.218.60.56/~jnz1568/getInfo.php?workbook=16_08.xlsx&amp;sheet=U0&amp;row=4289&amp;col=7&amp;number=0.00574&amp;sourceID=14","0.00574")</f>
        <v>0.00574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HYPERLINK("http://141.218.60.56/~jnz1568/getInfo.php?workbook=16_08.xlsx&amp;sheet=U0&amp;row=4290&amp;col=6&amp;number=3.6&amp;sourceID=14","3.6")</f>
        <v>3.6</v>
      </c>
      <c r="G4290" s="4" t="str">
        <f>HYPERLINK("http://141.218.60.56/~jnz1568/getInfo.php?workbook=16_08.xlsx&amp;sheet=U0&amp;row=4290&amp;col=7&amp;number=0.00573&amp;sourceID=14","0.00573")</f>
        <v>0.00573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HYPERLINK("http://141.218.60.56/~jnz1568/getInfo.php?workbook=16_08.xlsx&amp;sheet=U0&amp;row=4291&amp;col=6&amp;number=3.7&amp;sourceID=14","3.7")</f>
        <v>3.7</v>
      </c>
      <c r="G4291" s="4" t="str">
        <f>HYPERLINK("http://141.218.60.56/~jnz1568/getInfo.php?workbook=16_08.xlsx&amp;sheet=U0&amp;row=4291&amp;col=7&amp;number=0.00573&amp;sourceID=14","0.00573")</f>
        <v>0.00573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HYPERLINK("http://141.218.60.56/~jnz1568/getInfo.php?workbook=16_08.xlsx&amp;sheet=U0&amp;row=4292&amp;col=6&amp;number=3.8&amp;sourceID=14","3.8")</f>
        <v>3.8</v>
      </c>
      <c r="G4292" s="4" t="str">
        <f>HYPERLINK("http://141.218.60.56/~jnz1568/getInfo.php?workbook=16_08.xlsx&amp;sheet=U0&amp;row=4292&amp;col=7&amp;number=0.00573&amp;sourceID=14","0.00573")</f>
        <v>0.00573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HYPERLINK("http://141.218.60.56/~jnz1568/getInfo.php?workbook=16_08.xlsx&amp;sheet=U0&amp;row=4293&amp;col=6&amp;number=3.9&amp;sourceID=14","3.9")</f>
        <v>3.9</v>
      </c>
      <c r="G4293" s="4" t="str">
        <f>HYPERLINK("http://141.218.60.56/~jnz1568/getInfo.php?workbook=16_08.xlsx&amp;sheet=U0&amp;row=4293&amp;col=7&amp;number=0.00573&amp;sourceID=14","0.00573")</f>
        <v>0.00573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HYPERLINK("http://141.218.60.56/~jnz1568/getInfo.php?workbook=16_08.xlsx&amp;sheet=U0&amp;row=4294&amp;col=6&amp;number=4&amp;sourceID=14","4")</f>
        <v>4</v>
      </c>
      <c r="G4294" s="4" t="str">
        <f>HYPERLINK("http://141.218.60.56/~jnz1568/getInfo.php?workbook=16_08.xlsx&amp;sheet=U0&amp;row=4294&amp;col=7&amp;number=0.00573&amp;sourceID=14","0.00573")</f>
        <v>0.00573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HYPERLINK("http://141.218.60.56/~jnz1568/getInfo.php?workbook=16_08.xlsx&amp;sheet=U0&amp;row=4295&amp;col=6&amp;number=4.1&amp;sourceID=14","4.1")</f>
        <v>4.1</v>
      </c>
      <c r="G4295" s="4" t="str">
        <f>HYPERLINK("http://141.218.60.56/~jnz1568/getInfo.php?workbook=16_08.xlsx&amp;sheet=U0&amp;row=4295&amp;col=7&amp;number=0.00572&amp;sourceID=14","0.00572")</f>
        <v>0.00572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HYPERLINK("http://141.218.60.56/~jnz1568/getInfo.php?workbook=16_08.xlsx&amp;sheet=U0&amp;row=4296&amp;col=6&amp;number=4.2&amp;sourceID=14","4.2")</f>
        <v>4.2</v>
      </c>
      <c r="G4296" s="4" t="str">
        <f>HYPERLINK("http://141.218.60.56/~jnz1568/getInfo.php?workbook=16_08.xlsx&amp;sheet=U0&amp;row=4296&amp;col=7&amp;number=0.00572&amp;sourceID=14","0.00572")</f>
        <v>0.00572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HYPERLINK("http://141.218.60.56/~jnz1568/getInfo.php?workbook=16_08.xlsx&amp;sheet=U0&amp;row=4297&amp;col=6&amp;number=4.3&amp;sourceID=14","4.3")</f>
        <v>4.3</v>
      </c>
      <c r="G4297" s="4" t="str">
        <f>HYPERLINK("http://141.218.60.56/~jnz1568/getInfo.php?workbook=16_08.xlsx&amp;sheet=U0&amp;row=4297&amp;col=7&amp;number=0.00571&amp;sourceID=14","0.00571")</f>
        <v>0.00571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HYPERLINK("http://141.218.60.56/~jnz1568/getInfo.php?workbook=16_08.xlsx&amp;sheet=U0&amp;row=4298&amp;col=6&amp;number=4.4&amp;sourceID=14","4.4")</f>
        <v>4.4</v>
      </c>
      <c r="G4298" s="4" t="str">
        <f>HYPERLINK("http://141.218.60.56/~jnz1568/getInfo.php?workbook=16_08.xlsx&amp;sheet=U0&amp;row=4298&amp;col=7&amp;number=0.0057&amp;sourceID=14","0.0057")</f>
        <v>0.0057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HYPERLINK("http://141.218.60.56/~jnz1568/getInfo.php?workbook=16_08.xlsx&amp;sheet=U0&amp;row=4299&amp;col=6&amp;number=4.5&amp;sourceID=14","4.5")</f>
        <v>4.5</v>
      </c>
      <c r="G4299" s="4" t="str">
        <f>HYPERLINK("http://141.218.60.56/~jnz1568/getInfo.php?workbook=16_08.xlsx&amp;sheet=U0&amp;row=4299&amp;col=7&amp;number=0.0057&amp;sourceID=14","0.0057")</f>
        <v>0.0057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HYPERLINK("http://141.218.60.56/~jnz1568/getInfo.php?workbook=16_08.xlsx&amp;sheet=U0&amp;row=4300&amp;col=6&amp;number=4.6&amp;sourceID=14","4.6")</f>
        <v>4.6</v>
      </c>
      <c r="G4300" s="4" t="str">
        <f>HYPERLINK("http://141.218.60.56/~jnz1568/getInfo.php?workbook=16_08.xlsx&amp;sheet=U0&amp;row=4300&amp;col=7&amp;number=0.00568&amp;sourceID=14","0.00568")</f>
        <v>0.00568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HYPERLINK("http://141.218.60.56/~jnz1568/getInfo.php?workbook=16_08.xlsx&amp;sheet=U0&amp;row=4301&amp;col=6&amp;number=4.7&amp;sourceID=14","4.7")</f>
        <v>4.7</v>
      </c>
      <c r="G4301" s="4" t="str">
        <f>HYPERLINK("http://141.218.60.56/~jnz1568/getInfo.php?workbook=16_08.xlsx&amp;sheet=U0&amp;row=4301&amp;col=7&amp;number=0.00567&amp;sourceID=14","0.00567")</f>
        <v>0.00567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HYPERLINK("http://141.218.60.56/~jnz1568/getInfo.php?workbook=16_08.xlsx&amp;sheet=U0&amp;row=4302&amp;col=6&amp;number=4.8&amp;sourceID=14","4.8")</f>
        <v>4.8</v>
      </c>
      <c r="G4302" s="4" t="str">
        <f>HYPERLINK("http://141.218.60.56/~jnz1568/getInfo.php?workbook=16_08.xlsx&amp;sheet=U0&amp;row=4302&amp;col=7&amp;number=0.00565&amp;sourceID=14","0.00565")</f>
        <v>0.00565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HYPERLINK("http://141.218.60.56/~jnz1568/getInfo.php?workbook=16_08.xlsx&amp;sheet=U0&amp;row=4303&amp;col=6&amp;number=4.9&amp;sourceID=14","4.9")</f>
        <v>4.9</v>
      </c>
      <c r="G4303" s="4" t="str">
        <f>HYPERLINK("http://141.218.60.56/~jnz1568/getInfo.php?workbook=16_08.xlsx&amp;sheet=U0&amp;row=4303&amp;col=7&amp;number=0.00563&amp;sourceID=14","0.00563")</f>
        <v>0.00563</v>
      </c>
    </row>
    <row r="4304" spans="1:7">
      <c r="A4304" s="3">
        <v>16</v>
      </c>
      <c r="B4304" s="3">
        <v>8</v>
      </c>
      <c r="C4304" s="3">
        <v>3</v>
      </c>
      <c r="D4304" s="3">
        <v>50</v>
      </c>
      <c r="E4304" s="3">
        <v>1</v>
      </c>
      <c r="F4304" s="4" t="str">
        <f>HYPERLINK("http://141.218.60.56/~jnz1568/getInfo.php?workbook=16_08.xlsx&amp;sheet=U0&amp;row=4304&amp;col=6&amp;number=3&amp;sourceID=14","3")</f>
        <v>3</v>
      </c>
      <c r="G4304" s="4" t="str">
        <f>HYPERLINK("http://141.218.60.56/~jnz1568/getInfo.php?workbook=16_08.xlsx&amp;sheet=U0&amp;row=4304&amp;col=7&amp;number=0.025&amp;sourceID=14","0.025")</f>
        <v>0.025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HYPERLINK("http://141.218.60.56/~jnz1568/getInfo.php?workbook=16_08.xlsx&amp;sheet=U0&amp;row=4305&amp;col=6&amp;number=3.1&amp;sourceID=14","3.1")</f>
        <v>3.1</v>
      </c>
      <c r="G4305" s="4" t="str">
        <f>HYPERLINK("http://141.218.60.56/~jnz1568/getInfo.php?workbook=16_08.xlsx&amp;sheet=U0&amp;row=4305&amp;col=7&amp;number=0.025&amp;sourceID=14","0.025")</f>
        <v>0.025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HYPERLINK("http://141.218.60.56/~jnz1568/getInfo.php?workbook=16_08.xlsx&amp;sheet=U0&amp;row=4306&amp;col=6&amp;number=3.2&amp;sourceID=14","3.2")</f>
        <v>3.2</v>
      </c>
      <c r="G4306" s="4" t="str">
        <f>HYPERLINK("http://141.218.60.56/~jnz1568/getInfo.php?workbook=16_08.xlsx&amp;sheet=U0&amp;row=4306&amp;col=7&amp;number=0.025&amp;sourceID=14","0.025")</f>
        <v>0.025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HYPERLINK("http://141.218.60.56/~jnz1568/getInfo.php?workbook=16_08.xlsx&amp;sheet=U0&amp;row=4307&amp;col=6&amp;number=3.3&amp;sourceID=14","3.3")</f>
        <v>3.3</v>
      </c>
      <c r="G4307" s="4" t="str">
        <f>HYPERLINK("http://141.218.60.56/~jnz1568/getInfo.php?workbook=16_08.xlsx&amp;sheet=U0&amp;row=4307&amp;col=7&amp;number=0.0251&amp;sourceID=14","0.0251")</f>
        <v>0.0251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HYPERLINK("http://141.218.60.56/~jnz1568/getInfo.php?workbook=16_08.xlsx&amp;sheet=U0&amp;row=4308&amp;col=6&amp;number=3.4&amp;sourceID=14","3.4")</f>
        <v>3.4</v>
      </c>
      <c r="G4308" s="4" t="str">
        <f>HYPERLINK("http://141.218.60.56/~jnz1568/getInfo.php?workbook=16_08.xlsx&amp;sheet=U0&amp;row=4308&amp;col=7&amp;number=0.0251&amp;sourceID=14","0.0251")</f>
        <v>0.0251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HYPERLINK("http://141.218.60.56/~jnz1568/getInfo.php?workbook=16_08.xlsx&amp;sheet=U0&amp;row=4309&amp;col=6&amp;number=3.5&amp;sourceID=14","3.5")</f>
        <v>3.5</v>
      </c>
      <c r="G4309" s="4" t="str">
        <f>HYPERLINK("http://141.218.60.56/~jnz1568/getInfo.php?workbook=16_08.xlsx&amp;sheet=U0&amp;row=4309&amp;col=7&amp;number=0.0251&amp;sourceID=14","0.0251")</f>
        <v>0.0251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HYPERLINK("http://141.218.60.56/~jnz1568/getInfo.php?workbook=16_08.xlsx&amp;sheet=U0&amp;row=4310&amp;col=6&amp;number=3.6&amp;sourceID=14","3.6")</f>
        <v>3.6</v>
      </c>
      <c r="G4310" s="4" t="str">
        <f>HYPERLINK("http://141.218.60.56/~jnz1568/getInfo.php?workbook=16_08.xlsx&amp;sheet=U0&amp;row=4310&amp;col=7&amp;number=0.0251&amp;sourceID=14","0.0251")</f>
        <v>0.0251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HYPERLINK("http://141.218.60.56/~jnz1568/getInfo.php?workbook=16_08.xlsx&amp;sheet=U0&amp;row=4311&amp;col=6&amp;number=3.7&amp;sourceID=14","3.7")</f>
        <v>3.7</v>
      </c>
      <c r="G4311" s="4" t="str">
        <f>HYPERLINK("http://141.218.60.56/~jnz1568/getInfo.php?workbook=16_08.xlsx&amp;sheet=U0&amp;row=4311&amp;col=7&amp;number=0.0251&amp;sourceID=14","0.0251")</f>
        <v>0.0251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HYPERLINK("http://141.218.60.56/~jnz1568/getInfo.php?workbook=16_08.xlsx&amp;sheet=U0&amp;row=4312&amp;col=6&amp;number=3.8&amp;sourceID=14","3.8")</f>
        <v>3.8</v>
      </c>
      <c r="G4312" s="4" t="str">
        <f>HYPERLINK("http://141.218.60.56/~jnz1568/getInfo.php?workbook=16_08.xlsx&amp;sheet=U0&amp;row=4312&amp;col=7&amp;number=0.0251&amp;sourceID=14","0.0251")</f>
        <v>0.0251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HYPERLINK("http://141.218.60.56/~jnz1568/getInfo.php?workbook=16_08.xlsx&amp;sheet=U0&amp;row=4313&amp;col=6&amp;number=3.9&amp;sourceID=14","3.9")</f>
        <v>3.9</v>
      </c>
      <c r="G4313" s="4" t="str">
        <f>HYPERLINK("http://141.218.60.56/~jnz1568/getInfo.php?workbook=16_08.xlsx&amp;sheet=U0&amp;row=4313&amp;col=7&amp;number=0.0251&amp;sourceID=14","0.0251")</f>
        <v>0.0251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HYPERLINK("http://141.218.60.56/~jnz1568/getInfo.php?workbook=16_08.xlsx&amp;sheet=U0&amp;row=4314&amp;col=6&amp;number=4&amp;sourceID=14","4")</f>
        <v>4</v>
      </c>
      <c r="G4314" s="4" t="str">
        <f>HYPERLINK("http://141.218.60.56/~jnz1568/getInfo.php?workbook=16_08.xlsx&amp;sheet=U0&amp;row=4314&amp;col=7&amp;number=0.0251&amp;sourceID=14","0.0251")</f>
        <v>0.0251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HYPERLINK("http://141.218.60.56/~jnz1568/getInfo.php?workbook=16_08.xlsx&amp;sheet=U0&amp;row=4315&amp;col=6&amp;number=4.1&amp;sourceID=14","4.1")</f>
        <v>4.1</v>
      </c>
      <c r="G4315" s="4" t="str">
        <f>HYPERLINK("http://141.218.60.56/~jnz1568/getInfo.php?workbook=16_08.xlsx&amp;sheet=U0&amp;row=4315&amp;col=7&amp;number=0.0252&amp;sourceID=14","0.0252")</f>
        <v>0.0252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HYPERLINK("http://141.218.60.56/~jnz1568/getInfo.php?workbook=16_08.xlsx&amp;sheet=U0&amp;row=4316&amp;col=6&amp;number=4.2&amp;sourceID=14","4.2")</f>
        <v>4.2</v>
      </c>
      <c r="G4316" s="4" t="str">
        <f>HYPERLINK("http://141.218.60.56/~jnz1568/getInfo.php?workbook=16_08.xlsx&amp;sheet=U0&amp;row=4316&amp;col=7&amp;number=0.0252&amp;sourceID=14","0.0252")</f>
        <v>0.0252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HYPERLINK("http://141.218.60.56/~jnz1568/getInfo.php?workbook=16_08.xlsx&amp;sheet=U0&amp;row=4317&amp;col=6&amp;number=4.3&amp;sourceID=14","4.3")</f>
        <v>4.3</v>
      </c>
      <c r="G4317" s="4" t="str">
        <f>HYPERLINK("http://141.218.60.56/~jnz1568/getInfo.php?workbook=16_08.xlsx&amp;sheet=U0&amp;row=4317&amp;col=7&amp;number=0.0253&amp;sourceID=14","0.0253")</f>
        <v>0.0253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HYPERLINK("http://141.218.60.56/~jnz1568/getInfo.php?workbook=16_08.xlsx&amp;sheet=U0&amp;row=4318&amp;col=6&amp;number=4.4&amp;sourceID=14","4.4")</f>
        <v>4.4</v>
      </c>
      <c r="G4318" s="4" t="str">
        <f>HYPERLINK("http://141.218.60.56/~jnz1568/getInfo.php?workbook=16_08.xlsx&amp;sheet=U0&amp;row=4318&amp;col=7&amp;number=0.0253&amp;sourceID=14","0.0253")</f>
        <v>0.0253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HYPERLINK("http://141.218.60.56/~jnz1568/getInfo.php?workbook=16_08.xlsx&amp;sheet=U0&amp;row=4319&amp;col=6&amp;number=4.5&amp;sourceID=14","4.5")</f>
        <v>4.5</v>
      </c>
      <c r="G4319" s="4" t="str">
        <f>HYPERLINK("http://141.218.60.56/~jnz1568/getInfo.php?workbook=16_08.xlsx&amp;sheet=U0&amp;row=4319&amp;col=7&amp;number=0.0254&amp;sourceID=14","0.0254")</f>
        <v>0.0254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HYPERLINK("http://141.218.60.56/~jnz1568/getInfo.php?workbook=16_08.xlsx&amp;sheet=U0&amp;row=4320&amp;col=6&amp;number=4.6&amp;sourceID=14","4.6")</f>
        <v>4.6</v>
      </c>
      <c r="G4320" s="4" t="str">
        <f>HYPERLINK("http://141.218.60.56/~jnz1568/getInfo.php?workbook=16_08.xlsx&amp;sheet=U0&amp;row=4320&amp;col=7&amp;number=0.0255&amp;sourceID=14","0.0255")</f>
        <v>0.0255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HYPERLINK("http://141.218.60.56/~jnz1568/getInfo.php?workbook=16_08.xlsx&amp;sheet=U0&amp;row=4321&amp;col=6&amp;number=4.7&amp;sourceID=14","4.7")</f>
        <v>4.7</v>
      </c>
      <c r="G4321" s="4" t="str">
        <f>HYPERLINK("http://141.218.60.56/~jnz1568/getInfo.php?workbook=16_08.xlsx&amp;sheet=U0&amp;row=4321&amp;col=7&amp;number=0.0256&amp;sourceID=14","0.0256")</f>
        <v>0.0256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HYPERLINK("http://141.218.60.56/~jnz1568/getInfo.php?workbook=16_08.xlsx&amp;sheet=U0&amp;row=4322&amp;col=6&amp;number=4.8&amp;sourceID=14","4.8")</f>
        <v>4.8</v>
      </c>
      <c r="G4322" s="4" t="str">
        <f>HYPERLINK("http://141.218.60.56/~jnz1568/getInfo.php?workbook=16_08.xlsx&amp;sheet=U0&amp;row=4322&amp;col=7&amp;number=0.0257&amp;sourceID=14","0.0257")</f>
        <v>0.0257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HYPERLINK("http://141.218.60.56/~jnz1568/getInfo.php?workbook=16_08.xlsx&amp;sheet=U0&amp;row=4323&amp;col=6&amp;number=4.9&amp;sourceID=14","4.9")</f>
        <v>4.9</v>
      </c>
      <c r="G4323" s="4" t="str">
        <f>HYPERLINK("http://141.218.60.56/~jnz1568/getInfo.php?workbook=16_08.xlsx&amp;sheet=U0&amp;row=4323&amp;col=7&amp;number=0.0259&amp;sourceID=14","0.0259")</f>
        <v>0.0259</v>
      </c>
    </row>
    <row r="4324" spans="1:7">
      <c r="A4324" s="3">
        <v>16</v>
      </c>
      <c r="B4324" s="3">
        <v>8</v>
      </c>
      <c r="C4324" s="3">
        <v>3</v>
      </c>
      <c r="D4324" s="3">
        <v>51</v>
      </c>
      <c r="E4324" s="3">
        <v>1</v>
      </c>
      <c r="F4324" s="4" t="str">
        <f>HYPERLINK("http://141.218.60.56/~jnz1568/getInfo.php?workbook=16_08.xlsx&amp;sheet=U0&amp;row=4324&amp;col=6&amp;number=3&amp;sourceID=14","3")</f>
        <v>3</v>
      </c>
      <c r="G4324" s="4" t="str">
        <f>HYPERLINK("http://141.218.60.56/~jnz1568/getInfo.php?workbook=16_08.xlsx&amp;sheet=U0&amp;row=4324&amp;col=7&amp;number=0.00319&amp;sourceID=14","0.00319")</f>
        <v>0.00319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HYPERLINK("http://141.218.60.56/~jnz1568/getInfo.php?workbook=16_08.xlsx&amp;sheet=U0&amp;row=4325&amp;col=6&amp;number=3.1&amp;sourceID=14","3.1")</f>
        <v>3.1</v>
      </c>
      <c r="G4325" s="4" t="str">
        <f>HYPERLINK("http://141.218.60.56/~jnz1568/getInfo.php?workbook=16_08.xlsx&amp;sheet=U0&amp;row=4325&amp;col=7&amp;number=0.00319&amp;sourceID=14","0.00319")</f>
        <v>0.00319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HYPERLINK("http://141.218.60.56/~jnz1568/getInfo.php?workbook=16_08.xlsx&amp;sheet=U0&amp;row=4326&amp;col=6&amp;number=3.2&amp;sourceID=14","3.2")</f>
        <v>3.2</v>
      </c>
      <c r="G4326" s="4" t="str">
        <f>HYPERLINK("http://141.218.60.56/~jnz1568/getInfo.php?workbook=16_08.xlsx&amp;sheet=U0&amp;row=4326&amp;col=7&amp;number=0.00319&amp;sourceID=14","0.00319")</f>
        <v>0.00319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HYPERLINK("http://141.218.60.56/~jnz1568/getInfo.php?workbook=16_08.xlsx&amp;sheet=U0&amp;row=4327&amp;col=6&amp;number=3.3&amp;sourceID=14","3.3")</f>
        <v>3.3</v>
      </c>
      <c r="G4327" s="4" t="str">
        <f>HYPERLINK("http://141.218.60.56/~jnz1568/getInfo.php?workbook=16_08.xlsx&amp;sheet=U0&amp;row=4327&amp;col=7&amp;number=0.00319&amp;sourceID=14","0.00319")</f>
        <v>0.00319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HYPERLINK("http://141.218.60.56/~jnz1568/getInfo.php?workbook=16_08.xlsx&amp;sheet=U0&amp;row=4328&amp;col=6&amp;number=3.4&amp;sourceID=14","3.4")</f>
        <v>3.4</v>
      </c>
      <c r="G4328" s="4" t="str">
        <f>HYPERLINK("http://141.218.60.56/~jnz1568/getInfo.php?workbook=16_08.xlsx&amp;sheet=U0&amp;row=4328&amp;col=7&amp;number=0.00319&amp;sourceID=14","0.00319")</f>
        <v>0.00319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HYPERLINK("http://141.218.60.56/~jnz1568/getInfo.php?workbook=16_08.xlsx&amp;sheet=U0&amp;row=4329&amp;col=6&amp;number=3.5&amp;sourceID=14","3.5")</f>
        <v>3.5</v>
      </c>
      <c r="G4329" s="4" t="str">
        <f>HYPERLINK("http://141.218.60.56/~jnz1568/getInfo.php?workbook=16_08.xlsx&amp;sheet=U0&amp;row=4329&amp;col=7&amp;number=0.00319&amp;sourceID=14","0.00319")</f>
        <v>0.00319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HYPERLINK("http://141.218.60.56/~jnz1568/getInfo.php?workbook=16_08.xlsx&amp;sheet=U0&amp;row=4330&amp;col=6&amp;number=3.6&amp;sourceID=14","3.6")</f>
        <v>3.6</v>
      </c>
      <c r="G4330" s="4" t="str">
        <f>HYPERLINK("http://141.218.60.56/~jnz1568/getInfo.php?workbook=16_08.xlsx&amp;sheet=U0&amp;row=4330&amp;col=7&amp;number=0.00319&amp;sourceID=14","0.00319")</f>
        <v>0.00319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HYPERLINK("http://141.218.60.56/~jnz1568/getInfo.php?workbook=16_08.xlsx&amp;sheet=U0&amp;row=4331&amp;col=6&amp;number=3.7&amp;sourceID=14","3.7")</f>
        <v>3.7</v>
      </c>
      <c r="G4331" s="4" t="str">
        <f>HYPERLINK("http://141.218.60.56/~jnz1568/getInfo.php?workbook=16_08.xlsx&amp;sheet=U0&amp;row=4331&amp;col=7&amp;number=0.00319&amp;sourceID=14","0.00319")</f>
        <v>0.00319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HYPERLINK("http://141.218.60.56/~jnz1568/getInfo.php?workbook=16_08.xlsx&amp;sheet=U0&amp;row=4332&amp;col=6&amp;number=3.8&amp;sourceID=14","3.8")</f>
        <v>3.8</v>
      </c>
      <c r="G4332" s="4" t="str">
        <f>HYPERLINK("http://141.218.60.56/~jnz1568/getInfo.php?workbook=16_08.xlsx&amp;sheet=U0&amp;row=4332&amp;col=7&amp;number=0.00319&amp;sourceID=14","0.00319")</f>
        <v>0.00319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HYPERLINK("http://141.218.60.56/~jnz1568/getInfo.php?workbook=16_08.xlsx&amp;sheet=U0&amp;row=4333&amp;col=6&amp;number=3.9&amp;sourceID=14","3.9")</f>
        <v>3.9</v>
      </c>
      <c r="G4333" s="4" t="str">
        <f>HYPERLINK("http://141.218.60.56/~jnz1568/getInfo.php?workbook=16_08.xlsx&amp;sheet=U0&amp;row=4333&amp;col=7&amp;number=0.00319&amp;sourceID=14","0.00319")</f>
        <v>0.00319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HYPERLINK("http://141.218.60.56/~jnz1568/getInfo.php?workbook=16_08.xlsx&amp;sheet=U0&amp;row=4334&amp;col=6&amp;number=4&amp;sourceID=14","4")</f>
        <v>4</v>
      </c>
      <c r="G4334" s="4" t="str">
        <f>HYPERLINK("http://141.218.60.56/~jnz1568/getInfo.php?workbook=16_08.xlsx&amp;sheet=U0&amp;row=4334&amp;col=7&amp;number=0.00319&amp;sourceID=14","0.00319")</f>
        <v>0.00319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HYPERLINK("http://141.218.60.56/~jnz1568/getInfo.php?workbook=16_08.xlsx&amp;sheet=U0&amp;row=4335&amp;col=6&amp;number=4.1&amp;sourceID=14","4.1")</f>
        <v>4.1</v>
      </c>
      <c r="G4335" s="4" t="str">
        <f>HYPERLINK("http://141.218.60.56/~jnz1568/getInfo.php?workbook=16_08.xlsx&amp;sheet=U0&amp;row=4335&amp;col=7&amp;number=0.00319&amp;sourceID=14","0.00319")</f>
        <v>0.00319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HYPERLINK("http://141.218.60.56/~jnz1568/getInfo.php?workbook=16_08.xlsx&amp;sheet=U0&amp;row=4336&amp;col=6&amp;number=4.2&amp;sourceID=14","4.2")</f>
        <v>4.2</v>
      </c>
      <c r="G4336" s="4" t="str">
        <f>HYPERLINK("http://141.218.60.56/~jnz1568/getInfo.php?workbook=16_08.xlsx&amp;sheet=U0&amp;row=4336&amp;col=7&amp;number=0.00319&amp;sourceID=14","0.00319")</f>
        <v>0.00319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HYPERLINK("http://141.218.60.56/~jnz1568/getInfo.php?workbook=16_08.xlsx&amp;sheet=U0&amp;row=4337&amp;col=6&amp;number=4.3&amp;sourceID=14","4.3")</f>
        <v>4.3</v>
      </c>
      <c r="G4337" s="4" t="str">
        <f>HYPERLINK("http://141.218.60.56/~jnz1568/getInfo.php?workbook=16_08.xlsx&amp;sheet=U0&amp;row=4337&amp;col=7&amp;number=0.00319&amp;sourceID=14","0.00319")</f>
        <v>0.00319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HYPERLINK("http://141.218.60.56/~jnz1568/getInfo.php?workbook=16_08.xlsx&amp;sheet=U0&amp;row=4338&amp;col=6&amp;number=4.4&amp;sourceID=14","4.4")</f>
        <v>4.4</v>
      </c>
      <c r="G4338" s="4" t="str">
        <f>HYPERLINK("http://141.218.60.56/~jnz1568/getInfo.php?workbook=16_08.xlsx&amp;sheet=U0&amp;row=4338&amp;col=7&amp;number=0.00319&amp;sourceID=14","0.00319")</f>
        <v>0.00319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HYPERLINK("http://141.218.60.56/~jnz1568/getInfo.php?workbook=16_08.xlsx&amp;sheet=U0&amp;row=4339&amp;col=6&amp;number=4.5&amp;sourceID=14","4.5")</f>
        <v>4.5</v>
      </c>
      <c r="G4339" s="4" t="str">
        <f>HYPERLINK("http://141.218.60.56/~jnz1568/getInfo.php?workbook=16_08.xlsx&amp;sheet=U0&amp;row=4339&amp;col=7&amp;number=0.0032&amp;sourceID=14","0.0032")</f>
        <v>0.0032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HYPERLINK("http://141.218.60.56/~jnz1568/getInfo.php?workbook=16_08.xlsx&amp;sheet=U0&amp;row=4340&amp;col=6&amp;number=4.6&amp;sourceID=14","4.6")</f>
        <v>4.6</v>
      </c>
      <c r="G4340" s="4" t="str">
        <f>HYPERLINK("http://141.218.60.56/~jnz1568/getInfo.php?workbook=16_08.xlsx&amp;sheet=U0&amp;row=4340&amp;col=7&amp;number=0.0032&amp;sourceID=14","0.0032")</f>
        <v>0.0032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HYPERLINK("http://141.218.60.56/~jnz1568/getInfo.php?workbook=16_08.xlsx&amp;sheet=U0&amp;row=4341&amp;col=6&amp;number=4.7&amp;sourceID=14","4.7")</f>
        <v>4.7</v>
      </c>
      <c r="G4341" s="4" t="str">
        <f>HYPERLINK("http://141.218.60.56/~jnz1568/getInfo.php?workbook=16_08.xlsx&amp;sheet=U0&amp;row=4341&amp;col=7&amp;number=0.0032&amp;sourceID=14","0.0032")</f>
        <v>0.0032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HYPERLINK("http://141.218.60.56/~jnz1568/getInfo.php?workbook=16_08.xlsx&amp;sheet=U0&amp;row=4342&amp;col=6&amp;number=4.8&amp;sourceID=14","4.8")</f>
        <v>4.8</v>
      </c>
      <c r="G4342" s="4" t="str">
        <f>HYPERLINK("http://141.218.60.56/~jnz1568/getInfo.php?workbook=16_08.xlsx&amp;sheet=U0&amp;row=4342&amp;col=7&amp;number=0.0032&amp;sourceID=14","0.0032")</f>
        <v>0.0032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HYPERLINK("http://141.218.60.56/~jnz1568/getInfo.php?workbook=16_08.xlsx&amp;sheet=U0&amp;row=4343&amp;col=6&amp;number=4.9&amp;sourceID=14","4.9")</f>
        <v>4.9</v>
      </c>
      <c r="G4343" s="4" t="str">
        <f>HYPERLINK("http://141.218.60.56/~jnz1568/getInfo.php?workbook=16_08.xlsx&amp;sheet=U0&amp;row=4343&amp;col=7&amp;number=0.00321&amp;sourceID=14","0.00321")</f>
        <v>0.00321</v>
      </c>
    </row>
    <row r="4344" spans="1:7">
      <c r="A4344" s="3">
        <v>16</v>
      </c>
      <c r="B4344" s="3">
        <v>8</v>
      </c>
      <c r="C4344" s="3">
        <v>3</v>
      </c>
      <c r="D4344" s="3">
        <v>52</v>
      </c>
      <c r="E4344" s="3">
        <v>1</v>
      </c>
      <c r="F4344" s="4" t="str">
        <f>HYPERLINK("http://141.218.60.56/~jnz1568/getInfo.php?workbook=16_08.xlsx&amp;sheet=U0&amp;row=4344&amp;col=6&amp;number=3&amp;sourceID=14","3")</f>
        <v>3</v>
      </c>
      <c r="G4344" s="4" t="str">
        <f>HYPERLINK("http://141.218.60.56/~jnz1568/getInfo.php?workbook=16_08.xlsx&amp;sheet=U0&amp;row=4344&amp;col=7&amp;number=0.000591&amp;sourceID=14","0.000591")</f>
        <v>0.000591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HYPERLINK("http://141.218.60.56/~jnz1568/getInfo.php?workbook=16_08.xlsx&amp;sheet=U0&amp;row=4345&amp;col=6&amp;number=3.1&amp;sourceID=14","3.1")</f>
        <v>3.1</v>
      </c>
      <c r="G4345" s="4" t="str">
        <f>HYPERLINK("http://141.218.60.56/~jnz1568/getInfo.php?workbook=16_08.xlsx&amp;sheet=U0&amp;row=4345&amp;col=7&amp;number=0.000591&amp;sourceID=14","0.000591")</f>
        <v>0.000591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HYPERLINK("http://141.218.60.56/~jnz1568/getInfo.php?workbook=16_08.xlsx&amp;sheet=U0&amp;row=4346&amp;col=6&amp;number=3.2&amp;sourceID=14","3.2")</f>
        <v>3.2</v>
      </c>
      <c r="G4346" s="4" t="str">
        <f>HYPERLINK("http://141.218.60.56/~jnz1568/getInfo.php?workbook=16_08.xlsx&amp;sheet=U0&amp;row=4346&amp;col=7&amp;number=0.000591&amp;sourceID=14","0.000591")</f>
        <v>0.000591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HYPERLINK("http://141.218.60.56/~jnz1568/getInfo.php?workbook=16_08.xlsx&amp;sheet=U0&amp;row=4347&amp;col=6&amp;number=3.3&amp;sourceID=14","3.3")</f>
        <v>3.3</v>
      </c>
      <c r="G4347" s="4" t="str">
        <f>HYPERLINK("http://141.218.60.56/~jnz1568/getInfo.php?workbook=16_08.xlsx&amp;sheet=U0&amp;row=4347&amp;col=7&amp;number=0.000591&amp;sourceID=14","0.000591")</f>
        <v>0.000591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HYPERLINK("http://141.218.60.56/~jnz1568/getInfo.php?workbook=16_08.xlsx&amp;sheet=U0&amp;row=4348&amp;col=6&amp;number=3.4&amp;sourceID=14","3.4")</f>
        <v>3.4</v>
      </c>
      <c r="G4348" s="4" t="str">
        <f>HYPERLINK("http://141.218.60.56/~jnz1568/getInfo.php?workbook=16_08.xlsx&amp;sheet=U0&amp;row=4348&amp;col=7&amp;number=0.000591&amp;sourceID=14","0.000591")</f>
        <v>0.000591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HYPERLINK("http://141.218.60.56/~jnz1568/getInfo.php?workbook=16_08.xlsx&amp;sheet=U0&amp;row=4349&amp;col=6&amp;number=3.5&amp;sourceID=14","3.5")</f>
        <v>3.5</v>
      </c>
      <c r="G4349" s="4" t="str">
        <f>HYPERLINK("http://141.218.60.56/~jnz1568/getInfo.php?workbook=16_08.xlsx&amp;sheet=U0&amp;row=4349&amp;col=7&amp;number=0.000591&amp;sourceID=14","0.000591")</f>
        <v>0.000591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HYPERLINK("http://141.218.60.56/~jnz1568/getInfo.php?workbook=16_08.xlsx&amp;sheet=U0&amp;row=4350&amp;col=6&amp;number=3.6&amp;sourceID=14","3.6")</f>
        <v>3.6</v>
      </c>
      <c r="G4350" s="4" t="str">
        <f>HYPERLINK("http://141.218.60.56/~jnz1568/getInfo.php?workbook=16_08.xlsx&amp;sheet=U0&amp;row=4350&amp;col=7&amp;number=0.000591&amp;sourceID=14","0.000591")</f>
        <v>0.000591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HYPERLINK("http://141.218.60.56/~jnz1568/getInfo.php?workbook=16_08.xlsx&amp;sheet=U0&amp;row=4351&amp;col=6&amp;number=3.7&amp;sourceID=14","3.7")</f>
        <v>3.7</v>
      </c>
      <c r="G4351" s="4" t="str">
        <f>HYPERLINK("http://141.218.60.56/~jnz1568/getInfo.php?workbook=16_08.xlsx&amp;sheet=U0&amp;row=4351&amp;col=7&amp;number=0.000591&amp;sourceID=14","0.000591")</f>
        <v>0.000591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HYPERLINK("http://141.218.60.56/~jnz1568/getInfo.php?workbook=16_08.xlsx&amp;sheet=U0&amp;row=4352&amp;col=6&amp;number=3.8&amp;sourceID=14","3.8")</f>
        <v>3.8</v>
      </c>
      <c r="G4352" s="4" t="str">
        <f>HYPERLINK("http://141.218.60.56/~jnz1568/getInfo.php?workbook=16_08.xlsx&amp;sheet=U0&amp;row=4352&amp;col=7&amp;number=0.000591&amp;sourceID=14","0.000591")</f>
        <v>0.000591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HYPERLINK("http://141.218.60.56/~jnz1568/getInfo.php?workbook=16_08.xlsx&amp;sheet=U0&amp;row=4353&amp;col=6&amp;number=3.9&amp;sourceID=14","3.9")</f>
        <v>3.9</v>
      </c>
      <c r="G4353" s="4" t="str">
        <f>HYPERLINK("http://141.218.60.56/~jnz1568/getInfo.php?workbook=16_08.xlsx&amp;sheet=U0&amp;row=4353&amp;col=7&amp;number=0.000591&amp;sourceID=14","0.000591")</f>
        <v>0.000591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HYPERLINK("http://141.218.60.56/~jnz1568/getInfo.php?workbook=16_08.xlsx&amp;sheet=U0&amp;row=4354&amp;col=6&amp;number=4&amp;sourceID=14","4")</f>
        <v>4</v>
      </c>
      <c r="G4354" s="4" t="str">
        <f>HYPERLINK("http://141.218.60.56/~jnz1568/getInfo.php?workbook=16_08.xlsx&amp;sheet=U0&amp;row=4354&amp;col=7&amp;number=0.000591&amp;sourceID=14","0.000591")</f>
        <v>0.000591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HYPERLINK("http://141.218.60.56/~jnz1568/getInfo.php?workbook=16_08.xlsx&amp;sheet=U0&amp;row=4355&amp;col=6&amp;number=4.1&amp;sourceID=14","4.1")</f>
        <v>4.1</v>
      </c>
      <c r="G4355" s="4" t="str">
        <f>HYPERLINK("http://141.218.60.56/~jnz1568/getInfo.php?workbook=16_08.xlsx&amp;sheet=U0&amp;row=4355&amp;col=7&amp;number=0.00059&amp;sourceID=14","0.00059")</f>
        <v>0.00059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HYPERLINK("http://141.218.60.56/~jnz1568/getInfo.php?workbook=16_08.xlsx&amp;sheet=U0&amp;row=4356&amp;col=6&amp;number=4.2&amp;sourceID=14","4.2")</f>
        <v>4.2</v>
      </c>
      <c r="G4356" s="4" t="str">
        <f>HYPERLINK("http://141.218.60.56/~jnz1568/getInfo.php?workbook=16_08.xlsx&amp;sheet=U0&amp;row=4356&amp;col=7&amp;number=0.00059&amp;sourceID=14","0.00059")</f>
        <v>0.00059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HYPERLINK("http://141.218.60.56/~jnz1568/getInfo.php?workbook=16_08.xlsx&amp;sheet=U0&amp;row=4357&amp;col=6&amp;number=4.3&amp;sourceID=14","4.3")</f>
        <v>4.3</v>
      </c>
      <c r="G4357" s="4" t="str">
        <f>HYPERLINK("http://141.218.60.56/~jnz1568/getInfo.php?workbook=16_08.xlsx&amp;sheet=U0&amp;row=4357&amp;col=7&amp;number=0.00059&amp;sourceID=14","0.00059")</f>
        <v>0.00059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HYPERLINK("http://141.218.60.56/~jnz1568/getInfo.php?workbook=16_08.xlsx&amp;sheet=U0&amp;row=4358&amp;col=6&amp;number=4.4&amp;sourceID=14","4.4")</f>
        <v>4.4</v>
      </c>
      <c r="G4358" s="4" t="str">
        <f>HYPERLINK("http://141.218.60.56/~jnz1568/getInfo.php?workbook=16_08.xlsx&amp;sheet=U0&amp;row=4358&amp;col=7&amp;number=0.00059&amp;sourceID=14","0.00059")</f>
        <v>0.00059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HYPERLINK("http://141.218.60.56/~jnz1568/getInfo.php?workbook=16_08.xlsx&amp;sheet=U0&amp;row=4359&amp;col=6&amp;number=4.5&amp;sourceID=14","4.5")</f>
        <v>4.5</v>
      </c>
      <c r="G4359" s="4" t="str">
        <f>HYPERLINK("http://141.218.60.56/~jnz1568/getInfo.php?workbook=16_08.xlsx&amp;sheet=U0&amp;row=4359&amp;col=7&amp;number=0.000589&amp;sourceID=14","0.000589")</f>
        <v>0.000589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HYPERLINK("http://141.218.60.56/~jnz1568/getInfo.php?workbook=16_08.xlsx&amp;sheet=U0&amp;row=4360&amp;col=6&amp;number=4.6&amp;sourceID=14","4.6")</f>
        <v>4.6</v>
      </c>
      <c r="G4360" s="4" t="str">
        <f>HYPERLINK("http://141.218.60.56/~jnz1568/getInfo.php?workbook=16_08.xlsx&amp;sheet=U0&amp;row=4360&amp;col=7&amp;number=0.000589&amp;sourceID=14","0.000589")</f>
        <v>0.000589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HYPERLINK("http://141.218.60.56/~jnz1568/getInfo.php?workbook=16_08.xlsx&amp;sheet=U0&amp;row=4361&amp;col=6&amp;number=4.7&amp;sourceID=14","4.7")</f>
        <v>4.7</v>
      </c>
      <c r="G4361" s="4" t="str">
        <f>HYPERLINK("http://141.218.60.56/~jnz1568/getInfo.php?workbook=16_08.xlsx&amp;sheet=U0&amp;row=4361&amp;col=7&amp;number=0.000588&amp;sourceID=14","0.000588")</f>
        <v>0.000588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HYPERLINK("http://141.218.60.56/~jnz1568/getInfo.php?workbook=16_08.xlsx&amp;sheet=U0&amp;row=4362&amp;col=6&amp;number=4.8&amp;sourceID=14","4.8")</f>
        <v>4.8</v>
      </c>
      <c r="G4362" s="4" t="str">
        <f>HYPERLINK("http://141.218.60.56/~jnz1568/getInfo.php?workbook=16_08.xlsx&amp;sheet=U0&amp;row=4362&amp;col=7&amp;number=0.000587&amp;sourceID=14","0.000587")</f>
        <v>0.000587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HYPERLINK("http://141.218.60.56/~jnz1568/getInfo.php?workbook=16_08.xlsx&amp;sheet=U0&amp;row=4363&amp;col=6&amp;number=4.9&amp;sourceID=14","4.9")</f>
        <v>4.9</v>
      </c>
      <c r="G4363" s="4" t="str">
        <f>HYPERLINK("http://141.218.60.56/~jnz1568/getInfo.php?workbook=16_08.xlsx&amp;sheet=U0&amp;row=4363&amp;col=7&amp;number=0.000587&amp;sourceID=14","0.000587")</f>
        <v>0.000587</v>
      </c>
    </row>
    <row r="4364" spans="1:7">
      <c r="A4364" s="3">
        <v>16</v>
      </c>
      <c r="B4364" s="3">
        <v>8</v>
      </c>
      <c r="C4364" s="3">
        <v>3</v>
      </c>
      <c r="D4364" s="3">
        <v>53</v>
      </c>
      <c r="E4364" s="3">
        <v>1</v>
      </c>
      <c r="F4364" s="4" t="str">
        <f>HYPERLINK("http://141.218.60.56/~jnz1568/getInfo.php?workbook=16_08.xlsx&amp;sheet=U0&amp;row=4364&amp;col=6&amp;number=3&amp;sourceID=14","3")</f>
        <v>3</v>
      </c>
      <c r="G4364" s="4" t="str">
        <f>HYPERLINK("http://141.218.60.56/~jnz1568/getInfo.php?workbook=16_08.xlsx&amp;sheet=U0&amp;row=4364&amp;col=7&amp;number=0.0022&amp;sourceID=14","0.0022")</f>
        <v>0.0022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HYPERLINK("http://141.218.60.56/~jnz1568/getInfo.php?workbook=16_08.xlsx&amp;sheet=U0&amp;row=4365&amp;col=6&amp;number=3.1&amp;sourceID=14","3.1")</f>
        <v>3.1</v>
      </c>
      <c r="G4365" s="4" t="str">
        <f>HYPERLINK("http://141.218.60.56/~jnz1568/getInfo.php?workbook=16_08.xlsx&amp;sheet=U0&amp;row=4365&amp;col=7&amp;number=0.0022&amp;sourceID=14","0.0022")</f>
        <v>0.0022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HYPERLINK("http://141.218.60.56/~jnz1568/getInfo.php?workbook=16_08.xlsx&amp;sheet=U0&amp;row=4366&amp;col=6&amp;number=3.2&amp;sourceID=14","3.2")</f>
        <v>3.2</v>
      </c>
      <c r="G4366" s="4" t="str">
        <f>HYPERLINK("http://141.218.60.56/~jnz1568/getInfo.php?workbook=16_08.xlsx&amp;sheet=U0&amp;row=4366&amp;col=7&amp;number=0.0022&amp;sourceID=14","0.0022")</f>
        <v>0.0022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HYPERLINK("http://141.218.60.56/~jnz1568/getInfo.php?workbook=16_08.xlsx&amp;sheet=U0&amp;row=4367&amp;col=6&amp;number=3.3&amp;sourceID=14","3.3")</f>
        <v>3.3</v>
      </c>
      <c r="G4367" s="4" t="str">
        <f>HYPERLINK("http://141.218.60.56/~jnz1568/getInfo.php?workbook=16_08.xlsx&amp;sheet=U0&amp;row=4367&amp;col=7&amp;number=0.0022&amp;sourceID=14","0.0022")</f>
        <v>0.0022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HYPERLINK("http://141.218.60.56/~jnz1568/getInfo.php?workbook=16_08.xlsx&amp;sheet=U0&amp;row=4368&amp;col=6&amp;number=3.4&amp;sourceID=14","3.4")</f>
        <v>3.4</v>
      </c>
      <c r="G4368" s="4" t="str">
        <f>HYPERLINK("http://141.218.60.56/~jnz1568/getInfo.php?workbook=16_08.xlsx&amp;sheet=U0&amp;row=4368&amp;col=7&amp;number=0.0022&amp;sourceID=14","0.0022")</f>
        <v>0.0022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HYPERLINK("http://141.218.60.56/~jnz1568/getInfo.php?workbook=16_08.xlsx&amp;sheet=U0&amp;row=4369&amp;col=6&amp;number=3.5&amp;sourceID=14","3.5")</f>
        <v>3.5</v>
      </c>
      <c r="G4369" s="4" t="str">
        <f>HYPERLINK("http://141.218.60.56/~jnz1568/getInfo.php?workbook=16_08.xlsx&amp;sheet=U0&amp;row=4369&amp;col=7&amp;number=0.0022&amp;sourceID=14","0.0022")</f>
        <v>0.0022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HYPERLINK("http://141.218.60.56/~jnz1568/getInfo.php?workbook=16_08.xlsx&amp;sheet=U0&amp;row=4370&amp;col=6&amp;number=3.6&amp;sourceID=14","3.6")</f>
        <v>3.6</v>
      </c>
      <c r="G4370" s="4" t="str">
        <f>HYPERLINK("http://141.218.60.56/~jnz1568/getInfo.php?workbook=16_08.xlsx&amp;sheet=U0&amp;row=4370&amp;col=7&amp;number=0.0022&amp;sourceID=14","0.0022")</f>
        <v>0.0022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HYPERLINK("http://141.218.60.56/~jnz1568/getInfo.php?workbook=16_08.xlsx&amp;sheet=U0&amp;row=4371&amp;col=6&amp;number=3.7&amp;sourceID=14","3.7")</f>
        <v>3.7</v>
      </c>
      <c r="G4371" s="4" t="str">
        <f>HYPERLINK("http://141.218.60.56/~jnz1568/getInfo.php?workbook=16_08.xlsx&amp;sheet=U0&amp;row=4371&amp;col=7&amp;number=0.0022&amp;sourceID=14","0.0022")</f>
        <v>0.0022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HYPERLINK("http://141.218.60.56/~jnz1568/getInfo.php?workbook=16_08.xlsx&amp;sheet=U0&amp;row=4372&amp;col=6&amp;number=3.8&amp;sourceID=14","3.8")</f>
        <v>3.8</v>
      </c>
      <c r="G4372" s="4" t="str">
        <f>HYPERLINK("http://141.218.60.56/~jnz1568/getInfo.php?workbook=16_08.xlsx&amp;sheet=U0&amp;row=4372&amp;col=7&amp;number=0.0022&amp;sourceID=14","0.0022")</f>
        <v>0.0022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HYPERLINK("http://141.218.60.56/~jnz1568/getInfo.php?workbook=16_08.xlsx&amp;sheet=U0&amp;row=4373&amp;col=6&amp;number=3.9&amp;sourceID=14","3.9")</f>
        <v>3.9</v>
      </c>
      <c r="G4373" s="4" t="str">
        <f>HYPERLINK("http://141.218.60.56/~jnz1568/getInfo.php?workbook=16_08.xlsx&amp;sheet=U0&amp;row=4373&amp;col=7&amp;number=0.0022&amp;sourceID=14","0.0022")</f>
        <v>0.0022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HYPERLINK("http://141.218.60.56/~jnz1568/getInfo.php?workbook=16_08.xlsx&amp;sheet=U0&amp;row=4374&amp;col=6&amp;number=4&amp;sourceID=14","4")</f>
        <v>4</v>
      </c>
      <c r="G4374" s="4" t="str">
        <f>HYPERLINK("http://141.218.60.56/~jnz1568/getInfo.php?workbook=16_08.xlsx&amp;sheet=U0&amp;row=4374&amp;col=7&amp;number=0.0022&amp;sourceID=14","0.0022")</f>
        <v>0.0022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HYPERLINK("http://141.218.60.56/~jnz1568/getInfo.php?workbook=16_08.xlsx&amp;sheet=U0&amp;row=4375&amp;col=6&amp;number=4.1&amp;sourceID=14","4.1")</f>
        <v>4.1</v>
      </c>
      <c r="G4375" s="4" t="str">
        <f>HYPERLINK("http://141.218.60.56/~jnz1568/getInfo.php?workbook=16_08.xlsx&amp;sheet=U0&amp;row=4375&amp;col=7&amp;number=0.0022&amp;sourceID=14","0.0022")</f>
        <v>0.0022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HYPERLINK("http://141.218.60.56/~jnz1568/getInfo.php?workbook=16_08.xlsx&amp;sheet=U0&amp;row=4376&amp;col=6&amp;number=4.2&amp;sourceID=14","4.2")</f>
        <v>4.2</v>
      </c>
      <c r="G4376" s="4" t="str">
        <f>HYPERLINK("http://141.218.60.56/~jnz1568/getInfo.php?workbook=16_08.xlsx&amp;sheet=U0&amp;row=4376&amp;col=7&amp;number=0.0022&amp;sourceID=14","0.0022")</f>
        <v>0.0022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HYPERLINK("http://141.218.60.56/~jnz1568/getInfo.php?workbook=16_08.xlsx&amp;sheet=U0&amp;row=4377&amp;col=6&amp;number=4.3&amp;sourceID=14","4.3")</f>
        <v>4.3</v>
      </c>
      <c r="G4377" s="4" t="str">
        <f>HYPERLINK("http://141.218.60.56/~jnz1568/getInfo.php?workbook=16_08.xlsx&amp;sheet=U0&amp;row=4377&amp;col=7&amp;number=0.00219&amp;sourceID=14","0.00219")</f>
        <v>0.00219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HYPERLINK("http://141.218.60.56/~jnz1568/getInfo.php?workbook=16_08.xlsx&amp;sheet=U0&amp;row=4378&amp;col=6&amp;number=4.4&amp;sourceID=14","4.4")</f>
        <v>4.4</v>
      </c>
      <c r="G4378" s="4" t="str">
        <f>HYPERLINK("http://141.218.60.56/~jnz1568/getInfo.php?workbook=16_08.xlsx&amp;sheet=U0&amp;row=4378&amp;col=7&amp;number=0.00219&amp;sourceID=14","0.00219")</f>
        <v>0.00219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HYPERLINK("http://141.218.60.56/~jnz1568/getInfo.php?workbook=16_08.xlsx&amp;sheet=U0&amp;row=4379&amp;col=6&amp;number=4.5&amp;sourceID=14","4.5")</f>
        <v>4.5</v>
      </c>
      <c r="G4379" s="4" t="str">
        <f>HYPERLINK("http://141.218.60.56/~jnz1568/getInfo.php?workbook=16_08.xlsx&amp;sheet=U0&amp;row=4379&amp;col=7&amp;number=0.00219&amp;sourceID=14","0.00219")</f>
        <v>0.00219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HYPERLINK("http://141.218.60.56/~jnz1568/getInfo.php?workbook=16_08.xlsx&amp;sheet=U0&amp;row=4380&amp;col=6&amp;number=4.6&amp;sourceID=14","4.6")</f>
        <v>4.6</v>
      </c>
      <c r="G4380" s="4" t="str">
        <f>HYPERLINK("http://141.218.60.56/~jnz1568/getInfo.php?workbook=16_08.xlsx&amp;sheet=U0&amp;row=4380&amp;col=7&amp;number=0.00219&amp;sourceID=14","0.00219")</f>
        <v>0.00219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HYPERLINK("http://141.218.60.56/~jnz1568/getInfo.php?workbook=16_08.xlsx&amp;sheet=U0&amp;row=4381&amp;col=6&amp;number=4.7&amp;sourceID=14","4.7")</f>
        <v>4.7</v>
      </c>
      <c r="G4381" s="4" t="str">
        <f>HYPERLINK("http://141.218.60.56/~jnz1568/getInfo.php?workbook=16_08.xlsx&amp;sheet=U0&amp;row=4381&amp;col=7&amp;number=0.00218&amp;sourceID=14","0.00218")</f>
        <v>0.00218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HYPERLINK("http://141.218.60.56/~jnz1568/getInfo.php?workbook=16_08.xlsx&amp;sheet=U0&amp;row=4382&amp;col=6&amp;number=4.8&amp;sourceID=14","4.8")</f>
        <v>4.8</v>
      </c>
      <c r="G4382" s="4" t="str">
        <f>HYPERLINK("http://141.218.60.56/~jnz1568/getInfo.php?workbook=16_08.xlsx&amp;sheet=U0&amp;row=4382&amp;col=7&amp;number=0.00218&amp;sourceID=14","0.00218")</f>
        <v>0.00218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HYPERLINK("http://141.218.60.56/~jnz1568/getInfo.php?workbook=16_08.xlsx&amp;sheet=U0&amp;row=4383&amp;col=6&amp;number=4.9&amp;sourceID=14","4.9")</f>
        <v>4.9</v>
      </c>
      <c r="G4383" s="4" t="str">
        <f>HYPERLINK("http://141.218.60.56/~jnz1568/getInfo.php?workbook=16_08.xlsx&amp;sheet=U0&amp;row=4383&amp;col=7&amp;number=0.00217&amp;sourceID=14","0.00217")</f>
        <v>0.00217</v>
      </c>
    </row>
    <row r="4384" spans="1:7">
      <c r="A4384" s="3">
        <v>16</v>
      </c>
      <c r="B4384" s="3">
        <v>8</v>
      </c>
      <c r="C4384" s="3">
        <v>3</v>
      </c>
      <c r="D4384" s="3">
        <v>54</v>
      </c>
      <c r="E4384" s="3">
        <v>1</v>
      </c>
      <c r="F4384" s="4" t="str">
        <f>HYPERLINK("http://141.218.60.56/~jnz1568/getInfo.php?workbook=16_08.xlsx&amp;sheet=U0&amp;row=4384&amp;col=6&amp;number=3&amp;sourceID=14","3")</f>
        <v>3</v>
      </c>
      <c r="G4384" s="4" t="str">
        <f>HYPERLINK("http://141.218.60.56/~jnz1568/getInfo.php?workbook=16_08.xlsx&amp;sheet=U0&amp;row=4384&amp;col=7&amp;number=0.0651&amp;sourceID=14","0.0651")</f>
        <v>0.0651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HYPERLINK("http://141.218.60.56/~jnz1568/getInfo.php?workbook=16_08.xlsx&amp;sheet=U0&amp;row=4385&amp;col=6&amp;number=3.1&amp;sourceID=14","3.1")</f>
        <v>3.1</v>
      </c>
      <c r="G4385" s="4" t="str">
        <f>HYPERLINK("http://141.218.60.56/~jnz1568/getInfo.php?workbook=16_08.xlsx&amp;sheet=U0&amp;row=4385&amp;col=7&amp;number=0.0651&amp;sourceID=14","0.0651")</f>
        <v>0.0651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HYPERLINK("http://141.218.60.56/~jnz1568/getInfo.php?workbook=16_08.xlsx&amp;sheet=U0&amp;row=4386&amp;col=6&amp;number=3.2&amp;sourceID=14","3.2")</f>
        <v>3.2</v>
      </c>
      <c r="G4386" s="4" t="str">
        <f>HYPERLINK("http://141.218.60.56/~jnz1568/getInfo.php?workbook=16_08.xlsx&amp;sheet=U0&amp;row=4386&amp;col=7&amp;number=0.0651&amp;sourceID=14","0.0651")</f>
        <v>0.0651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HYPERLINK("http://141.218.60.56/~jnz1568/getInfo.php?workbook=16_08.xlsx&amp;sheet=U0&amp;row=4387&amp;col=6&amp;number=3.3&amp;sourceID=14","3.3")</f>
        <v>3.3</v>
      </c>
      <c r="G4387" s="4" t="str">
        <f>HYPERLINK("http://141.218.60.56/~jnz1568/getInfo.php?workbook=16_08.xlsx&amp;sheet=U0&amp;row=4387&amp;col=7&amp;number=0.0651&amp;sourceID=14","0.0651")</f>
        <v>0.0651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HYPERLINK("http://141.218.60.56/~jnz1568/getInfo.php?workbook=16_08.xlsx&amp;sheet=U0&amp;row=4388&amp;col=6&amp;number=3.4&amp;sourceID=14","3.4")</f>
        <v>3.4</v>
      </c>
      <c r="G4388" s="4" t="str">
        <f>HYPERLINK("http://141.218.60.56/~jnz1568/getInfo.php?workbook=16_08.xlsx&amp;sheet=U0&amp;row=4388&amp;col=7&amp;number=0.0651&amp;sourceID=14","0.0651")</f>
        <v>0.0651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HYPERLINK("http://141.218.60.56/~jnz1568/getInfo.php?workbook=16_08.xlsx&amp;sheet=U0&amp;row=4389&amp;col=6&amp;number=3.5&amp;sourceID=14","3.5")</f>
        <v>3.5</v>
      </c>
      <c r="G4389" s="4" t="str">
        <f>HYPERLINK("http://141.218.60.56/~jnz1568/getInfo.php?workbook=16_08.xlsx&amp;sheet=U0&amp;row=4389&amp;col=7&amp;number=0.0651&amp;sourceID=14","0.0651")</f>
        <v>0.0651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HYPERLINK("http://141.218.60.56/~jnz1568/getInfo.php?workbook=16_08.xlsx&amp;sheet=U0&amp;row=4390&amp;col=6&amp;number=3.6&amp;sourceID=14","3.6")</f>
        <v>3.6</v>
      </c>
      <c r="G4390" s="4" t="str">
        <f>HYPERLINK("http://141.218.60.56/~jnz1568/getInfo.php?workbook=16_08.xlsx&amp;sheet=U0&amp;row=4390&amp;col=7&amp;number=0.0651&amp;sourceID=14","0.0651")</f>
        <v>0.0651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HYPERLINK("http://141.218.60.56/~jnz1568/getInfo.php?workbook=16_08.xlsx&amp;sheet=U0&amp;row=4391&amp;col=6&amp;number=3.7&amp;sourceID=14","3.7")</f>
        <v>3.7</v>
      </c>
      <c r="G4391" s="4" t="str">
        <f>HYPERLINK("http://141.218.60.56/~jnz1568/getInfo.php?workbook=16_08.xlsx&amp;sheet=U0&amp;row=4391&amp;col=7&amp;number=0.0651&amp;sourceID=14","0.0651")</f>
        <v>0.0651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HYPERLINK("http://141.218.60.56/~jnz1568/getInfo.php?workbook=16_08.xlsx&amp;sheet=U0&amp;row=4392&amp;col=6&amp;number=3.8&amp;sourceID=14","3.8")</f>
        <v>3.8</v>
      </c>
      <c r="G4392" s="4" t="str">
        <f>HYPERLINK("http://141.218.60.56/~jnz1568/getInfo.php?workbook=16_08.xlsx&amp;sheet=U0&amp;row=4392&amp;col=7&amp;number=0.0651&amp;sourceID=14","0.0651")</f>
        <v>0.0651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HYPERLINK("http://141.218.60.56/~jnz1568/getInfo.php?workbook=16_08.xlsx&amp;sheet=U0&amp;row=4393&amp;col=6&amp;number=3.9&amp;sourceID=14","3.9")</f>
        <v>3.9</v>
      </c>
      <c r="G4393" s="4" t="str">
        <f>HYPERLINK("http://141.218.60.56/~jnz1568/getInfo.php?workbook=16_08.xlsx&amp;sheet=U0&amp;row=4393&amp;col=7&amp;number=0.0651&amp;sourceID=14","0.0651")</f>
        <v>0.0651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HYPERLINK("http://141.218.60.56/~jnz1568/getInfo.php?workbook=16_08.xlsx&amp;sheet=U0&amp;row=4394&amp;col=6&amp;number=4&amp;sourceID=14","4")</f>
        <v>4</v>
      </c>
      <c r="G4394" s="4" t="str">
        <f>HYPERLINK("http://141.218.60.56/~jnz1568/getInfo.php?workbook=16_08.xlsx&amp;sheet=U0&amp;row=4394&amp;col=7&amp;number=0.0651&amp;sourceID=14","0.0651")</f>
        <v>0.0651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HYPERLINK("http://141.218.60.56/~jnz1568/getInfo.php?workbook=16_08.xlsx&amp;sheet=U0&amp;row=4395&amp;col=6&amp;number=4.1&amp;sourceID=14","4.1")</f>
        <v>4.1</v>
      </c>
      <c r="G4395" s="4" t="str">
        <f>HYPERLINK("http://141.218.60.56/~jnz1568/getInfo.php?workbook=16_08.xlsx&amp;sheet=U0&amp;row=4395&amp;col=7&amp;number=0.0651&amp;sourceID=14","0.0651")</f>
        <v>0.0651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HYPERLINK("http://141.218.60.56/~jnz1568/getInfo.php?workbook=16_08.xlsx&amp;sheet=U0&amp;row=4396&amp;col=6&amp;number=4.2&amp;sourceID=14","4.2")</f>
        <v>4.2</v>
      </c>
      <c r="G4396" s="4" t="str">
        <f>HYPERLINK("http://141.218.60.56/~jnz1568/getInfo.php?workbook=16_08.xlsx&amp;sheet=U0&amp;row=4396&amp;col=7&amp;number=0.0651&amp;sourceID=14","0.0651")</f>
        <v>0.0651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HYPERLINK("http://141.218.60.56/~jnz1568/getInfo.php?workbook=16_08.xlsx&amp;sheet=U0&amp;row=4397&amp;col=6&amp;number=4.3&amp;sourceID=14","4.3")</f>
        <v>4.3</v>
      </c>
      <c r="G4397" s="4" t="str">
        <f>HYPERLINK("http://141.218.60.56/~jnz1568/getInfo.php?workbook=16_08.xlsx&amp;sheet=U0&amp;row=4397&amp;col=7&amp;number=0.0651&amp;sourceID=14","0.0651")</f>
        <v>0.0651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HYPERLINK("http://141.218.60.56/~jnz1568/getInfo.php?workbook=16_08.xlsx&amp;sheet=U0&amp;row=4398&amp;col=6&amp;number=4.4&amp;sourceID=14","4.4")</f>
        <v>4.4</v>
      </c>
      <c r="G4398" s="4" t="str">
        <f>HYPERLINK("http://141.218.60.56/~jnz1568/getInfo.php?workbook=16_08.xlsx&amp;sheet=U0&amp;row=4398&amp;col=7&amp;number=0.0651&amp;sourceID=14","0.0651")</f>
        <v>0.0651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HYPERLINK("http://141.218.60.56/~jnz1568/getInfo.php?workbook=16_08.xlsx&amp;sheet=U0&amp;row=4399&amp;col=6&amp;number=4.5&amp;sourceID=14","4.5")</f>
        <v>4.5</v>
      </c>
      <c r="G4399" s="4" t="str">
        <f>HYPERLINK("http://141.218.60.56/~jnz1568/getInfo.php?workbook=16_08.xlsx&amp;sheet=U0&amp;row=4399&amp;col=7&amp;number=0.0652&amp;sourceID=14","0.0652")</f>
        <v>0.0652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HYPERLINK("http://141.218.60.56/~jnz1568/getInfo.php?workbook=16_08.xlsx&amp;sheet=U0&amp;row=4400&amp;col=6&amp;number=4.6&amp;sourceID=14","4.6")</f>
        <v>4.6</v>
      </c>
      <c r="G4400" s="4" t="str">
        <f>HYPERLINK("http://141.218.60.56/~jnz1568/getInfo.php?workbook=16_08.xlsx&amp;sheet=U0&amp;row=4400&amp;col=7&amp;number=0.0652&amp;sourceID=14","0.0652")</f>
        <v>0.0652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HYPERLINK("http://141.218.60.56/~jnz1568/getInfo.php?workbook=16_08.xlsx&amp;sheet=U0&amp;row=4401&amp;col=6&amp;number=4.7&amp;sourceID=14","4.7")</f>
        <v>4.7</v>
      </c>
      <c r="G4401" s="4" t="str">
        <f>HYPERLINK("http://141.218.60.56/~jnz1568/getInfo.php?workbook=16_08.xlsx&amp;sheet=U0&amp;row=4401&amp;col=7&amp;number=0.0652&amp;sourceID=14","0.0652")</f>
        <v>0.0652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HYPERLINK("http://141.218.60.56/~jnz1568/getInfo.php?workbook=16_08.xlsx&amp;sheet=U0&amp;row=4402&amp;col=6&amp;number=4.8&amp;sourceID=14","4.8")</f>
        <v>4.8</v>
      </c>
      <c r="G4402" s="4" t="str">
        <f>HYPERLINK("http://141.218.60.56/~jnz1568/getInfo.php?workbook=16_08.xlsx&amp;sheet=U0&amp;row=4402&amp;col=7&amp;number=0.0653&amp;sourceID=14","0.0653")</f>
        <v>0.0653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HYPERLINK("http://141.218.60.56/~jnz1568/getInfo.php?workbook=16_08.xlsx&amp;sheet=U0&amp;row=4403&amp;col=6&amp;number=4.9&amp;sourceID=14","4.9")</f>
        <v>4.9</v>
      </c>
      <c r="G4403" s="4" t="str">
        <f>HYPERLINK("http://141.218.60.56/~jnz1568/getInfo.php?workbook=16_08.xlsx&amp;sheet=U0&amp;row=4403&amp;col=7&amp;number=0.0653&amp;sourceID=14","0.0653")</f>
        <v>0.0653</v>
      </c>
    </row>
    <row r="4404" spans="1:7">
      <c r="A4404" s="3">
        <v>16</v>
      </c>
      <c r="B4404" s="3">
        <v>8</v>
      </c>
      <c r="C4404" s="3">
        <v>3</v>
      </c>
      <c r="D4404" s="3">
        <v>55</v>
      </c>
      <c r="E4404" s="3">
        <v>1</v>
      </c>
      <c r="F4404" s="4" t="str">
        <f>HYPERLINK("http://141.218.60.56/~jnz1568/getInfo.php?workbook=16_08.xlsx&amp;sheet=U0&amp;row=4404&amp;col=6&amp;number=3&amp;sourceID=14","3")</f>
        <v>3</v>
      </c>
      <c r="G4404" s="4" t="str">
        <f>HYPERLINK("http://141.218.60.56/~jnz1568/getInfo.php?workbook=16_08.xlsx&amp;sheet=U0&amp;row=4404&amp;col=7&amp;number=0.00256&amp;sourceID=14","0.00256")</f>
        <v>0.00256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HYPERLINK("http://141.218.60.56/~jnz1568/getInfo.php?workbook=16_08.xlsx&amp;sheet=U0&amp;row=4405&amp;col=6&amp;number=3.1&amp;sourceID=14","3.1")</f>
        <v>3.1</v>
      </c>
      <c r="G4405" s="4" t="str">
        <f>HYPERLINK("http://141.218.60.56/~jnz1568/getInfo.php?workbook=16_08.xlsx&amp;sheet=U0&amp;row=4405&amp;col=7&amp;number=0.00256&amp;sourceID=14","0.00256")</f>
        <v>0.00256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HYPERLINK("http://141.218.60.56/~jnz1568/getInfo.php?workbook=16_08.xlsx&amp;sheet=U0&amp;row=4406&amp;col=6&amp;number=3.2&amp;sourceID=14","3.2")</f>
        <v>3.2</v>
      </c>
      <c r="G4406" s="4" t="str">
        <f>HYPERLINK("http://141.218.60.56/~jnz1568/getInfo.php?workbook=16_08.xlsx&amp;sheet=U0&amp;row=4406&amp;col=7&amp;number=0.00256&amp;sourceID=14","0.00256")</f>
        <v>0.00256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HYPERLINK("http://141.218.60.56/~jnz1568/getInfo.php?workbook=16_08.xlsx&amp;sheet=U0&amp;row=4407&amp;col=6&amp;number=3.3&amp;sourceID=14","3.3")</f>
        <v>3.3</v>
      </c>
      <c r="G4407" s="4" t="str">
        <f>HYPERLINK("http://141.218.60.56/~jnz1568/getInfo.php?workbook=16_08.xlsx&amp;sheet=U0&amp;row=4407&amp;col=7&amp;number=0.00256&amp;sourceID=14","0.00256")</f>
        <v>0.00256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HYPERLINK("http://141.218.60.56/~jnz1568/getInfo.php?workbook=16_08.xlsx&amp;sheet=U0&amp;row=4408&amp;col=6&amp;number=3.4&amp;sourceID=14","3.4")</f>
        <v>3.4</v>
      </c>
      <c r="G4408" s="4" t="str">
        <f>HYPERLINK("http://141.218.60.56/~jnz1568/getInfo.php?workbook=16_08.xlsx&amp;sheet=U0&amp;row=4408&amp;col=7&amp;number=0.00256&amp;sourceID=14","0.00256")</f>
        <v>0.00256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HYPERLINK("http://141.218.60.56/~jnz1568/getInfo.php?workbook=16_08.xlsx&amp;sheet=U0&amp;row=4409&amp;col=6&amp;number=3.5&amp;sourceID=14","3.5")</f>
        <v>3.5</v>
      </c>
      <c r="G4409" s="4" t="str">
        <f>HYPERLINK("http://141.218.60.56/~jnz1568/getInfo.php?workbook=16_08.xlsx&amp;sheet=U0&amp;row=4409&amp;col=7&amp;number=0.00256&amp;sourceID=14","0.00256")</f>
        <v>0.00256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HYPERLINK("http://141.218.60.56/~jnz1568/getInfo.php?workbook=16_08.xlsx&amp;sheet=U0&amp;row=4410&amp;col=6&amp;number=3.6&amp;sourceID=14","3.6")</f>
        <v>3.6</v>
      </c>
      <c r="G4410" s="4" t="str">
        <f>HYPERLINK("http://141.218.60.56/~jnz1568/getInfo.php?workbook=16_08.xlsx&amp;sheet=U0&amp;row=4410&amp;col=7&amp;number=0.00256&amp;sourceID=14","0.00256")</f>
        <v>0.00256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HYPERLINK("http://141.218.60.56/~jnz1568/getInfo.php?workbook=16_08.xlsx&amp;sheet=U0&amp;row=4411&amp;col=6&amp;number=3.7&amp;sourceID=14","3.7")</f>
        <v>3.7</v>
      </c>
      <c r="G4411" s="4" t="str">
        <f>HYPERLINK("http://141.218.60.56/~jnz1568/getInfo.php?workbook=16_08.xlsx&amp;sheet=U0&amp;row=4411&amp;col=7&amp;number=0.00256&amp;sourceID=14","0.00256")</f>
        <v>0.00256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HYPERLINK("http://141.218.60.56/~jnz1568/getInfo.php?workbook=16_08.xlsx&amp;sheet=U0&amp;row=4412&amp;col=6&amp;number=3.8&amp;sourceID=14","3.8")</f>
        <v>3.8</v>
      </c>
      <c r="G4412" s="4" t="str">
        <f>HYPERLINK("http://141.218.60.56/~jnz1568/getInfo.php?workbook=16_08.xlsx&amp;sheet=U0&amp;row=4412&amp;col=7&amp;number=0.00256&amp;sourceID=14","0.00256")</f>
        <v>0.00256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HYPERLINK("http://141.218.60.56/~jnz1568/getInfo.php?workbook=16_08.xlsx&amp;sheet=U0&amp;row=4413&amp;col=6&amp;number=3.9&amp;sourceID=14","3.9")</f>
        <v>3.9</v>
      </c>
      <c r="G4413" s="4" t="str">
        <f>HYPERLINK("http://141.218.60.56/~jnz1568/getInfo.php?workbook=16_08.xlsx&amp;sheet=U0&amp;row=4413&amp;col=7&amp;number=0.00256&amp;sourceID=14","0.00256")</f>
        <v>0.00256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HYPERLINK("http://141.218.60.56/~jnz1568/getInfo.php?workbook=16_08.xlsx&amp;sheet=U0&amp;row=4414&amp;col=6&amp;number=4&amp;sourceID=14","4")</f>
        <v>4</v>
      </c>
      <c r="G4414" s="4" t="str">
        <f>HYPERLINK("http://141.218.60.56/~jnz1568/getInfo.php?workbook=16_08.xlsx&amp;sheet=U0&amp;row=4414&amp;col=7&amp;number=0.00256&amp;sourceID=14","0.00256")</f>
        <v>0.00256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HYPERLINK("http://141.218.60.56/~jnz1568/getInfo.php?workbook=16_08.xlsx&amp;sheet=U0&amp;row=4415&amp;col=6&amp;number=4.1&amp;sourceID=14","4.1")</f>
        <v>4.1</v>
      </c>
      <c r="G4415" s="4" t="str">
        <f>HYPERLINK("http://141.218.60.56/~jnz1568/getInfo.php?workbook=16_08.xlsx&amp;sheet=U0&amp;row=4415&amp;col=7&amp;number=0.00255&amp;sourceID=14","0.00255")</f>
        <v>0.00255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HYPERLINK("http://141.218.60.56/~jnz1568/getInfo.php?workbook=16_08.xlsx&amp;sheet=U0&amp;row=4416&amp;col=6&amp;number=4.2&amp;sourceID=14","4.2")</f>
        <v>4.2</v>
      </c>
      <c r="G4416" s="4" t="str">
        <f>HYPERLINK("http://141.218.60.56/~jnz1568/getInfo.php?workbook=16_08.xlsx&amp;sheet=U0&amp;row=4416&amp;col=7&amp;number=0.00255&amp;sourceID=14","0.00255")</f>
        <v>0.00255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HYPERLINK("http://141.218.60.56/~jnz1568/getInfo.php?workbook=16_08.xlsx&amp;sheet=U0&amp;row=4417&amp;col=6&amp;number=4.3&amp;sourceID=14","4.3")</f>
        <v>4.3</v>
      </c>
      <c r="G4417" s="4" t="str">
        <f>HYPERLINK("http://141.218.60.56/~jnz1568/getInfo.php?workbook=16_08.xlsx&amp;sheet=U0&amp;row=4417&amp;col=7&amp;number=0.00255&amp;sourceID=14","0.00255")</f>
        <v>0.00255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HYPERLINK("http://141.218.60.56/~jnz1568/getInfo.php?workbook=16_08.xlsx&amp;sheet=U0&amp;row=4418&amp;col=6&amp;number=4.4&amp;sourceID=14","4.4")</f>
        <v>4.4</v>
      </c>
      <c r="G4418" s="4" t="str">
        <f>HYPERLINK("http://141.218.60.56/~jnz1568/getInfo.php?workbook=16_08.xlsx&amp;sheet=U0&amp;row=4418&amp;col=7&amp;number=0.00254&amp;sourceID=14","0.00254")</f>
        <v>0.00254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HYPERLINK("http://141.218.60.56/~jnz1568/getInfo.php?workbook=16_08.xlsx&amp;sheet=U0&amp;row=4419&amp;col=6&amp;number=4.5&amp;sourceID=14","4.5")</f>
        <v>4.5</v>
      </c>
      <c r="G4419" s="4" t="str">
        <f>HYPERLINK("http://141.218.60.56/~jnz1568/getInfo.php?workbook=16_08.xlsx&amp;sheet=U0&amp;row=4419&amp;col=7&amp;number=0.00254&amp;sourceID=14","0.00254")</f>
        <v>0.00254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HYPERLINK("http://141.218.60.56/~jnz1568/getInfo.php?workbook=16_08.xlsx&amp;sheet=U0&amp;row=4420&amp;col=6&amp;number=4.6&amp;sourceID=14","4.6")</f>
        <v>4.6</v>
      </c>
      <c r="G4420" s="4" t="str">
        <f>HYPERLINK("http://141.218.60.56/~jnz1568/getInfo.php?workbook=16_08.xlsx&amp;sheet=U0&amp;row=4420&amp;col=7&amp;number=0.00253&amp;sourceID=14","0.00253")</f>
        <v>0.00253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HYPERLINK("http://141.218.60.56/~jnz1568/getInfo.php?workbook=16_08.xlsx&amp;sheet=U0&amp;row=4421&amp;col=6&amp;number=4.7&amp;sourceID=14","4.7")</f>
        <v>4.7</v>
      </c>
      <c r="G4421" s="4" t="str">
        <f>HYPERLINK("http://141.218.60.56/~jnz1568/getInfo.php?workbook=16_08.xlsx&amp;sheet=U0&amp;row=4421&amp;col=7&amp;number=0.00253&amp;sourceID=14","0.00253")</f>
        <v>0.00253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HYPERLINK("http://141.218.60.56/~jnz1568/getInfo.php?workbook=16_08.xlsx&amp;sheet=U0&amp;row=4422&amp;col=6&amp;number=4.8&amp;sourceID=14","4.8")</f>
        <v>4.8</v>
      </c>
      <c r="G4422" s="4" t="str">
        <f>HYPERLINK("http://141.218.60.56/~jnz1568/getInfo.php?workbook=16_08.xlsx&amp;sheet=U0&amp;row=4422&amp;col=7&amp;number=0.00252&amp;sourceID=14","0.00252")</f>
        <v>0.00252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HYPERLINK("http://141.218.60.56/~jnz1568/getInfo.php?workbook=16_08.xlsx&amp;sheet=U0&amp;row=4423&amp;col=6&amp;number=4.9&amp;sourceID=14","4.9")</f>
        <v>4.9</v>
      </c>
      <c r="G4423" s="4" t="str">
        <f>HYPERLINK("http://141.218.60.56/~jnz1568/getInfo.php?workbook=16_08.xlsx&amp;sheet=U0&amp;row=4423&amp;col=7&amp;number=0.0025&amp;sourceID=14","0.0025")</f>
        <v>0.0025</v>
      </c>
    </row>
    <row r="4424" spans="1:7">
      <c r="A4424" s="3">
        <v>16</v>
      </c>
      <c r="B4424" s="3">
        <v>8</v>
      </c>
      <c r="C4424" s="3">
        <v>3</v>
      </c>
      <c r="D4424" s="3">
        <v>56</v>
      </c>
      <c r="E4424" s="3">
        <v>1</v>
      </c>
      <c r="F4424" s="4" t="str">
        <f>HYPERLINK("http://141.218.60.56/~jnz1568/getInfo.php?workbook=16_08.xlsx&amp;sheet=U0&amp;row=4424&amp;col=6&amp;number=3&amp;sourceID=14","3")</f>
        <v>3</v>
      </c>
      <c r="G4424" s="4" t="str">
        <f>HYPERLINK("http://141.218.60.56/~jnz1568/getInfo.php?workbook=16_08.xlsx&amp;sheet=U0&amp;row=4424&amp;col=7&amp;number=0.00256&amp;sourceID=14","0.00256")</f>
        <v>0.00256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HYPERLINK("http://141.218.60.56/~jnz1568/getInfo.php?workbook=16_08.xlsx&amp;sheet=U0&amp;row=4425&amp;col=6&amp;number=3.1&amp;sourceID=14","3.1")</f>
        <v>3.1</v>
      </c>
      <c r="G4425" s="4" t="str">
        <f>HYPERLINK("http://141.218.60.56/~jnz1568/getInfo.php?workbook=16_08.xlsx&amp;sheet=U0&amp;row=4425&amp;col=7&amp;number=0.00256&amp;sourceID=14","0.00256")</f>
        <v>0.00256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HYPERLINK("http://141.218.60.56/~jnz1568/getInfo.php?workbook=16_08.xlsx&amp;sheet=U0&amp;row=4426&amp;col=6&amp;number=3.2&amp;sourceID=14","3.2")</f>
        <v>3.2</v>
      </c>
      <c r="G4426" s="4" t="str">
        <f>HYPERLINK("http://141.218.60.56/~jnz1568/getInfo.php?workbook=16_08.xlsx&amp;sheet=U0&amp;row=4426&amp;col=7&amp;number=0.00255&amp;sourceID=14","0.00255")</f>
        <v>0.00255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HYPERLINK("http://141.218.60.56/~jnz1568/getInfo.php?workbook=16_08.xlsx&amp;sheet=U0&amp;row=4427&amp;col=6&amp;number=3.3&amp;sourceID=14","3.3")</f>
        <v>3.3</v>
      </c>
      <c r="G4427" s="4" t="str">
        <f>HYPERLINK("http://141.218.60.56/~jnz1568/getInfo.php?workbook=16_08.xlsx&amp;sheet=U0&amp;row=4427&amp;col=7&amp;number=0.00255&amp;sourceID=14","0.00255")</f>
        <v>0.00255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HYPERLINK("http://141.218.60.56/~jnz1568/getInfo.php?workbook=16_08.xlsx&amp;sheet=U0&amp;row=4428&amp;col=6&amp;number=3.4&amp;sourceID=14","3.4")</f>
        <v>3.4</v>
      </c>
      <c r="G4428" s="4" t="str">
        <f>HYPERLINK("http://141.218.60.56/~jnz1568/getInfo.php?workbook=16_08.xlsx&amp;sheet=U0&amp;row=4428&amp;col=7&amp;number=0.00255&amp;sourceID=14","0.00255")</f>
        <v>0.00255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HYPERLINK("http://141.218.60.56/~jnz1568/getInfo.php?workbook=16_08.xlsx&amp;sheet=U0&amp;row=4429&amp;col=6&amp;number=3.5&amp;sourceID=14","3.5")</f>
        <v>3.5</v>
      </c>
      <c r="G4429" s="4" t="str">
        <f>HYPERLINK("http://141.218.60.56/~jnz1568/getInfo.php?workbook=16_08.xlsx&amp;sheet=U0&amp;row=4429&amp;col=7&amp;number=0.00255&amp;sourceID=14","0.00255")</f>
        <v>0.00255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HYPERLINK("http://141.218.60.56/~jnz1568/getInfo.php?workbook=16_08.xlsx&amp;sheet=U0&amp;row=4430&amp;col=6&amp;number=3.6&amp;sourceID=14","3.6")</f>
        <v>3.6</v>
      </c>
      <c r="G4430" s="4" t="str">
        <f>HYPERLINK("http://141.218.60.56/~jnz1568/getInfo.php?workbook=16_08.xlsx&amp;sheet=U0&amp;row=4430&amp;col=7&amp;number=0.00255&amp;sourceID=14","0.00255")</f>
        <v>0.00255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HYPERLINK("http://141.218.60.56/~jnz1568/getInfo.php?workbook=16_08.xlsx&amp;sheet=U0&amp;row=4431&amp;col=6&amp;number=3.7&amp;sourceID=14","3.7")</f>
        <v>3.7</v>
      </c>
      <c r="G4431" s="4" t="str">
        <f>HYPERLINK("http://141.218.60.56/~jnz1568/getInfo.php?workbook=16_08.xlsx&amp;sheet=U0&amp;row=4431&amp;col=7&amp;number=0.00255&amp;sourceID=14","0.00255")</f>
        <v>0.00255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HYPERLINK("http://141.218.60.56/~jnz1568/getInfo.php?workbook=16_08.xlsx&amp;sheet=U0&amp;row=4432&amp;col=6&amp;number=3.8&amp;sourceID=14","3.8")</f>
        <v>3.8</v>
      </c>
      <c r="G4432" s="4" t="str">
        <f>HYPERLINK("http://141.218.60.56/~jnz1568/getInfo.php?workbook=16_08.xlsx&amp;sheet=U0&amp;row=4432&amp;col=7&amp;number=0.00255&amp;sourceID=14","0.00255")</f>
        <v>0.00255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HYPERLINK("http://141.218.60.56/~jnz1568/getInfo.php?workbook=16_08.xlsx&amp;sheet=U0&amp;row=4433&amp;col=6&amp;number=3.9&amp;sourceID=14","3.9")</f>
        <v>3.9</v>
      </c>
      <c r="G4433" s="4" t="str">
        <f>HYPERLINK("http://141.218.60.56/~jnz1568/getInfo.php?workbook=16_08.xlsx&amp;sheet=U0&amp;row=4433&amp;col=7&amp;number=0.00255&amp;sourceID=14","0.00255")</f>
        <v>0.00255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HYPERLINK("http://141.218.60.56/~jnz1568/getInfo.php?workbook=16_08.xlsx&amp;sheet=U0&amp;row=4434&amp;col=6&amp;number=4&amp;sourceID=14","4")</f>
        <v>4</v>
      </c>
      <c r="G4434" s="4" t="str">
        <f>HYPERLINK("http://141.218.60.56/~jnz1568/getInfo.php?workbook=16_08.xlsx&amp;sheet=U0&amp;row=4434&amp;col=7&amp;number=0.00255&amp;sourceID=14","0.00255")</f>
        <v>0.00255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HYPERLINK("http://141.218.60.56/~jnz1568/getInfo.php?workbook=16_08.xlsx&amp;sheet=U0&amp;row=4435&amp;col=6&amp;number=4.1&amp;sourceID=14","4.1")</f>
        <v>4.1</v>
      </c>
      <c r="G4435" s="4" t="str">
        <f>HYPERLINK("http://141.218.60.56/~jnz1568/getInfo.php?workbook=16_08.xlsx&amp;sheet=U0&amp;row=4435&amp;col=7&amp;number=0.00255&amp;sourceID=14","0.00255")</f>
        <v>0.00255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HYPERLINK("http://141.218.60.56/~jnz1568/getInfo.php?workbook=16_08.xlsx&amp;sheet=U0&amp;row=4436&amp;col=6&amp;number=4.2&amp;sourceID=14","4.2")</f>
        <v>4.2</v>
      </c>
      <c r="G4436" s="4" t="str">
        <f>HYPERLINK("http://141.218.60.56/~jnz1568/getInfo.php?workbook=16_08.xlsx&amp;sheet=U0&amp;row=4436&amp;col=7&amp;number=0.00255&amp;sourceID=14","0.00255")</f>
        <v>0.00255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HYPERLINK("http://141.218.60.56/~jnz1568/getInfo.php?workbook=16_08.xlsx&amp;sheet=U0&amp;row=4437&amp;col=6&amp;number=4.3&amp;sourceID=14","4.3")</f>
        <v>4.3</v>
      </c>
      <c r="G4437" s="4" t="str">
        <f>HYPERLINK("http://141.218.60.56/~jnz1568/getInfo.php?workbook=16_08.xlsx&amp;sheet=U0&amp;row=4437&amp;col=7&amp;number=0.00254&amp;sourceID=14","0.00254")</f>
        <v>0.00254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HYPERLINK("http://141.218.60.56/~jnz1568/getInfo.php?workbook=16_08.xlsx&amp;sheet=U0&amp;row=4438&amp;col=6&amp;number=4.4&amp;sourceID=14","4.4")</f>
        <v>4.4</v>
      </c>
      <c r="G4438" s="4" t="str">
        <f>HYPERLINK("http://141.218.60.56/~jnz1568/getInfo.php?workbook=16_08.xlsx&amp;sheet=U0&amp;row=4438&amp;col=7&amp;number=0.00254&amp;sourceID=14","0.00254")</f>
        <v>0.00254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HYPERLINK("http://141.218.60.56/~jnz1568/getInfo.php?workbook=16_08.xlsx&amp;sheet=U0&amp;row=4439&amp;col=6&amp;number=4.5&amp;sourceID=14","4.5")</f>
        <v>4.5</v>
      </c>
      <c r="G4439" s="4" t="str">
        <f>HYPERLINK("http://141.218.60.56/~jnz1568/getInfo.php?workbook=16_08.xlsx&amp;sheet=U0&amp;row=4439&amp;col=7&amp;number=0.00254&amp;sourceID=14","0.00254")</f>
        <v>0.00254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HYPERLINK("http://141.218.60.56/~jnz1568/getInfo.php?workbook=16_08.xlsx&amp;sheet=U0&amp;row=4440&amp;col=6&amp;number=4.6&amp;sourceID=14","4.6")</f>
        <v>4.6</v>
      </c>
      <c r="G4440" s="4" t="str">
        <f>HYPERLINK("http://141.218.60.56/~jnz1568/getInfo.php?workbook=16_08.xlsx&amp;sheet=U0&amp;row=4440&amp;col=7&amp;number=0.00253&amp;sourceID=14","0.00253")</f>
        <v>0.00253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HYPERLINK("http://141.218.60.56/~jnz1568/getInfo.php?workbook=16_08.xlsx&amp;sheet=U0&amp;row=4441&amp;col=6&amp;number=4.7&amp;sourceID=14","4.7")</f>
        <v>4.7</v>
      </c>
      <c r="G4441" s="4" t="str">
        <f>HYPERLINK("http://141.218.60.56/~jnz1568/getInfo.php?workbook=16_08.xlsx&amp;sheet=U0&amp;row=4441&amp;col=7&amp;number=0.00252&amp;sourceID=14","0.00252")</f>
        <v>0.00252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HYPERLINK("http://141.218.60.56/~jnz1568/getInfo.php?workbook=16_08.xlsx&amp;sheet=U0&amp;row=4442&amp;col=6&amp;number=4.8&amp;sourceID=14","4.8")</f>
        <v>4.8</v>
      </c>
      <c r="G4442" s="4" t="str">
        <f>HYPERLINK("http://141.218.60.56/~jnz1568/getInfo.php?workbook=16_08.xlsx&amp;sheet=U0&amp;row=4442&amp;col=7&amp;number=0.00251&amp;sourceID=14","0.00251")</f>
        <v>0.00251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HYPERLINK("http://141.218.60.56/~jnz1568/getInfo.php?workbook=16_08.xlsx&amp;sheet=U0&amp;row=4443&amp;col=6&amp;number=4.9&amp;sourceID=14","4.9")</f>
        <v>4.9</v>
      </c>
      <c r="G4443" s="4" t="str">
        <f>HYPERLINK("http://141.218.60.56/~jnz1568/getInfo.php?workbook=16_08.xlsx&amp;sheet=U0&amp;row=4443&amp;col=7&amp;number=0.0025&amp;sourceID=14","0.0025")</f>
        <v>0.0025</v>
      </c>
    </row>
    <row r="4444" spans="1:7">
      <c r="A4444" s="3">
        <v>16</v>
      </c>
      <c r="B4444" s="3">
        <v>8</v>
      </c>
      <c r="C4444" s="3">
        <v>3</v>
      </c>
      <c r="D4444" s="3">
        <v>57</v>
      </c>
      <c r="E4444" s="3">
        <v>1</v>
      </c>
      <c r="F4444" s="4" t="str">
        <f>HYPERLINK("http://141.218.60.56/~jnz1568/getInfo.php?workbook=16_08.xlsx&amp;sheet=U0&amp;row=4444&amp;col=6&amp;number=3&amp;sourceID=14","3")</f>
        <v>3</v>
      </c>
      <c r="G4444" s="4" t="str">
        <f>HYPERLINK("http://141.218.60.56/~jnz1568/getInfo.php?workbook=16_08.xlsx&amp;sheet=U0&amp;row=4444&amp;col=7&amp;number=0.00173&amp;sourceID=14","0.00173")</f>
        <v>0.00173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HYPERLINK("http://141.218.60.56/~jnz1568/getInfo.php?workbook=16_08.xlsx&amp;sheet=U0&amp;row=4445&amp;col=6&amp;number=3.1&amp;sourceID=14","3.1")</f>
        <v>3.1</v>
      </c>
      <c r="G4445" s="4" t="str">
        <f>HYPERLINK("http://141.218.60.56/~jnz1568/getInfo.php?workbook=16_08.xlsx&amp;sheet=U0&amp;row=4445&amp;col=7&amp;number=0.00173&amp;sourceID=14","0.00173")</f>
        <v>0.00173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HYPERLINK("http://141.218.60.56/~jnz1568/getInfo.php?workbook=16_08.xlsx&amp;sheet=U0&amp;row=4446&amp;col=6&amp;number=3.2&amp;sourceID=14","3.2")</f>
        <v>3.2</v>
      </c>
      <c r="G4446" s="4" t="str">
        <f>HYPERLINK("http://141.218.60.56/~jnz1568/getInfo.php?workbook=16_08.xlsx&amp;sheet=U0&amp;row=4446&amp;col=7&amp;number=0.00173&amp;sourceID=14","0.00173")</f>
        <v>0.00173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HYPERLINK("http://141.218.60.56/~jnz1568/getInfo.php?workbook=16_08.xlsx&amp;sheet=U0&amp;row=4447&amp;col=6&amp;number=3.3&amp;sourceID=14","3.3")</f>
        <v>3.3</v>
      </c>
      <c r="G4447" s="4" t="str">
        <f>HYPERLINK("http://141.218.60.56/~jnz1568/getInfo.php?workbook=16_08.xlsx&amp;sheet=U0&amp;row=4447&amp;col=7&amp;number=0.00173&amp;sourceID=14","0.00173")</f>
        <v>0.00173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HYPERLINK("http://141.218.60.56/~jnz1568/getInfo.php?workbook=16_08.xlsx&amp;sheet=U0&amp;row=4448&amp;col=6&amp;number=3.4&amp;sourceID=14","3.4")</f>
        <v>3.4</v>
      </c>
      <c r="G4448" s="4" t="str">
        <f>HYPERLINK("http://141.218.60.56/~jnz1568/getInfo.php?workbook=16_08.xlsx&amp;sheet=U0&amp;row=4448&amp;col=7&amp;number=0.00173&amp;sourceID=14","0.00173")</f>
        <v>0.00173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HYPERLINK("http://141.218.60.56/~jnz1568/getInfo.php?workbook=16_08.xlsx&amp;sheet=U0&amp;row=4449&amp;col=6&amp;number=3.5&amp;sourceID=14","3.5")</f>
        <v>3.5</v>
      </c>
      <c r="G4449" s="4" t="str">
        <f>HYPERLINK("http://141.218.60.56/~jnz1568/getInfo.php?workbook=16_08.xlsx&amp;sheet=U0&amp;row=4449&amp;col=7&amp;number=0.00173&amp;sourceID=14","0.00173")</f>
        <v>0.00173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HYPERLINK("http://141.218.60.56/~jnz1568/getInfo.php?workbook=16_08.xlsx&amp;sheet=U0&amp;row=4450&amp;col=6&amp;number=3.6&amp;sourceID=14","3.6")</f>
        <v>3.6</v>
      </c>
      <c r="G4450" s="4" t="str">
        <f>HYPERLINK("http://141.218.60.56/~jnz1568/getInfo.php?workbook=16_08.xlsx&amp;sheet=U0&amp;row=4450&amp;col=7&amp;number=0.00173&amp;sourceID=14","0.00173")</f>
        <v>0.00173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HYPERLINK("http://141.218.60.56/~jnz1568/getInfo.php?workbook=16_08.xlsx&amp;sheet=U0&amp;row=4451&amp;col=6&amp;number=3.7&amp;sourceID=14","3.7")</f>
        <v>3.7</v>
      </c>
      <c r="G4451" s="4" t="str">
        <f>HYPERLINK("http://141.218.60.56/~jnz1568/getInfo.php?workbook=16_08.xlsx&amp;sheet=U0&amp;row=4451&amp;col=7&amp;number=0.00173&amp;sourceID=14","0.00173")</f>
        <v>0.00173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HYPERLINK("http://141.218.60.56/~jnz1568/getInfo.php?workbook=16_08.xlsx&amp;sheet=U0&amp;row=4452&amp;col=6&amp;number=3.8&amp;sourceID=14","3.8")</f>
        <v>3.8</v>
      </c>
      <c r="G4452" s="4" t="str">
        <f>HYPERLINK("http://141.218.60.56/~jnz1568/getInfo.php?workbook=16_08.xlsx&amp;sheet=U0&amp;row=4452&amp;col=7&amp;number=0.00173&amp;sourceID=14","0.00173")</f>
        <v>0.00173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HYPERLINK("http://141.218.60.56/~jnz1568/getInfo.php?workbook=16_08.xlsx&amp;sheet=U0&amp;row=4453&amp;col=6&amp;number=3.9&amp;sourceID=14","3.9")</f>
        <v>3.9</v>
      </c>
      <c r="G4453" s="4" t="str">
        <f>HYPERLINK("http://141.218.60.56/~jnz1568/getInfo.php?workbook=16_08.xlsx&amp;sheet=U0&amp;row=4453&amp;col=7&amp;number=0.00173&amp;sourceID=14","0.00173")</f>
        <v>0.00173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HYPERLINK("http://141.218.60.56/~jnz1568/getInfo.php?workbook=16_08.xlsx&amp;sheet=U0&amp;row=4454&amp;col=6&amp;number=4&amp;sourceID=14","4")</f>
        <v>4</v>
      </c>
      <c r="G4454" s="4" t="str">
        <f>HYPERLINK("http://141.218.60.56/~jnz1568/getInfo.php?workbook=16_08.xlsx&amp;sheet=U0&amp;row=4454&amp;col=7&amp;number=0.00173&amp;sourceID=14","0.00173")</f>
        <v>0.00173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HYPERLINK("http://141.218.60.56/~jnz1568/getInfo.php?workbook=16_08.xlsx&amp;sheet=U0&amp;row=4455&amp;col=6&amp;number=4.1&amp;sourceID=14","4.1")</f>
        <v>4.1</v>
      </c>
      <c r="G4455" s="4" t="str">
        <f>HYPERLINK("http://141.218.60.56/~jnz1568/getInfo.php?workbook=16_08.xlsx&amp;sheet=U0&amp;row=4455&amp;col=7&amp;number=0.00173&amp;sourceID=14","0.00173")</f>
        <v>0.00173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HYPERLINK("http://141.218.60.56/~jnz1568/getInfo.php?workbook=16_08.xlsx&amp;sheet=U0&amp;row=4456&amp;col=6&amp;number=4.2&amp;sourceID=14","4.2")</f>
        <v>4.2</v>
      </c>
      <c r="G4456" s="4" t="str">
        <f>HYPERLINK("http://141.218.60.56/~jnz1568/getInfo.php?workbook=16_08.xlsx&amp;sheet=U0&amp;row=4456&amp;col=7&amp;number=0.00173&amp;sourceID=14","0.00173")</f>
        <v>0.00173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HYPERLINK("http://141.218.60.56/~jnz1568/getInfo.php?workbook=16_08.xlsx&amp;sheet=U0&amp;row=4457&amp;col=6&amp;number=4.3&amp;sourceID=14","4.3")</f>
        <v>4.3</v>
      </c>
      <c r="G4457" s="4" t="str">
        <f>HYPERLINK("http://141.218.60.56/~jnz1568/getInfo.php?workbook=16_08.xlsx&amp;sheet=U0&amp;row=4457&amp;col=7&amp;number=0.00173&amp;sourceID=14","0.00173")</f>
        <v>0.00173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HYPERLINK("http://141.218.60.56/~jnz1568/getInfo.php?workbook=16_08.xlsx&amp;sheet=U0&amp;row=4458&amp;col=6&amp;number=4.4&amp;sourceID=14","4.4")</f>
        <v>4.4</v>
      </c>
      <c r="G4458" s="4" t="str">
        <f>HYPERLINK("http://141.218.60.56/~jnz1568/getInfo.php?workbook=16_08.xlsx&amp;sheet=U0&amp;row=4458&amp;col=7&amp;number=0.00172&amp;sourceID=14","0.00172")</f>
        <v>0.00172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HYPERLINK("http://141.218.60.56/~jnz1568/getInfo.php?workbook=16_08.xlsx&amp;sheet=U0&amp;row=4459&amp;col=6&amp;number=4.5&amp;sourceID=14","4.5")</f>
        <v>4.5</v>
      </c>
      <c r="G4459" s="4" t="str">
        <f>HYPERLINK("http://141.218.60.56/~jnz1568/getInfo.php?workbook=16_08.xlsx&amp;sheet=U0&amp;row=4459&amp;col=7&amp;number=0.00172&amp;sourceID=14","0.00172")</f>
        <v>0.00172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HYPERLINK("http://141.218.60.56/~jnz1568/getInfo.php?workbook=16_08.xlsx&amp;sheet=U0&amp;row=4460&amp;col=6&amp;number=4.6&amp;sourceID=14","4.6")</f>
        <v>4.6</v>
      </c>
      <c r="G4460" s="4" t="str">
        <f>HYPERLINK("http://141.218.60.56/~jnz1568/getInfo.php?workbook=16_08.xlsx&amp;sheet=U0&amp;row=4460&amp;col=7&amp;number=0.00172&amp;sourceID=14","0.00172")</f>
        <v>0.00172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HYPERLINK("http://141.218.60.56/~jnz1568/getInfo.php?workbook=16_08.xlsx&amp;sheet=U0&amp;row=4461&amp;col=6&amp;number=4.7&amp;sourceID=14","4.7")</f>
        <v>4.7</v>
      </c>
      <c r="G4461" s="4" t="str">
        <f>HYPERLINK("http://141.218.60.56/~jnz1568/getInfo.php?workbook=16_08.xlsx&amp;sheet=U0&amp;row=4461&amp;col=7&amp;number=0.00172&amp;sourceID=14","0.00172")</f>
        <v>0.00172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HYPERLINK("http://141.218.60.56/~jnz1568/getInfo.php?workbook=16_08.xlsx&amp;sheet=U0&amp;row=4462&amp;col=6&amp;number=4.8&amp;sourceID=14","4.8")</f>
        <v>4.8</v>
      </c>
      <c r="G4462" s="4" t="str">
        <f>HYPERLINK("http://141.218.60.56/~jnz1568/getInfo.php?workbook=16_08.xlsx&amp;sheet=U0&amp;row=4462&amp;col=7&amp;number=0.00172&amp;sourceID=14","0.00172")</f>
        <v>0.00172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HYPERLINK("http://141.218.60.56/~jnz1568/getInfo.php?workbook=16_08.xlsx&amp;sheet=U0&amp;row=4463&amp;col=6&amp;number=4.9&amp;sourceID=14","4.9")</f>
        <v>4.9</v>
      </c>
      <c r="G4463" s="4" t="str">
        <f>HYPERLINK("http://141.218.60.56/~jnz1568/getInfo.php?workbook=16_08.xlsx&amp;sheet=U0&amp;row=4463&amp;col=7&amp;number=0.00171&amp;sourceID=14","0.00171")</f>
        <v>0.00171</v>
      </c>
    </row>
    <row r="4464" spans="1:7">
      <c r="A4464" s="3">
        <v>16</v>
      </c>
      <c r="B4464" s="3">
        <v>8</v>
      </c>
      <c r="C4464" s="3">
        <v>3</v>
      </c>
      <c r="D4464" s="3">
        <v>58</v>
      </c>
      <c r="E4464" s="3">
        <v>1</v>
      </c>
      <c r="F4464" s="4" t="str">
        <f>HYPERLINK("http://141.218.60.56/~jnz1568/getInfo.php?workbook=16_08.xlsx&amp;sheet=U0&amp;row=4464&amp;col=6&amp;number=3&amp;sourceID=14","3")</f>
        <v>3</v>
      </c>
      <c r="G4464" s="4" t="str">
        <f>HYPERLINK("http://141.218.60.56/~jnz1568/getInfo.php?workbook=16_08.xlsx&amp;sheet=U0&amp;row=4464&amp;col=7&amp;number=0.00108&amp;sourceID=14","0.00108")</f>
        <v>0.00108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HYPERLINK("http://141.218.60.56/~jnz1568/getInfo.php?workbook=16_08.xlsx&amp;sheet=U0&amp;row=4465&amp;col=6&amp;number=3.1&amp;sourceID=14","3.1")</f>
        <v>3.1</v>
      </c>
      <c r="G4465" s="4" t="str">
        <f>HYPERLINK("http://141.218.60.56/~jnz1568/getInfo.php?workbook=16_08.xlsx&amp;sheet=U0&amp;row=4465&amp;col=7&amp;number=0.00108&amp;sourceID=14","0.00108")</f>
        <v>0.00108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HYPERLINK("http://141.218.60.56/~jnz1568/getInfo.php?workbook=16_08.xlsx&amp;sheet=U0&amp;row=4466&amp;col=6&amp;number=3.2&amp;sourceID=14","3.2")</f>
        <v>3.2</v>
      </c>
      <c r="G4466" s="4" t="str">
        <f>HYPERLINK("http://141.218.60.56/~jnz1568/getInfo.php?workbook=16_08.xlsx&amp;sheet=U0&amp;row=4466&amp;col=7&amp;number=0.00108&amp;sourceID=14","0.00108")</f>
        <v>0.00108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HYPERLINK("http://141.218.60.56/~jnz1568/getInfo.php?workbook=16_08.xlsx&amp;sheet=U0&amp;row=4467&amp;col=6&amp;number=3.3&amp;sourceID=14","3.3")</f>
        <v>3.3</v>
      </c>
      <c r="G4467" s="4" t="str">
        <f>HYPERLINK("http://141.218.60.56/~jnz1568/getInfo.php?workbook=16_08.xlsx&amp;sheet=U0&amp;row=4467&amp;col=7&amp;number=0.00108&amp;sourceID=14","0.00108")</f>
        <v>0.00108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HYPERLINK("http://141.218.60.56/~jnz1568/getInfo.php?workbook=16_08.xlsx&amp;sheet=U0&amp;row=4468&amp;col=6&amp;number=3.4&amp;sourceID=14","3.4")</f>
        <v>3.4</v>
      </c>
      <c r="G4468" s="4" t="str">
        <f>HYPERLINK("http://141.218.60.56/~jnz1568/getInfo.php?workbook=16_08.xlsx&amp;sheet=U0&amp;row=4468&amp;col=7&amp;number=0.00108&amp;sourceID=14","0.00108")</f>
        <v>0.00108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HYPERLINK("http://141.218.60.56/~jnz1568/getInfo.php?workbook=16_08.xlsx&amp;sheet=U0&amp;row=4469&amp;col=6&amp;number=3.5&amp;sourceID=14","3.5")</f>
        <v>3.5</v>
      </c>
      <c r="G4469" s="4" t="str">
        <f>HYPERLINK("http://141.218.60.56/~jnz1568/getInfo.php?workbook=16_08.xlsx&amp;sheet=U0&amp;row=4469&amp;col=7&amp;number=0.00108&amp;sourceID=14","0.00108")</f>
        <v>0.00108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HYPERLINK("http://141.218.60.56/~jnz1568/getInfo.php?workbook=16_08.xlsx&amp;sheet=U0&amp;row=4470&amp;col=6&amp;number=3.6&amp;sourceID=14","3.6")</f>
        <v>3.6</v>
      </c>
      <c r="G4470" s="4" t="str">
        <f>HYPERLINK("http://141.218.60.56/~jnz1568/getInfo.php?workbook=16_08.xlsx&amp;sheet=U0&amp;row=4470&amp;col=7&amp;number=0.00108&amp;sourceID=14","0.00108")</f>
        <v>0.00108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HYPERLINK("http://141.218.60.56/~jnz1568/getInfo.php?workbook=16_08.xlsx&amp;sheet=U0&amp;row=4471&amp;col=6&amp;number=3.7&amp;sourceID=14","3.7")</f>
        <v>3.7</v>
      </c>
      <c r="G4471" s="4" t="str">
        <f>HYPERLINK("http://141.218.60.56/~jnz1568/getInfo.php?workbook=16_08.xlsx&amp;sheet=U0&amp;row=4471&amp;col=7&amp;number=0.00108&amp;sourceID=14","0.00108")</f>
        <v>0.00108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HYPERLINK("http://141.218.60.56/~jnz1568/getInfo.php?workbook=16_08.xlsx&amp;sheet=U0&amp;row=4472&amp;col=6&amp;number=3.8&amp;sourceID=14","3.8")</f>
        <v>3.8</v>
      </c>
      <c r="G4472" s="4" t="str">
        <f>HYPERLINK("http://141.218.60.56/~jnz1568/getInfo.php?workbook=16_08.xlsx&amp;sheet=U0&amp;row=4472&amp;col=7&amp;number=0.00108&amp;sourceID=14","0.00108")</f>
        <v>0.00108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HYPERLINK("http://141.218.60.56/~jnz1568/getInfo.php?workbook=16_08.xlsx&amp;sheet=U0&amp;row=4473&amp;col=6&amp;number=3.9&amp;sourceID=14","3.9")</f>
        <v>3.9</v>
      </c>
      <c r="G4473" s="4" t="str">
        <f>HYPERLINK("http://141.218.60.56/~jnz1568/getInfo.php?workbook=16_08.xlsx&amp;sheet=U0&amp;row=4473&amp;col=7&amp;number=0.00108&amp;sourceID=14","0.00108")</f>
        <v>0.00108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HYPERLINK("http://141.218.60.56/~jnz1568/getInfo.php?workbook=16_08.xlsx&amp;sheet=U0&amp;row=4474&amp;col=6&amp;number=4&amp;sourceID=14","4")</f>
        <v>4</v>
      </c>
      <c r="G4474" s="4" t="str">
        <f>HYPERLINK("http://141.218.60.56/~jnz1568/getInfo.php?workbook=16_08.xlsx&amp;sheet=U0&amp;row=4474&amp;col=7&amp;number=0.00108&amp;sourceID=14","0.00108")</f>
        <v>0.00108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HYPERLINK("http://141.218.60.56/~jnz1568/getInfo.php?workbook=16_08.xlsx&amp;sheet=U0&amp;row=4475&amp;col=6&amp;number=4.1&amp;sourceID=14","4.1")</f>
        <v>4.1</v>
      </c>
      <c r="G4475" s="4" t="str">
        <f>HYPERLINK("http://141.218.60.56/~jnz1568/getInfo.php?workbook=16_08.xlsx&amp;sheet=U0&amp;row=4475&amp;col=7&amp;number=0.00108&amp;sourceID=14","0.00108")</f>
        <v>0.00108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HYPERLINK("http://141.218.60.56/~jnz1568/getInfo.php?workbook=16_08.xlsx&amp;sheet=U0&amp;row=4476&amp;col=6&amp;number=4.2&amp;sourceID=14","4.2")</f>
        <v>4.2</v>
      </c>
      <c r="G4476" s="4" t="str">
        <f>HYPERLINK("http://141.218.60.56/~jnz1568/getInfo.php?workbook=16_08.xlsx&amp;sheet=U0&amp;row=4476&amp;col=7&amp;number=0.00108&amp;sourceID=14","0.00108")</f>
        <v>0.00108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HYPERLINK("http://141.218.60.56/~jnz1568/getInfo.php?workbook=16_08.xlsx&amp;sheet=U0&amp;row=4477&amp;col=6&amp;number=4.3&amp;sourceID=14","4.3")</f>
        <v>4.3</v>
      </c>
      <c r="G4477" s="4" t="str">
        <f>HYPERLINK("http://141.218.60.56/~jnz1568/getInfo.php?workbook=16_08.xlsx&amp;sheet=U0&amp;row=4477&amp;col=7&amp;number=0.00108&amp;sourceID=14","0.00108")</f>
        <v>0.00108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HYPERLINK("http://141.218.60.56/~jnz1568/getInfo.php?workbook=16_08.xlsx&amp;sheet=U0&amp;row=4478&amp;col=6&amp;number=4.4&amp;sourceID=14","4.4")</f>
        <v>4.4</v>
      </c>
      <c r="G4478" s="4" t="str">
        <f>HYPERLINK("http://141.218.60.56/~jnz1568/getInfo.php?workbook=16_08.xlsx&amp;sheet=U0&amp;row=4478&amp;col=7&amp;number=0.00107&amp;sourceID=14","0.00107")</f>
        <v>0.00107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HYPERLINK("http://141.218.60.56/~jnz1568/getInfo.php?workbook=16_08.xlsx&amp;sheet=U0&amp;row=4479&amp;col=6&amp;number=4.5&amp;sourceID=14","4.5")</f>
        <v>4.5</v>
      </c>
      <c r="G4479" s="4" t="str">
        <f>HYPERLINK("http://141.218.60.56/~jnz1568/getInfo.php?workbook=16_08.xlsx&amp;sheet=U0&amp;row=4479&amp;col=7&amp;number=0.00107&amp;sourceID=14","0.00107")</f>
        <v>0.00107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HYPERLINK("http://141.218.60.56/~jnz1568/getInfo.php?workbook=16_08.xlsx&amp;sheet=U0&amp;row=4480&amp;col=6&amp;number=4.6&amp;sourceID=14","4.6")</f>
        <v>4.6</v>
      </c>
      <c r="G4480" s="4" t="str">
        <f>HYPERLINK("http://141.218.60.56/~jnz1568/getInfo.php?workbook=16_08.xlsx&amp;sheet=U0&amp;row=4480&amp;col=7&amp;number=0.00107&amp;sourceID=14","0.00107")</f>
        <v>0.00107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HYPERLINK("http://141.218.60.56/~jnz1568/getInfo.php?workbook=16_08.xlsx&amp;sheet=U0&amp;row=4481&amp;col=6&amp;number=4.7&amp;sourceID=14","4.7")</f>
        <v>4.7</v>
      </c>
      <c r="G4481" s="4" t="str">
        <f>HYPERLINK("http://141.218.60.56/~jnz1568/getInfo.php?workbook=16_08.xlsx&amp;sheet=U0&amp;row=4481&amp;col=7&amp;number=0.00106&amp;sourceID=14","0.00106")</f>
        <v>0.00106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HYPERLINK("http://141.218.60.56/~jnz1568/getInfo.php?workbook=16_08.xlsx&amp;sheet=U0&amp;row=4482&amp;col=6&amp;number=4.8&amp;sourceID=14","4.8")</f>
        <v>4.8</v>
      </c>
      <c r="G4482" s="4" t="str">
        <f>HYPERLINK("http://141.218.60.56/~jnz1568/getInfo.php?workbook=16_08.xlsx&amp;sheet=U0&amp;row=4482&amp;col=7&amp;number=0.00106&amp;sourceID=14","0.00106")</f>
        <v>0.00106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HYPERLINK("http://141.218.60.56/~jnz1568/getInfo.php?workbook=16_08.xlsx&amp;sheet=U0&amp;row=4483&amp;col=6&amp;number=4.9&amp;sourceID=14","4.9")</f>
        <v>4.9</v>
      </c>
      <c r="G4483" s="4" t="str">
        <f>HYPERLINK("http://141.218.60.56/~jnz1568/getInfo.php?workbook=16_08.xlsx&amp;sheet=U0&amp;row=4483&amp;col=7&amp;number=0.00105&amp;sourceID=14","0.00105")</f>
        <v>0.00105</v>
      </c>
    </row>
    <row r="4484" spans="1:7">
      <c r="A4484" s="3">
        <v>16</v>
      </c>
      <c r="B4484" s="3">
        <v>8</v>
      </c>
      <c r="C4484" s="3">
        <v>3</v>
      </c>
      <c r="D4484" s="3">
        <v>59</v>
      </c>
      <c r="E4484" s="3">
        <v>1</v>
      </c>
      <c r="F4484" s="4" t="str">
        <f>HYPERLINK("http://141.218.60.56/~jnz1568/getInfo.php?workbook=16_08.xlsx&amp;sheet=U0&amp;row=4484&amp;col=6&amp;number=3&amp;sourceID=14","3")</f>
        <v>3</v>
      </c>
      <c r="G4484" s="4" t="str">
        <f>HYPERLINK("http://141.218.60.56/~jnz1568/getInfo.php?workbook=16_08.xlsx&amp;sheet=U0&amp;row=4484&amp;col=7&amp;number=0.000243&amp;sourceID=14","0.000243")</f>
        <v>0.000243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HYPERLINK("http://141.218.60.56/~jnz1568/getInfo.php?workbook=16_08.xlsx&amp;sheet=U0&amp;row=4485&amp;col=6&amp;number=3.1&amp;sourceID=14","3.1")</f>
        <v>3.1</v>
      </c>
      <c r="G4485" s="4" t="str">
        <f>HYPERLINK("http://141.218.60.56/~jnz1568/getInfo.php?workbook=16_08.xlsx&amp;sheet=U0&amp;row=4485&amp;col=7&amp;number=0.000243&amp;sourceID=14","0.000243")</f>
        <v>0.000243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HYPERLINK("http://141.218.60.56/~jnz1568/getInfo.php?workbook=16_08.xlsx&amp;sheet=U0&amp;row=4486&amp;col=6&amp;number=3.2&amp;sourceID=14","3.2")</f>
        <v>3.2</v>
      </c>
      <c r="G4486" s="4" t="str">
        <f>HYPERLINK("http://141.218.60.56/~jnz1568/getInfo.php?workbook=16_08.xlsx&amp;sheet=U0&amp;row=4486&amp;col=7&amp;number=0.000243&amp;sourceID=14","0.000243")</f>
        <v>0.000243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HYPERLINK("http://141.218.60.56/~jnz1568/getInfo.php?workbook=16_08.xlsx&amp;sheet=U0&amp;row=4487&amp;col=6&amp;number=3.3&amp;sourceID=14","3.3")</f>
        <v>3.3</v>
      </c>
      <c r="G4487" s="4" t="str">
        <f>HYPERLINK("http://141.218.60.56/~jnz1568/getInfo.php?workbook=16_08.xlsx&amp;sheet=U0&amp;row=4487&amp;col=7&amp;number=0.000243&amp;sourceID=14","0.000243")</f>
        <v>0.000243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HYPERLINK("http://141.218.60.56/~jnz1568/getInfo.php?workbook=16_08.xlsx&amp;sheet=U0&amp;row=4488&amp;col=6&amp;number=3.4&amp;sourceID=14","3.4")</f>
        <v>3.4</v>
      </c>
      <c r="G4488" s="4" t="str">
        <f>HYPERLINK("http://141.218.60.56/~jnz1568/getInfo.php?workbook=16_08.xlsx&amp;sheet=U0&amp;row=4488&amp;col=7&amp;number=0.000243&amp;sourceID=14","0.000243")</f>
        <v>0.000243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HYPERLINK("http://141.218.60.56/~jnz1568/getInfo.php?workbook=16_08.xlsx&amp;sheet=U0&amp;row=4489&amp;col=6&amp;number=3.5&amp;sourceID=14","3.5")</f>
        <v>3.5</v>
      </c>
      <c r="G4489" s="4" t="str">
        <f>HYPERLINK("http://141.218.60.56/~jnz1568/getInfo.php?workbook=16_08.xlsx&amp;sheet=U0&amp;row=4489&amp;col=7&amp;number=0.000243&amp;sourceID=14","0.000243")</f>
        <v>0.000243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HYPERLINK("http://141.218.60.56/~jnz1568/getInfo.php?workbook=16_08.xlsx&amp;sheet=U0&amp;row=4490&amp;col=6&amp;number=3.6&amp;sourceID=14","3.6")</f>
        <v>3.6</v>
      </c>
      <c r="G4490" s="4" t="str">
        <f>HYPERLINK("http://141.218.60.56/~jnz1568/getInfo.php?workbook=16_08.xlsx&amp;sheet=U0&amp;row=4490&amp;col=7&amp;number=0.000243&amp;sourceID=14","0.000243")</f>
        <v>0.000243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HYPERLINK("http://141.218.60.56/~jnz1568/getInfo.php?workbook=16_08.xlsx&amp;sheet=U0&amp;row=4491&amp;col=6&amp;number=3.7&amp;sourceID=14","3.7")</f>
        <v>3.7</v>
      </c>
      <c r="G4491" s="4" t="str">
        <f>HYPERLINK("http://141.218.60.56/~jnz1568/getInfo.php?workbook=16_08.xlsx&amp;sheet=U0&amp;row=4491&amp;col=7&amp;number=0.000243&amp;sourceID=14","0.000243")</f>
        <v>0.000243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HYPERLINK("http://141.218.60.56/~jnz1568/getInfo.php?workbook=16_08.xlsx&amp;sheet=U0&amp;row=4492&amp;col=6&amp;number=3.8&amp;sourceID=14","3.8")</f>
        <v>3.8</v>
      </c>
      <c r="G4492" s="4" t="str">
        <f>HYPERLINK("http://141.218.60.56/~jnz1568/getInfo.php?workbook=16_08.xlsx&amp;sheet=U0&amp;row=4492&amp;col=7&amp;number=0.000243&amp;sourceID=14","0.000243")</f>
        <v>0.000243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HYPERLINK("http://141.218.60.56/~jnz1568/getInfo.php?workbook=16_08.xlsx&amp;sheet=U0&amp;row=4493&amp;col=6&amp;number=3.9&amp;sourceID=14","3.9")</f>
        <v>3.9</v>
      </c>
      <c r="G4493" s="4" t="str">
        <f>HYPERLINK("http://141.218.60.56/~jnz1568/getInfo.php?workbook=16_08.xlsx&amp;sheet=U0&amp;row=4493&amp;col=7&amp;number=0.000243&amp;sourceID=14","0.000243")</f>
        <v>0.000243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HYPERLINK("http://141.218.60.56/~jnz1568/getInfo.php?workbook=16_08.xlsx&amp;sheet=U0&amp;row=4494&amp;col=6&amp;number=4&amp;sourceID=14","4")</f>
        <v>4</v>
      </c>
      <c r="G4494" s="4" t="str">
        <f>HYPERLINK("http://141.218.60.56/~jnz1568/getInfo.php?workbook=16_08.xlsx&amp;sheet=U0&amp;row=4494&amp;col=7&amp;number=0.000243&amp;sourceID=14","0.000243")</f>
        <v>0.000243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HYPERLINK("http://141.218.60.56/~jnz1568/getInfo.php?workbook=16_08.xlsx&amp;sheet=U0&amp;row=4495&amp;col=6&amp;number=4.1&amp;sourceID=14","4.1")</f>
        <v>4.1</v>
      </c>
      <c r="G4495" s="4" t="str">
        <f>HYPERLINK("http://141.218.60.56/~jnz1568/getInfo.php?workbook=16_08.xlsx&amp;sheet=U0&amp;row=4495&amp;col=7&amp;number=0.000243&amp;sourceID=14","0.000243")</f>
        <v>0.000243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HYPERLINK("http://141.218.60.56/~jnz1568/getInfo.php?workbook=16_08.xlsx&amp;sheet=U0&amp;row=4496&amp;col=6&amp;number=4.2&amp;sourceID=14","4.2")</f>
        <v>4.2</v>
      </c>
      <c r="G4496" s="4" t="str">
        <f>HYPERLINK("http://141.218.60.56/~jnz1568/getInfo.php?workbook=16_08.xlsx&amp;sheet=U0&amp;row=4496&amp;col=7&amp;number=0.000242&amp;sourceID=14","0.000242")</f>
        <v>0.000242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HYPERLINK("http://141.218.60.56/~jnz1568/getInfo.php?workbook=16_08.xlsx&amp;sheet=U0&amp;row=4497&amp;col=6&amp;number=4.3&amp;sourceID=14","4.3")</f>
        <v>4.3</v>
      </c>
      <c r="G4497" s="4" t="str">
        <f>HYPERLINK("http://141.218.60.56/~jnz1568/getInfo.php?workbook=16_08.xlsx&amp;sheet=U0&amp;row=4497&amp;col=7&amp;number=0.000242&amp;sourceID=14","0.000242")</f>
        <v>0.000242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HYPERLINK("http://141.218.60.56/~jnz1568/getInfo.php?workbook=16_08.xlsx&amp;sheet=U0&amp;row=4498&amp;col=6&amp;number=4.4&amp;sourceID=14","4.4")</f>
        <v>4.4</v>
      </c>
      <c r="G4498" s="4" t="str">
        <f>HYPERLINK("http://141.218.60.56/~jnz1568/getInfo.php?workbook=16_08.xlsx&amp;sheet=U0&amp;row=4498&amp;col=7&amp;number=0.000242&amp;sourceID=14","0.000242")</f>
        <v>0.000242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HYPERLINK("http://141.218.60.56/~jnz1568/getInfo.php?workbook=16_08.xlsx&amp;sheet=U0&amp;row=4499&amp;col=6&amp;number=4.5&amp;sourceID=14","4.5")</f>
        <v>4.5</v>
      </c>
      <c r="G4499" s="4" t="str">
        <f>HYPERLINK("http://141.218.60.56/~jnz1568/getInfo.php?workbook=16_08.xlsx&amp;sheet=U0&amp;row=4499&amp;col=7&amp;number=0.000242&amp;sourceID=14","0.000242")</f>
        <v>0.000242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HYPERLINK("http://141.218.60.56/~jnz1568/getInfo.php?workbook=16_08.xlsx&amp;sheet=U0&amp;row=4500&amp;col=6&amp;number=4.6&amp;sourceID=14","4.6")</f>
        <v>4.6</v>
      </c>
      <c r="G4500" s="4" t="str">
        <f>HYPERLINK("http://141.218.60.56/~jnz1568/getInfo.php?workbook=16_08.xlsx&amp;sheet=U0&amp;row=4500&amp;col=7&amp;number=0.000241&amp;sourceID=14","0.000241")</f>
        <v>0.000241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HYPERLINK("http://141.218.60.56/~jnz1568/getInfo.php?workbook=16_08.xlsx&amp;sheet=U0&amp;row=4501&amp;col=6&amp;number=4.7&amp;sourceID=14","4.7")</f>
        <v>4.7</v>
      </c>
      <c r="G4501" s="4" t="str">
        <f>HYPERLINK("http://141.218.60.56/~jnz1568/getInfo.php?workbook=16_08.xlsx&amp;sheet=U0&amp;row=4501&amp;col=7&amp;number=0.00024&amp;sourceID=14","0.00024")</f>
        <v>0.00024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HYPERLINK("http://141.218.60.56/~jnz1568/getInfo.php?workbook=16_08.xlsx&amp;sheet=U0&amp;row=4502&amp;col=6&amp;number=4.8&amp;sourceID=14","4.8")</f>
        <v>4.8</v>
      </c>
      <c r="G4502" s="4" t="str">
        <f>HYPERLINK("http://141.218.60.56/~jnz1568/getInfo.php?workbook=16_08.xlsx&amp;sheet=U0&amp;row=4502&amp;col=7&amp;number=0.00024&amp;sourceID=14","0.00024")</f>
        <v>0.00024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HYPERLINK("http://141.218.60.56/~jnz1568/getInfo.php?workbook=16_08.xlsx&amp;sheet=U0&amp;row=4503&amp;col=6&amp;number=4.9&amp;sourceID=14","4.9")</f>
        <v>4.9</v>
      </c>
      <c r="G4503" s="4" t="str">
        <f>HYPERLINK("http://141.218.60.56/~jnz1568/getInfo.php?workbook=16_08.xlsx&amp;sheet=U0&amp;row=4503&amp;col=7&amp;number=0.000239&amp;sourceID=14","0.000239")</f>
        <v>0.000239</v>
      </c>
    </row>
    <row r="4504" spans="1:7">
      <c r="A4504" s="3">
        <v>16</v>
      </c>
      <c r="B4504" s="3">
        <v>8</v>
      </c>
      <c r="C4504" s="3">
        <v>3</v>
      </c>
      <c r="D4504" s="3">
        <v>60</v>
      </c>
      <c r="E4504" s="3">
        <v>1</v>
      </c>
      <c r="F4504" s="4" t="str">
        <f>HYPERLINK("http://141.218.60.56/~jnz1568/getInfo.php?workbook=16_08.xlsx&amp;sheet=U0&amp;row=4504&amp;col=6&amp;number=3&amp;sourceID=14","3")</f>
        <v>3</v>
      </c>
      <c r="G4504" s="4" t="str">
        <f>HYPERLINK("http://141.218.60.56/~jnz1568/getInfo.php?workbook=16_08.xlsx&amp;sheet=U0&amp;row=4504&amp;col=7&amp;number=0.00435&amp;sourceID=14","0.00435")</f>
        <v>0.00435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HYPERLINK("http://141.218.60.56/~jnz1568/getInfo.php?workbook=16_08.xlsx&amp;sheet=U0&amp;row=4505&amp;col=6&amp;number=3.1&amp;sourceID=14","3.1")</f>
        <v>3.1</v>
      </c>
      <c r="G4505" s="4" t="str">
        <f>HYPERLINK("http://141.218.60.56/~jnz1568/getInfo.php?workbook=16_08.xlsx&amp;sheet=U0&amp;row=4505&amp;col=7&amp;number=0.00435&amp;sourceID=14","0.00435")</f>
        <v>0.00435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HYPERLINK("http://141.218.60.56/~jnz1568/getInfo.php?workbook=16_08.xlsx&amp;sheet=U0&amp;row=4506&amp;col=6&amp;number=3.2&amp;sourceID=14","3.2")</f>
        <v>3.2</v>
      </c>
      <c r="G4506" s="4" t="str">
        <f>HYPERLINK("http://141.218.60.56/~jnz1568/getInfo.php?workbook=16_08.xlsx&amp;sheet=U0&amp;row=4506&amp;col=7&amp;number=0.00435&amp;sourceID=14","0.00435")</f>
        <v>0.00435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HYPERLINK("http://141.218.60.56/~jnz1568/getInfo.php?workbook=16_08.xlsx&amp;sheet=U0&amp;row=4507&amp;col=6&amp;number=3.3&amp;sourceID=14","3.3")</f>
        <v>3.3</v>
      </c>
      <c r="G4507" s="4" t="str">
        <f>HYPERLINK("http://141.218.60.56/~jnz1568/getInfo.php?workbook=16_08.xlsx&amp;sheet=U0&amp;row=4507&amp;col=7&amp;number=0.00435&amp;sourceID=14","0.00435")</f>
        <v>0.00435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HYPERLINK("http://141.218.60.56/~jnz1568/getInfo.php?workbook=16_08.xlsx&amp;sheet=U0&amp;row=4508&amp;col=6&amp;number=3.4&amp;sourceID=14","3.4")</f>
        <v>3.4</v>
      </c>
      <c r="G4508" s="4" t="str">
        <f>HYPERLINK("http://141.218.60.56/~jnz1568/getInfo.php?workbook=16_08.xlsx&amp;sheet=U0&amp;row=4508&amp;col=7&amp;number=0.00435&amp;sourceID=14","0.00435")</f>
        <v>0.00435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HYPERLINK("http://141.218.60.56/~jnz1568/getInfo.php?workbook=16_08.xlsx&amp;sheet=U0&amp;row=4509&amp;col=6&amp;number=3.5&amp;sourceID=14","3.5")</f>
        <v>3.5</v>
      </c>
      <c r="G4509" s="4" t="str">
        <f>HYPERLINK("http://141.218.60.56/~jnz1568/getInfo.php?workbook=16_08.xlsx&amp;sheet=U0&amp;row=4509&amp;col=7&amp;number=0.00435&amp;sourceID=14","0.00435")</f>
        <v>0.00435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HYPERLINK("http://141.218.60.56/~jnz1568/getInfo.php?workbook=16_08.xlsx&amp;sheet=U0&amp;row=4510&amp;col=6&amp;number=3.6&amp;sourceID=14","3.6")</f>
        <v>3.6</v>
      </c>
      <c r="G4510" s="4" t="str">
        <f>HYPERLINK("http://141.218.60.56/~jnz1568/getInfo.php?workbook=16_08.xlsx&amp;sheet=U0&amp;row=4510&amp;col=7&amp;number=0.00435&amp;sourceID=14","0.00435")</f>
        <v>0.00435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HYPERLINK("http://141.218.60.56/~jnz1568/getInfo.php?workbook=16_08.xlsx&amp;sheet=U0&amp;row=4511&amp;col=6&amp;number=3.7&amp;sourceID=14","3.7")</f>
        <v>3.7</v>
      </c>
      <c r="G4511" s="4" t="str">
        <f>HYPERLINK("http://141.218.60.56/~jnz1568/getInfo.php?workbook=16_08.xlsx&amp;sheet=U0&amp;row=4511&amp;col=7&amp;number=0.00435&amp;sourceID=14","0.00435")</f>
        <v>0.00435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HYPERLINK("http://141.218.60.56/~jnz1568/getInfo.php?workbook=16_08.xlsx&amp;sheet=U0&amp;row=4512&amp;col=6&amp;number=3.8&amp;sourceID=14","3.8")</f>
        <v>3.8</v>
      </c>
      <c r="G4512" s="4" t="str">
        <f>HYPERLINK("http://141.218.60.56/~jnz1568/getInfo.php?workbook=16_08.xlsx&amp;sheet=U0&amp;row=4512&amp;col=7&amp;number=0.00435&amp;sourceID=14","0.00435")</f>
        <v>0.00435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HYPERLINK("http://141.218.60.56/~jnz1568/getInfo.php?workbook=16_08.xlsx&amp;sheet=U0&amp;row=4513&amp;col=6&amp;number=3.9&amp;sourceID=14","3.9")</f>
        <v>3.9</v>
      </c>
      <c r="G4513" s="4" t="str">
        <f>HYPERLINK("http://141.218.60.56/~jnz1568/getInfo.php?workbook=16_08.xlsx&amp;sheet=U0&amp;row=4513&amp;col=7&amp;number=0.00435&amp;sourceID=14","0.00435")</f>
        <v>0.00435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HYPERLINK("http://141.218.60.56/~jnz1568/getInfo.php?workbook=16_08.xlsx&amp;sheet=U0&amp;row=4514&amp;col=6&amp;number=4&amp;sourceID=14","4")</f>
        <v>4</v>
      </c>
      <c r="G4514" s="4" t="str">
        <f>HYPERLINK("http://141.218.60.56/~jnz1568/getInfo.php?workbook=16_08.xlsx&amp;sheet=U0&amp;row=4514&amp;col=7&amp;number=0.00435&amp;sourceID=14","0.00435")</f>
        <v>0.00435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HYPERLINK("http://141.218.60.56/~jnz1568/getInfo.php?workbook=16_08.xlsx&amp;sheet=U0&amp;row=4515&amp;col=6&amp;number=4.1&amp;sourceID=14","4.1")</f>
        <v>4.1</v>
      </c>
      <c r="G4515" s="4" t="str">
        <f>HYPERLINK("http://141.218.60.56/~jnz1568/getInfo.php?workbook=16_08.xlsx&amp;sheet=U0&amp;row=4515&amp;col=7&amp;number=0.00435&amp;sourceID=14","0.00435")</f>
        <v>0.00435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HYPERLINK("http://141.218.60.56/~jnz1568/getInfo.php?workbook=16_08.xlsx&amp;sheet=U0&amp;row=4516&amp;col=6&amp;number=4.2&amp;sourceID=14","4.2")</f>
        <v>4.2</v>
      </c>
      <c r="G4516" s="4" t="str">
        <f>HYPERLINK("http://141.218.60.56/~jnz1568/getInfo.php?workbook=16_08.xlsx&amp;sheet=U0&amp;row=4516&amp;col=7&amp;number=0.00435&amp;sourceID=14","0.00435")</f>
        <v>0.00435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HYPERLINK("http://141.218.60.56/~jnz1568/getInfo.php?workbook=16_08.xlsx&amp;sheet=U0&amp;row=4517&amp;col=6&amp;number=4.3&amp;sourceID=14","4.3")</f>
        <v>4.3</v>
      </c>
      <c r="G4517" s="4" t="str">
        <f>HYPERLINK("http://141.218.60.56/~jnz1568/getInfo.php?workbook=16_08.xlsx&amp;sheet=U0&amp;row=4517&amp;col=7&amp;number=0.00435&amp;sourceID=14","0.00435")</f>
        <v>0.00435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HYPERLINK("http://141.218.60.56/~jnz1568/getInfo.php?workbook=16_08.xlsx&amp;sheet=U0&amp;row=4518&amp;col=6&amp;number=4.4&amp;sourceID=14","4.4")</f>
        <v>4.4</v>
      </c>
      <c r="G4518" s="4" t="str">
        <f>HYPERLINK("http://141.218.60.56/~jnz1568/getInfo.php?workbook=16_08.xlsx&amp;sheet=U0&amp;row=4518&amp;col=7&amp;number=0.00435&amp;sourceID=14","0.00435")</f>
        <v>0.00435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HYPERLINK("http://141.218.60.56/~jnz1568/getInfo.php?workbook=16_08.xlsx&amp;sheet=U0&amp;row=4519&amp;col=6&amp;number=4.5&amp;sourceID=14","4.5")</f>
        <v>4.5</v>
      </c>
      <c r="G4519" s="4" t="str">
        <f>HYPERLINK("http://141.218.60.56/~jnz1568/getInfo.php?workbook=16_08.xlsx&amp;sheet=U0&amp;row=4519&amp;col=7&amp;number=0.00435&amp;sourceID=14","0.00435")</f>
        <v>0.00435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HYPERLINK("http://141.218.60.56/~jnz1568/getInfo.php?workbook=16_08.xlsx&amp;sheet=U0&amp;row=4520&amp;col=6&amp;number=4.6&amp;sourceID=14","4.6")</f>
        <v>4.6</v>
      </c>
      <c r="G4520" s="4" t="str">
        <f>HYPERLINK("http://141.218.60.56/~jnz1568/getInfo.php?workbook=16_08.xlsx&amp;sheet=U0&amp;row=4520&amp;col=7&amp;number=0.00435&amp;sourceID=14","0.00435")</f>
        <v>0.00435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HYPERLINK("http://141.218.60.56/~jnz1568/getInfo.php?workbook=16_08.xlsx&amp;sheet=U0&amp;row=4521&amp;col=6&amp;number=4.7&amp;sourceID=14","4.7")</f>
        <v>4.7</v>
      </c>
      <c r="G4521" s="4" t="str">
        <f>HYPERLINK("http://141.218.60.56/~jnz1568/getInfo.php?workbook=16_08.xlsx&amp;sheet=U0&amp;row=4521&amp;col=7&amp;number=0.00435&amp;sourceID=14","0.00435")</f>
        <v>0.00435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HYPERLINK("http://141.218.60.56/~jnz1568/getInfo.php?workbook=16_08.xlsx&amp;sheet=U0&amp;row=4522&amp;col=6&amp;number=4.8&amp;sourceID=14","4.8")</f>
        <v>4.8</v>
      </c>
      <c r="G4522" s="4" t="str">
        <f>HYPERLINK("http://141.218.60.56/~jnz1568/getInfo.php?workbook=16_08.xlsx&amp;sheet=U0&amp;row=4522&amp;col=7&amp;number=0.00435&amp;sourceID=14","0.00435")</f>
        <v>0.00435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HYPERLINK("http://141.218.60.56/~jnz1568/getInfo.php?workbook=16_08.xlsx&amp;sheet=U0&amp;row=4523&amp;col=6&amp;number=4.9&amp;sourceID=14","4.9")</f>
        <v>4.9</v>
      </c>
      <c r="G4523" s="4" t="str">
        <f>HYPERLINK("http://141.218.60.56/~jnz1568/getInfo.php?workbook=16_08.xlsx&amp;sheet=U0&amp;row=4523&amp;col=7&amp;number=0.00435&amp;sourceID=14","0.00435")</f>
        <v>0.00435</v>
      </c>
    </row>
    <row r="4524" spans="1:7">
      <c r="A4524" s="3">
        <v>16</v>
      </c>
      <c r="B4524" s="3">
        <v>8</v>
      </c>
      <c r="C4524" s="3">
        <v>3</v>
      </c>
      <c r="D4524" s="3">
        <v>61</v>
      </c>
      <c r="E4524" s="3">
        <v>1</v>
      </c>
      <c r="F4524" s="4" t="str">
        <f>HYPERLINK("http://141.218.60.56/~jnz1568/getInfo.php?workbook=16_08.xlsx&amp;sheet=U0&amp;row=4524&amp;col=6&amp;number=3&amp;sourceID=14","3")</f>
        <v>3</v>
      </c>
      <c r="G4524" s="4" t="str">
        <f>HYPERLINK("http://141.218.60.56/~jnz1568/getInfo.php?workbook=16_08.xlsx&amp;sheet=U0&amp;row=4524&amp;col=7&amp;number=0.00467&amp;sourceID=14","0.00467")</f>
        <v>0.00467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HYPERLINK("http://141.218.60.56/~jnz1568/getInfo.php?workbook=16_08.xlsx&amp;sheet=U0&amp;row=4525&amp;col=6&amp;number=3.1&amp;sourceID=14","3.1")</f>
        <v>3.1</v>
      </c>
      <c r="G4525" s="4" t="str">
        <f>HYPERLINK("http://141.218.60.56/~jnz1568/getInfo.php?workbook=16_08.xlsx&amp;sheet=U0&amp;row=4525&amp;col=7&amp;number=0.00467&amp;sourceID=14","0.00467")</f>
        <v>0.00467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HYPERLINK("http://141.218.60.56/~jnz1568/getInfo.php?workbook=16_08.xlsx&amp;sheet=U0&amp;row=4526&amp;col=6&amp;number=3.2&amp;sourceID=14","3.2")</f>
        <v>3.2</v>
      </c>
      <c r="G4526" s="4" t="str">
        <f>HYPERLINK("http://141.218.60.56/~jnz1568/getInfo.php?workbook=16_08.xlsx&amp;sheet=U0&amp;row=4526&amp;col=7&amp;number=0.00467&amp;sourceID=14","0.00467")</f>
        <v>0.00467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HYPERLINK("http://141.218.60.56/~jnz1568/getInfo.php?workbook=16_08.xlsx&amp;sheet=U0&amp;row=4527&amp;col=6&amp;number=3.3&amp;sourceID=14","3.3")</f>
        <v>3.3</v>
      </c>
      <c r="G4527" s="4" t="str">
        <f>HYPERLINK("http://141.218.60.56/~jnz1568/getInfo.php?workbook=16_08.xlsx&amp;sheet=U0&amp;row=4527&amp;col=7&amp;number=0.00467&amp;sourceID=14","0.00467")</f>
        <v>0.00467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HYPERLINK("http://141.218.60.56/~jnz1568/getInfo.php?workbook=16_08.xlsx&amp;sheet=U0&amp;row=4528&amp;col=6&amp;number=3.4&amp;sourceID=14","3.4")</f>
        <v>3.4</v>
      </c>
      <c r="G4528" s="4" t="str">
        <f>HYPERLINK("http://141.218.60.56/~jnz1568/getInfo.php?workbook=16_08.xlsx&amp;sheet=U0&amp;row=4528&amp;col=7&amp;number=0.00467&amp;sourceID=14","0.00467")</f>
        <v>0.00467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HYPERLINK("http://141.218.60.56/~jnz1568/getInfo.php?workbook=16_08.xlsx&amp;sheet=U0&amp;row=4529&amp;col=6&amp;number=3.5&amp;sourceID=14","3.5")</f>
        <v>3.5</v>
      </c>
      <c r="G4529" s="4" t="str">
        <f>HYPERLINK("http://141.218.60.56/~jnz1568/getInfo.php?workbook=16_08.xlsx&amp;sheet=U0&amp;row=4529&amp;col=7&amp;number=0.00467&amp;sourceID=14","0.00467")</f>
        <v>0.00467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HYPERLINK("http://141.218.60.56/~jnz1568/getInfo.php?workbook=16_08.xlsx&amp;sheet=U0&amp;row=4530&amp;col=6&amp;number=3.6&amp;sourceID=14","3.6")</f>
        <v>3.6</v>
      </c>
      <c r="G4530" s="4" t="str">
        <f>HYPERLINK("http://141.218.60.56/~jnz1568/getInfo.php?workbook=16_08.xlsx&amp;sheet=U0&amp;row=4530&amp;col=7&amp;number=0.00467&amp;sourceID=14","0.00467")</f>
        <v>0.00467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HYPERLINK("http://141.218.60.56/~jnz1568/getInfo.php?workbook=16_08.xlsx&amp;sheet=U0&amp;row=4531&amp;col=6&amp;number=3.7&amp;sourceID=14","3.7")</f>
        <v>3.7</v>
      </c>
      <c r="G4531" s="4" t="str">
        <f>HYPERLINK("http://141.218.60.56/~jnz1568/getInfo.php?workbook=16_08.xlsx&amp;sheet=U0&amp;row=4531&amp;col=7&amp;number=0.00467&amp;sourceID=14","0.00467")</f>
        <v>0.00467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HYPERLINK("http://141.218.60.56/~jnz1568/getInfo.php?workbook=16_08.xlsx&amp;sheet=U0&amp;row=4532&amp;col=6&amp;number=3.8&amp;sourceID=14","3.8")</f>
        <v>3.8</v>
      </c>
      <c r="G4532" s="4" t="str">
        <f>HYPERLINK("http://141.218.60.56/~jnz1568/getInfo.php?workbook=16_08.xlsx&amp;sheet=U0&amp;row=4532&amp;col=7&amp;number=0.00467&amp;sourceID=14","0.00467")</f>
        <v>0.00467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HYPERLINK("http://141.218.60.56/~jnz1568/getInfo.php?workbook=16_08.xlsx&amp;sheet=U0&amp;row=4533&amp;col=6&amp;number=3.9&amp;sourceID=14","3.9")</f>
        <v>3.9</v>
      </c>
      <c r="G4533" s="4" t="str">
        <f>HYPERLINK("http://141.218.60.56/~jnz1568/getInfo.php?workbook=16_08.xlsx&amp;sheet=U0&amp;row=4533&amp;col=7&amp;number=0.00467&amp;sourceID=14","0.00467")</f>
        <v>0.00467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HYPERLINK("http://141.218.60.56/~jnz1568/getInfo.php?workbook=16_08.xlsx&amp;sheet=U0&amp;row=4534&amp;col=6&amp;number=4&amp;sourceID=14","4")</f>
        <v>4</v>
      </c>
      <c r="G4534" s="4" t="str">
        <f>HYPERLINK("http://141.218.60.56/~jnz1568/getInfo.php?workbook=16_08.xlsx&amp;sheet=U0&amp;row=4534&amp;col=7&amp;number=0.00466&amp;sourceID=14","0.00466")</f>
        <v>0.00466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HYPERLINK("http://141.218.60.56/~jnz1568/getInfo.php?workbook=16_08.xlsx&amp;sheet=U0&amp;row=4535&amp;col=6&amp;number=4.1&amp;sourceID=14","4.1")</f>
        <v>4.1</v>
      </c>
      <c r="G4535" s="4" t="str">
        <f>HYPERLINK("http://141.218.60.56/~jnz1568/getInfo.php?workbook=16_08.xlsx&amp;sheet=U0&amp;row=4535&amp;col=7&amp;number=0.00466&amp;sourceID=14","0.00466")</f>
        <v>0.00466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HYPERLINK("http://141.218.60.56/~jnz1568/getInfo.php?workbook=16_08.xlsx&amp;sheet=U0&amp;row=4536&amp;col=6&amp;number=4.2&amp;sourceID=14","4.2")</f>
        <v>4.2</v>
      </c>
      <c r="G4536" s="4" t="str">
        <f>HYPERLINK("http://141.218.60.56/~jnz1568/getInfo.php?workbook=16_08.xlsx&amp;sheet=U0&amp;row=4536&amp;col=7&amp;number=0.00466&amp;sourceID=14","0.00466")</f>
        <v>0.00466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HYPERLINK("http://141.218.60.56/~jnz1568/getInfo.php?workbook=16_08.xlsx&amp;sheet=U0&amp;row=4537&amp;col=6&amp;number=4.3&amp;sourceID=14","4.3")</f>
        <v>4.3</v>
      </c>
      <c r="G4537" s="4" t="str">
        <f>HYPERLINK("http://141.218.60.56/~jnz1568/getInfo.php?workbook=16_08.xlsx&amp;sheet=U0&amp;row=4537&amp;col=7&amp;number=0.00465&amp;sourceID=14","0.00465")</f>
        <v>0.00465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HYPERLINK("http://141.218.60.56/~jnz1568/getInfo.php?workbook=16_08.xlsx&amp;sheet=U0&amp;row=4538&amp;col=6&amp;number=4.4&amp;sourceID=14","4.4")</f>
        <v>4.4</v>
      </c>
      <c r="G4538" s="4" t="str">
        <f>HYPERLINK("http://141.218.60.56/~jnz1568/getInfo.php?workbook=16_08.xlsx&amp;sheet=U0&amp;row=4538&amp;col=7&amp;number=0.00465&amp;sourceID=14","0.00465")</f>
        <v>0.00465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HYPERLINK("http://141.218.60.56/~jnz1568/getInfo.php?workbook=16_08.xlsx&amp;sheet=U0&amp;row=4539&amp;col=6&amp;number=4.5&amp;sourceID=14","4.5")</f>
        <v>4.5</v>
      </c>
      <c r="G4539" s="4" t="str">
        <f>HYPERLINK("http://141.218.60.56/~jnz1568/getInfo.php?workbook=16_08.xlsx&amp;sheet=U0&amp;row=4539&amp;col=7&amp;number=0.00464&amp;sourceID=14","0.00464")</f>
        <v>0.00464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HYPERLINK("http://141.218.60.56/~jnz1568/getInfo.php?workbook=16_08.xlsx&amp;sheet=U0&amp;row=4540&amp;col=6&amp;number=4.6&amp;sourceID=14","4.6")</f>
        <v>4.6</v>
      </c>
      <c r="G4540" s="4" t="str">
        <f>HYPERLINK("http://141.218.60.56/~jnz1568/getInfo.php?workbook=16_08.xlsx&amp;sheet=U0&amp;row=4540&amp;col=7&amp;number=0.00463&amp;sourceID=14","0.00463")</f>
        <v>0.00463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HYPERLINK("http://141.218.60.56/~jnz1568/getInfo.php?workbook=16_08.xlsx&amp;sheet=U0&amp;row=4541&amp;col=6&amp;number=4.7&amp;sourceID=14","4.7")</f>
        <v>4.7</v>
      </c>
      <c r="G4541" s="4" t="str">
        <f>HYPERLINK("http://141.218.60.56/~jnz1568/getInfo.php?workbook=16_08.xlsx&amp;sheet=U0&amp;row=4541&amp;col=7&amp;number=0.00462&amp;sourceID=14","0.00462")</f>
        <v>0.00462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HYPERLINK("http://141.218.60.56/~jnz1568/getInfo.php?workbook=16_08.xlsx&amp;sheet=U0&amp;row=4542&amp;col=6&amp;number=4.8&amp;sourceID=14","4.8")</f>
        <v>4.8</v>
      </c>
      <c r="G4542" s="4" t="str">
        <f>HYPERLINK("http://141.218.60.56/~jnz1568/getInfo.php?workbook=16_08.xlsx&amp;sheet=U0&amp;row=4542&amp;col=7&amp;number=0.0046&amp;sourceID=14","0.0046")</f>
        <v>0.0046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HYPERLINK("http://141.218.60.56/~jnz1568/getInfo.php?workbook=16_08.xlsx&amp;sheet=U0&amp;row=4543&amp;col=6&amp;number=4.9&amp;sourceID=14","4.9")</f>
        <v>4.9</v>
      </c>
      <c r="G4543" s="4" t="str">
        <f>HYPERLINK("http://141.218.60.56/~jnz1568/getInfo.php?workbook=16_08.xlsx&amp;sheet=U0&amp;row=4543&amp;col=7&amp;number=0.00459&amp;sourceID=14","0.00459")</f>
        <v>0.00459</v>
      </c>
    </row>
    <row r="4544" spans="1:7">
      <c r="A4544" s="3">
        <v>16</v>
      </c>
      <c r="B4544" s="3">
        <v>8</v>
      </c>
      <c r="C4544" s="3">
        <v>3</v>
      </c>
      <c r="D4544" s="3">
        <v>62</v>
      </c>
      <c r="E4544" s="3">
        <v>1</v>
      </c>
      <c r="F4544" s="4" t="str">
        <f>HYPERLINK("http://141.218.60.56/~jnz1568/getInfo.php?workbook=16_08.xlsx&amp;sheet=U0&amp;row=4544&amp;col=6&amp;number=3&amp;sourceID=14","3")</f>
        <v>3</v>
      </c>
      <c r="G4544" s="4" t="str">
        <f>HYPERLINK("http://141.218.60.56/~jnz1568/getInfo.php?workbook=16_08.xlsx&amp;sheet=U0&amp;row=4544&amp;col=7&amp;number=1.57e-05&amp;sourceID=14","1.57e-05")</f>
        <v>1.57e-05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HYPERLINK("http://141.218.60.56/~jnz1568/getInfo.php?workbook=16_08.xlsx&amp;sheet=U0&amp;row=4545&amp;col=6&amp;number=3.1&amp;sourceID=14","3.1")</f>
        <v>3.1</v>
      </c>
      <c r="G4545" s="4" t="str">
        <f>HYPERLINK("http://141.218.60.56/~jnz1568/getInfo.php?workbook=16_08.xlsx&amp;sheet=U0&amp;row=4545&amp;col=7&amp;number=1.57e-05&amp;sourceID=14","1.57e-05")</f>
        <v>1.57e-05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HYPERLINK("http://141.218.60.56/~jnz1568/getInfo.php?workbook=16_08.xlsx&amp;sheet=U0&amp;row=4546&amp;col=6&amp;number=3.2&amp;sourceID=14","3.2")</f>
        <v>3.2</v>
      </c>
      <c r="G4546" s="4" t="str">
        <f>HYPERLINK("http://141.218.60.56/~jnz1568/getInfo.php?workbook=16_08.xlsx&amp;sheet=U0&amp;row=4546&amp;col=7&amp;number=1.57e-05&amp;sourceID=14","1.57e-05")</f>
        <v>1.57e-05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HYPERLINK("http://141.218.60.56/~jnz1568/getInfo.php?workbook=16_08.xlsx&amp;sheet=U0&amp;row=4547&amp;col=6&amp;number=3.3&amp;sourceID=14","3.3")</f>
        <v>3.3</v>
      </c>
      <c r="G4547" s="4" t="str">
        <f>HYPERLINK("http://141.218.60.56/~jnz1568/getInfo.php?workbook=16_08.xlsx&amp;sheet=U0&amp;row=4547&amp;col=7&amp;number=1.57e-05&amp;sourceID=14","1.57e-05")</f>
        <v>1.57e-05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HYPERLINK("http://141.218.60.56/~jnz1568/getInfo.php?workbook=16_08.xlsx&amp;sheet=U0&amp;row=4548&amp;col=6&amp;number=3.4&amp;sourceID=14","3.4")</f>
        <v>3.4</v>
      </c>
      <c r="G4548" s="4" t="str">
        <f>HYPERLINK("http://141.218.60.56/~jnz1568/getInfo.php?workbook=16_08.xlsx&amp;sheet=U0&amp;row=4548&amp;col=7&amp;number=1.57e-05&amp;sourceID=14","1.57e-05")</f>
        <v>1.57e-05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HYPERLINK("http://141.218.60.56/~jnz1568/getInfo.php?workbook=16_08.xlsx&amp;sheet=U0&amp;row=4549&amp;col=6&amp;number=3.5&amp;sourceID=14","3.5")</f>
        <v>3.5</v>
      </c>
      <c r="G4549" s="4" t="str">
        <f>HYPERLINK("http://141.218.60.56/~jnz1568/getInfo.php?workbook=16_08.xlsx&amp;sheet=U0&amp;row=4549&amp;col=7&amp;number=1.57e-05&amp;sourceID=14","1.57e-05")</f>
        <v>1.57e-05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HYPERLINK("http://141.218.60.56/~jnz1568/getInfo.php?workbook=16_08.xlsx&amp;sheet=U0&amp;row=4550&amp;col=6&amp;number=3.6&amp;sourceID=14","3.6")</f>
        <v>3.6</v>
      </c>
      <c r="G4550" s="4" t="str">
        <f>HYPERLINK("http://141.218.60.56/~jnz1568/getInfo.php?workbook=16_08.xlsx&amp;sheet=U0&amp;row=4550&amp;col=7&amp;number=1.57e-05&amp;sourceID=14","1.57e-05")</f>
        <v>1.57e-05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HYPERLINK("http://141.218.60.56/~jnz1568/getInfo.php?workbook=16_08.xlsx&amp;sheet=U0&amp;row=4551&amp;col=6&amp;number=3.7&amp;sourceID=14","3.7")</f>
        <v>3.7</v>
      </c>
      <c r="G4551" s="4" t="str">
        <f>HYPERLINK("http://141.218.60.56/~jnz1568/getInfo.php?workbook=16_08.xlsx&amp;sheet=U0&amp;row=4551&amp;col=7&amp;number=1.57e-05&amp;sourceID=14","1.57e-05")</f>
        <v>1.57e-05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HYPERLINK("http://141.218.60.56/~jnz1568/getInfo.php?workbook=16_08.xlsx&amp;sheet=U0&amp;row=4552&amp;col=6&amp;number=3.8&amp;sourceID=14","3.8")</f>
        <v>3.8</v>
      </c>
      <c r="G4552" s="4" t="str">
        <f>HYPERLINK("http://141.218.60.56/~jnz1568/getInfo.php?workbook=16_08.xlsx&amp;sheet=U0&amp;row=4552&amp;col=7&amp;number=1.57e-05&amp;sourceID=14","1.57e-05")</f>
        <v>1.57e-05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HYPERLINK("http://141.218.60.56/~jnz1568/getInfo.php?workbook=16_08.xlsx&amp;sheet=U0&amp;row=4553&amp;col=6&amp;number=3.9&amp;sourceID=14","3.9")</f>
        <v>3.9</v>
      </c>
      <c r="G4553" s="4" t="str">
        <f>HYPERLINK("http://141.218.60.56/~jnz1568/getInfo.php?workbook=16_08.xlsx&amp;sheet=U0&amp;row=4553&amp;col=7&amp;number=1.57e-05&amp;sourceID=14","1.57e-05")</f>
        <v>1.57e-05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HYPERLINK("http://141.218.60.56/~jnz1568/getInfo.php?workbook=16_08.xlsx&amp;sheet=U0&amp;row=4554&amp;col=6&amp;number=4&amp;sourceID=14","4")</f>
        <v>4</v>
      </c>
      <c r="G4554" s="4" t="str">
        <f>HYPERLINK("http://141.218.60.56/~jnz1568/getInfo.php?workbook=16_08.xlsx&amp;sheet=U0&amp;row=4554&amp;col=7&amp;number=1.57e-05&amp;sourceID=14","1.57e-05")</f>
        <v>1.57e-05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HYPERLINK("http://141.218.60.56/~jnz1568/getInfo.php?workbook=16_08.xlsx&amp;sheet=U0&amp;row=4555&amp;col=6&amp;number=4.1&amp;sourceID=14","4.1")</f>
        <v>4.1</v>
      </c>
      <c r="G4555" s="4" t="str">
        <f>HYPERLINK("http://141.218.60.56/~jnz1568/getInfo.php?workbook=16_08.xlsx&amp;sheet=U0&amp;row=4555&amp;col=7&amp;number=1.56e-05&amp;sourceID=14","1.56e-05")</f>
        <v>1.56e-05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HYPERLINK("http://141.218.60.56/~jnz1568/getInfo.php?workbook=16_08.xlsx&amp;sheet=U0&amp;row=4556&amp;col=6&amp;number=4.2&amp;sourceID=14","4.2")</f>
        <v>4.2</v>
      </c>
      <c r="G4556" s="4" t="str">
        <f>HYPERLINK("http://141.218.60.56/~jnz1568/getInfo.php?workbook=16_08.xlsx&amp;sheet=U0&amp;row=4556&amp;col=7&amp;number=1.56e-05&amp;sourceID=14","1.56e-05")</f>
        <v>1.56e-05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HYPERLINK("http://141.218.60.56/~jnz1568/getInfo.php?workbook=16_08.xlsx&amp;sheet=U0&amp;row=4557&amp;col=6&amp;number=4.3&amp;sourceID=14","4.3")</f>
        <v>4.3</v>
      </c>
      <c r="G4557" s="4" t="str">
        <f>HYPERLINK("http://141.218.60.56/~jnz1568/getInfo.php?workbook=16_08.xlsx&amp;sheet=U0&amp;row=4557&amp;col=7&amp;number=1.56e-05&amp;sourceID=14","1.56e-05")</f>
        <v>1.56e-05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HYPERLINK("http://141.218.60.56/~jnz1568/getInfo.php?workbook=16_08.xlsx&amp;sheet=U0&amp;row=4558&amp;col=6&amp;number=4.4&amp;sourceID=14","4.4")</f>
        <v>4.4</v>
      </c>
      <c r="G4558" s="4" t="str">
        <f>HYPERLINK("http://141.218.60.56/~jnz1568/getInfo.php?workbook=16_08.xlsx&amp;sheet=U0&amp;row=4558&amp;col=7&amp;number=1.56e-05&amp;sourceID=14","1.56e-05")</f>
        <v>1.56e-05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HYPERLINK("http://141.218.60.56/~jnz1568/getInfo.php?workbook=16_08.xlsx&amp;sheet=U0&amp;row=4559&amp;col=6&amp;number=4.5&amp;sourceID=14","4.5")</f>
        <v>4.5</v>
      </c>
      <c r="G4559" s="4" t="str">
        <f>HYPERLINK("http://141.218.60.56/~jnz1568/getInfo.php?workbook=16_08.xlsx&amp;sheet=U0&amp;row=4559&amp;col=7&amp;number=1.56e-05&amp;sourceID=14","1.56e-05")</f>
        <v>1.56e-05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HYPERLINK("http://141.218.60.56/~jnz1568/getInfo.php?workbook=16_08.xlsx&amp;sheet=U0&amp;row=4560&amp;col=6&amp;number=4.6&amp;sourceID=14","4.6")</f>
        <v>4.6</v>
      </c>
      <c r="G4560" s="4" t="str">
        <f>HYPERLINK("http://141.218.60.56/~jnz1568/getInfo.php?workbook=16_08.xlsx&amp;sheet=U0&amp;row=4560&amp;col=7&amp;number=1.55e-05&amp;sourceID=14","1.55e-05")</f>
        <v>1.55e-05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HYPERLINK("http://141.218.60.56/~jnz1568/getInfo.php?workbook=16_08.xlsx&amp;sheet=U0&amp;row=4561&amp;col=6&amp;number=4.7&amp;sourceID=14","4.7")</f>
        <v>4.7</v>
      </c>
      <c r="G4561" s="4" t="str">
        <f>HYPERLINK("http://141.218.60.56/~jnz1568/getInfo.php?workbook=16_08.xlsx&amp;sheet=U0&amp;row=4561&amp;col=7&amp;number=1.55e-05&amp;sourceID=14","1.55e-05")</f>
        <v>1.55e-05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HYPERLINK("http://141.218.60.56/~jnz1568/getInfo.php?workbook=16_08.xlsx&amp;sheet=U0&amp;row=4562&amp;col=6&amp;number=4.8&amp;sourceID=14","4.8")</f>
        <v>4.8</v>
      </c>
      <c r="G4562" s="4" t="str">
        <f>HYPERLINK("http://141.218.60.56/~jnz1568/getInfo.php?workbook=16_08.xlsx&amp;sheet=U0&amp;row=4562&amp;col=7&amp;number=1.54e-05&amp;sourceID=14","1.54e-05")</f>
        <v>1.54e-05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HYPERLINK("http://141.218.60.56/~jnz1568/getInfo.php?workbook=16_08.xlsx&amp;sheet=U0&amp;row=4563&amp;col=6&amp;number=4.9&amp;sourceID=14","4.9")</f>
        <v>4.9</v>
      </c>
      <c r="G4563" s="4" t="str">
        <f>HYPERLINK("http://141.218.60.56/~jnz1568/getInfo.php?workbook=16_08.xlsx&amp;sheet=U0&amp;row=4563&amp;col=7&amp;number=1.53e-05&amp;sourceID=14","1.53e-05")</f>
        <v>1.53e-05</v>
      </c>
    </row>
    <row r="4564" spans="1:7">
      <c r="A4564" s="3">
        <v>16</v>
      </c>
      <c r="B4564" s="3">
        <v>8</v>
      </c>
      <c r="C4564" s="3">
        <v>3</v>
      </c>
      <c r="D4564" s="3">
        <v>63</v>
      </c>
      <c r="E4564" s="3">
        <v>1</v>
      </c>
      <c r="F4564" s="4" t="str">
        <f>HYPERLINK("http://141.218.60.56/~jnz1568/getInfo.php?workbook=16_08.xlsx&amp;sheet=U0&amp;row=4564&amp;col=6&amp;number=3&amp;sourceID=14","3")</f>
        <v>3</v>
      </c>
      <c r="G4564" s="4" t="str">
        <f>HYPERLINK("http://141.218.60.56/~jnz1568/getInfo.php?workbook=16_08.xlsx&amp;sheet=U0&amp;row=4564&amp;col=7&amp;number=0.00438&amp;sourceID=14","0.00438")</f>
        <v>0.00438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HYPERLINK("http://141.218.60.56/~jnz1568/getInfo.php?workbook=16_08.xlsx&amp;sheet=U0&amp;row=4565&amp;col=6&amp;number=3.1&amp;sourceID=14","3.1")</f>
        <v>3.1</v>
      </c>
      <c r="G4565" s="4" t="str">
        <f>HYPERLINK("http://141.218.60.56/~jnz1568/getInfo.php?workbook=16_08.xlsx&amp;sheet=U0&amp;row=4565&amp;col=7&amp;number=0.00438&amp;sourceID=14","0.00438")</f>
        <v>0.00438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HYPERLINK("http://141.218.60.56/~jnz1568/getInfo.php?workbook=16_08.xlsx&amp;sheet=U0&amp;row=4566&amp;col=6&amp;number=3.2&amp;sourceID=14","3.2")</f>
        <v>3.2</v>
      </c>
      <c r="G4566" s="4" t="str">
        <f>HYPERLINK("http://141.218.60.56/~jnz1568/getInfo.php?workbook=16_08.xlsx&amp;sheet=U0&amp;row=4566&amp;col=7&amp;number=0.00438&amp;sourceID=14","0.00438")</f>
        <v>0.00438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HYPERLINK("http://141.218.60.56/~jnz1568/getInfo.php?workbook=16_08.xlsx&amp;sheet=U0&amp;row=4567&amp;col=6&amp;number=3.3&amp;sourceID=14","3.3")</f>
        <v>3.3</v>
      </c>
      <c r="G4567" s="4" t="str">
        <f>HYPERLINK("http://141.218.60.56/~jnz1568/getInfo.php?workbook=16_08.xlsx&amp;sheet=U0&amp;row=4567&amp;col=7&amp;number=0.00438&amp;sourceID=14","0.00438")</f>
        <v>0.00438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HYPERLINK("http://141.218.60.56/~jnz1568/getInfo.php?workbook=16_08.xlsx&amp;sheet=U0&amp;row=4568&amp;col=6&amp;number=3.4&amp;sourceID=14","3.4")</f>
        <v>3.4</v>
      </c>
      <c r="G4568" s="4" t="str">
        <f>HYPERLINK("http://141.218.60.56/~jnz1568/getInfo.php?workbook=16_08.xlsx&amp;sheet=U0&amp;row=4568&amp;col=7&amp;number=0.00438&amp;sourceID=14","0.00438")</f>
        <v>0.00438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HYPERLINK("http://141.218.60.56/~jnz1568/getInfo.php?workbook=16_08.xlsx&amp;sheet=U0&amp;row=4569&amp;col=6&amp;number=3.5&amp;sourceID=14","3.5")</f>
        <v>3.5</v>
      </c>
      <c r="G4569" s="4" t="str">
        <f>HYPERLINK("http://141.218.60.56/~jnz1568/getInfo.php?workbook=16_08.xlsx&amp;sheet=U0&amp;row=4569&amp;col=7&amp;number=0.00437&amp;sourceID=14","0.00437")</f>
        <v>0.00437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HYPERLINK("http://141.218.60.56/~jnz1568/getInfo.php?workbook=16_08.xlsx&amp;sheet=U0&amp;row=4570&amp;col=6&amp;number=3.6&amp;sourceID=14","3.6")</f>
        <v>3.6</v>
      </c>
      <c r="G4570" s="4" t="str">
        <f>HYPERLINK("http://141.218.60.56/~jnz1568/getInfo.php?workbook=16_08.xlsx&amp;sheet=U0&amp;row=4570&amp;col=7&amp;number=0.00437&amp;sourceID=14","0.00437")</f>
        <v>0.00437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HYPERLINK("http://141.218.60.56/~jnz1568/getInfo.php?workbook=16_08.xlsx&amp;sheet=U0&amp;row=4571&amp;col=6&amp;number=3.7&amp;sourceID=14","3.7")</f>
        <v>3.7</v>
      </c>
      <c r="G4571" s="4" t="str">
        <f>HYPERLINK("http://141.218.60.56/~jnz1568/getInfo.php?workbook=16_08.xlsx&amp;sheet=U0&amp;row=4571&amp;col=7&amp;number=0.00437&amp;sourceID=14","0.00437")</f>
        <v>0.00437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HYPERLINK("http://141.218.60.56/~jnz1568/getInfo.php?workbook=16_08.xlsx&amp;sheet=U0&amp;row=4572&amp;col=6&amp;number=3.8&amp;sourceID=14","3.8")</f>
        <v>3.8</v>
      </c>
      <c r="G4572" s="4" t="str">
        <f>HYPERLINK("http://141.218.60.56/~jnz1568/getInfo.php?workbook=16_08.xlsx&amp;sheet=U0&amp;row=4572&amp;col=7&amp;number=0.00437&amp;sourceID=14","0.00437")</f>
        <v>0.00437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HYPERLINK("http://141.218.60.56/~jnz1568/getInfo.php?workbook=16_08.xlsx&amp;sheet=U0&amp;row=4573&amp;col=6&amp;number=3.9&amp;sourceID=14","3.9")</f>
        <v>3.9</v>
      </c>
      <c r="G4573" s="4" t="str">
        <f>HYPERLINK("http://141.218.60.56/~jnz1568/getInfo.php?workbook=16_08.xlsx&amp;sheet=U0&amp;row=4573&amp;col=7&amp;number=0.00436&amp;sourceID=14","0.00436")</f>
        <v>0.00436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HYPERLINK("http://141.218.60.56/~jnz1568/getInfo.php?workbook=16_08.xlsx&amp;sheet=U0&amp;row=4574&amp;col=6&amp;number=4&amp;sourceID=14","4")</f>
        <v>4</v>
      </c>
      <c r="G4574" s="4" t="str">
        <f>HYPERLINK("http://141.218.60.56/~jnz1568/getInfo.php?workbook=16_08.xlsx&amp;sheet=U0&amp;row=4574&amp;col=7&amp;number=0.00436&amp;sourceID=14","0.00436")</f>
        <v>0.00436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HYPERLINK("http://141.218.60.56/~jnz1568/getInfo.php?workbook=16_08.xlsx&amp;sheet=U0&amp;row=4575&amp;col=6&amp;number=4.1&amp;sourceID=14","4.1")</f>
        <v>4.1</v>
      </c>
      <c r="G4575" s="4" t="str">
        <f>HYPERLINK("http://141.218.60.56/~jnz1568/getInfo.php?workbook=16_08.xlsx&amp;sheet=U0&amp;row=4575&amp;col=7&amp;number=0.00435&amp;sourceID=14","0.00435")</f>
        <v>0.00435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HYPERLINK("http://141.218.60.56/~jnz1568/getInfo.php?workbook=16_08.xlsx&amp;sheet=U0&amp;row=4576&amp;col=6&amp;number=4.2&amp;sourceID=14","4.2")</f>
        <v>4.2</v>
      </c>
      <c r="G4576" s="4" t="str">
        <f>HYPERLINK("http://141.218.60.56/~jnz1568/getInfo.php?workbook=16_08.xlsx&amp;sheet=U0&amp;row=4576&amp;col=7&amp;number=0.00435&amp;sourceID=14","0.00435")</f>
        <v>0.00435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HYPERLINK("http://141.218.60.56/~jnz1568/getInfo.php?workbook=16_08.xlsx&amp;sheet=U0&amp;row=4577&amp;col=6&amp;number=4.3&amp;sourceID=14","4.3")</f>
        <v>4.3</v>
      </c>
      <c r="G4577" s="4" t="str">
        <f>HYPERLINK("http://141.218.60.56/~jnz1568/getInfo.php?workbook=16_08.xlsx&amp;sheet=U0&amp;row=4577&amp;col=7&amp;number=0.00434&amp;sourceID=14","0.00434")</f>
        <v>0.00434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HYPERLINK("http://141.218.60.56/~jnz1568/getInfo.php?workbook=16_08.xlsx&amp;sheet=U0&amp;row=4578&amp;col=6&amp;number=4.4&amp;sourceID=14","4.4")</f>
        <v>4.4</v>
      </c>
      <c r="G4578" s="4" t="str">
        <f>HYPERLINK("http://141.218.60.56/~jnz1568/getInfo.php?workbook=16_08.xlsx&amp;sheet=U0&amp;row=4578&amp;col=7&amp;number=0.00433&amp;sourceID=14","0.00433")</f>
        <v>0.00433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HYPERLINK("http://141.218.60.56/~jnz1568/getInfo.php?workbook=16_08.xlsx&amp;sheet=U0&amp;row=4579&amp;col=6&amp;number=4.5&amp;sourceID=14","4.5")</f>
        <v>4.5</v>
      </c>
      <c r="G4579" s="4" t="str">
        <f>HYPERLINK("http://141.218.60.56/~jnz1568/getInfo.php?workbook=16_08.xlsx&amp;sheet=U0&amp;row=4579&amp;col=7&amp;number=0.00431&amp;sourceID=14","0.00431")</f>
        <v>0.00431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HYPERLINK("http://141.218.60.56/~jnz1568/getInfo.php?workbook=16_08.xlsx&amp;sheet=U0&amp;row=4580&amp;col=6&amp;number=4.6&amp;sourceID=14","4.6")</f>
        <v>4.6</v>
      </c>
      <c r="G4580" s="4" t="str">
        <f>HYPERLINK("http://141.218.60.56/~jnz1568/getInfo.php?workbook=16_08.xlsx&amp;sheet=U0&amp;row=4580&amp;col=7&amp;number=0.0043&amp;sourceID=14","0.0043")</f>
        <v>0.0043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HYPERLINK("http://141.218.60.56/~jnz1568/getInfo.php?workbook=16_08.xlsx&amp;sheet=U0&amp;row=4581&amp;col=6&amp;number=4.7&amp;sourceID=14","4.7")</f>
        <v>4.7</v>
      </c>
      <c r="G4581" s="4" t="str">
        <f>HYPERLINK("http://141.218.60.56/~jnz1568/getInfo.php?workbook=16_08.xlsx&amp;sheet=U0&amp;row=4581&amp;col=7&amp;number=0.00428&amp;sourceID=14","0.00428")</f>
        <v>0.00428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HYPERLINK("http://141.218.60.56/~jnz1568/getInfo.php?workbook=16_08.xlsx&amp;sheet=U0&amp;row=4582&amp;col=6&amp;number=4.8&amp;sourceID=14","4.8")</f>
        <v>4.8</v>
      </c>
      <c r="G4582" s="4" t="str">
        <f>HYPERLINK("http://141.218.60.56/~jnz1568/getInfo.php?workbook=16_08.xlsx&amp;sheet=U0&amp;row=4582&amp;col=7&amp;number=0.00425&amp;sourceID=14","0.00425")</f>
        <v>0.00425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HYPERLINK("http://141.218.60.56/~jnz1568/getInfo.php?workbook=16_08.xlsx&amp;sheet=U0&amp;row=4583&amp;col=6&amp;number=4.9&amp;sourceID=14","4.9")</f>
        <v>4.9</v>
      </c>
      <c r="G4583" s="4" t="str">
        <f>HYPERLINK("http://141.218.60.56/~jnz1568/getInfo.php?workbook=16_08.xlsx&amp;sheet=U0&amp;row=4583&amp;col=7&amp;number=0.00422&amp;sourceID=14","0.00422")</f>
        <v>0.00422</v>
      </c>
    </row>
    <row r="4584" spans="1:7">
      <c r="A4584" s="3">
        <v>16</v>
      </c>
      <c r="B4584" s="3">
        <v>8</v>
      </c>
      <c r="C4584" s="3">
        <v>3</v>
      </c>
      <c r="D4584" s="3">
        <v>64</v>
      </c>
      <c r="E4584" s="3">
        <v>1</v>
      </c>
      <c r="F4584" s="4" t="str">
        <f>HYPERLINK("http://141.218.60.56/~jnz1568/getInfo.php?workbook=16_08.xlsx&amp;sheet=U0&amp;row=4584&amp;col=6&amp;number=3&amp;sourceID=14","3")</f>
        <v>3</v>
      </c>
      <c r="G4584" s="4" t="str">
        <f>HYPERLINK("http://141.218.60.56/~jnz1568/getInfo.php?workbook=16_08.xlsx&amp;sheet=U0&amp;row=4584&amp;col=7&amp;number=0.0266&amp;sourceID=14","0.0266")</f>
        <v>0.0266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HYPERLINK("http://141.218.60.56/~jnz1568/getInfo.php?workbook=16_08.xlsx&amp;sheet=U0&amp;row=4585&amp;col=6&amp;number=3.1&amp;sourceID=14","3.1")</f>
        <v>3.1</v>
      </c>
      <c r="G4585" s="4" t="str">
        <f>HYPERLINK("http://141.218.60.56/~jnz1568/getInfo.php?workbook=16_08.xlsx&amp;sheet=U0&amp;row=4585&amp;col=7&amp;number=0.0266&amp;sourceID=14","0.0266")</f>
        <v>0.0266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HYPERLINK("http://141.218.60.56/~jnz1568/getInfo.php?workbook=16_08.xlsx&amp;sheet=U0&amp;row=4586&amp;col=6&amp;number=3.2&amp;sourceID=14","3.2")</f>
        <v>3.2</v>
      </c>
      <c r="G4586" s="4" t="str">
        <f>HYPERLINK("http://141.218.60.56/~jnz1568/getInfo.php?workbook=16_08.xlsx&amp;sheet=U0&amp;row=4586&amp;col=7&amp;number=0.0266&amp;sourceID=14","0.0266")</f>
        <v>0.0266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HYPERLINK("http://141.218.60.56/~jnz1568/getInfo.php?workbook=16_08.xlsx&amp;sheet=U0&amp;row=4587&amp;col=6&amp;number=3.3&amp;sourceID=14","3.3")</f>
        <v>3.3</v>
      </c>
      <c r="G4587" s="4" t="str">
        <f>HYPERLINK("http://141.218.60.56/~jnz1568/getInfo.php?workbook=16_08.xlsx&amp;sheet=U0&amp;row=4587&amp;col=7&amp;number=0.0266&amp;sourceID=14","0.0266")</f>
        <v>0.0266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HYPERLINK("http://141.218.60.56/~jnz1568/getInfo.php?workbook=16_08.xlsx&amp;sheet=U0&amp;row=4588&amp;col=6&amp;number=3.4&amp;sourceID=14","3.4")</f>
        <v>3.4</v>
      </c>
      <c r="G4588" s="4" t="str">
        <f>HYPERLINK("http://141.218.60.56/~jnz1568/getInfo.php?workbook=16_08.xlsx&amp;sheet=U0&amp;row=4588&amp;col=7&amp;number=0.0266&amp;sourceID=14","0.0266")</f>
        <v>0.0266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HYPERLINK("http://141.218.60.56/~jnz1568/getInfo.php?workbook=16_08.xlsx&amp;sheet=U0&amp;row=4589&amp;col=6&amp;number=3.5&amp;sourceID=14","3.5")</f>
        <v>3.5</v>
      </c>
      <c r="G4589" s="4" t="str">
        <f>HYPERLINK("http://141.218.60.56/~jnz1568/getInfo.php?workbook=16_08.xlsx&amp;sheet=U0&amp;row=4589&amp;col=7&amp;number=0.0266&amp;sourceID=14","0.0266")</f>
        <v>0.0266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HYPERLINK("http://141.218.60.56/~jnz1568/getInfo.php?workbook=16_08.xlsx&amp;sheet=U0&amp;row=4590&amp;col=6&amp;number=3.6&amp;sourceID=14","3.6")</f>
        <v>3.6</v>
      </c>
      <c r="G4590" s="4" t="str">
        <f>HYPERLINK("http://141.218.60.56/~jnz1568/getInfo.php?workbook=16_08.xlsx&amp;sheet=U0&amp;row=4590&amp;col=7&amp;number=0.0266&amp;sourceID=14","0.0266")</f>
        <v>0.0266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HYPERLINK("http://141.218.60.56/~jnz1568/getInfo.php?workbook=16_08.xlsx&amp;sheet=U0&amp;row=4591&amp;col=6&amp;number=3.7&amp;sourceID=14","3.7")</f>
        <v>3.7</v>
      </c>
      <c r="G4591" s="4" t="str">
        <f>HYPERLINK("http://141.218.60.56/~jnz1568/getInfo.php?workbook=16_08.xlsx&amp;sheet=U0&amp;row=4591&amp;col=7&amp;number=0.0266&amp;sourceID=14","0.0266")</f>
        <v>0.0266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HYPERLINK("http://141.218.60.56/~jnz1568/getInfo.php?workbook=16_08.xlsx&amp;sheet=U0&amp;row=4592&amp;col=6&amp;number=3.8&amp;sourceID=14","3.8")</f>
        <v>3.8</v>
      </c>
      <c r="G4592" s="4" t="str">
        <f>HYPERLINK("http://141.218.60.56/~jnz1568/getInfo.php?workbook=16_08.xlsx&amp;sheet=U0&amp;row=4592&amp;col=7&amp;number=0.0267&amp;sourceID=14","0.0267")</f>
        <v>0.0267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HYPERLINK("http://141.218.60.56/~jnz1568/getInfo.php?workbook=16_08.xlsx&amp;sheet=U0&amp;row=4593&amp;col=6&amp;number=3.9&amp;sourceID=14","3.9")</f>
        <v>3.9</v>
      </c>
      <c r="G4593" s="4" t="str">
        <f>HYPERLINK("http://141.218.60.56/~jnz1568/getInfo.php?workbook=16_08.xlsx&amp;sheet=U0&amp;row=4593&amp;col=7&amp;number=0.0267&amp;sourceID=14","0.0267")</f>
        <v>0.0267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HYPERLINK("http://141.218.60.56/~jnz1568/getInfo.php?workbook=16_08.xlsx&amp;sheet=U0&amp;row=4594&amp;col=6&amp;number=4&amp;sourceID=14","4")</f>
        <v>4</v>
      </c>
      <c r="G4594" s="4" t="str">
        <f>HYPERLINK("http://141.218.60.56/~jnz1568/getInfo.php?workbook=16_08.xlsx&amp;sheet=U0&amp;row=4594&amp;col=7&amp;number=0.0267&amp;sourceID=14","0.0267")</f>
        <v>0.0267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HYPERLINK("http://141.218.60.56/~jnz1568/getInfo.php?workbook=16_08.xlsx&amp;sheet=U0&amp;row=4595&amp;col=6&amp;number=4.1&amp;sourceID=14","4.1")</f>
        <v>4.1</v>
      </c>
      <c r="G4595" s="4" t="str">
        <f>HYPERLINK("http://141.218.60.56/~jnz1568/getInfo.php?workbook=16_08.xlsx&amp;sheet=U0&amp;row=4595&amp;col=7&amp;number=0.0267&amp;sourceID=14","0.0267")</f>
        <v>0.0267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HYPERLINK("http://141.218.60.56/~jnz1568/getInfo.php?workbook=16_08.xlsx&amp;sheet=U0&amp;row=4596&amp;col=6&amp;number=4.2&amp;sourceID=14","4.2")</f>
        <v>4.2</v>
      </c>
      <c r="G4596" s="4" t="str">
        <f>HYPERLINK("http://141.218.60.56/~jnz1568/getInfo.php?workbook=16_08.xlsx&amp;sheet=U0&amp;row=4596&amp;col=7&amp;number=0.0268&amp;sourceID=14","0.0268")</f>
        <v>0.0268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HYPERLINK("http://141.218.60.56/~jnz1568/getInfo.php?workbook=16_08.xlsx&amp;sheet=U0&amp;row=4597&amp;col=6&amp;number=4.3&amp;sourceID=14","4.3")</f>
        <v>4.3</v>
      </c>
      <c r="G4597" s="4" t="str">
        <f>HYPERLINK("http://141.218.60.56/~jnz1568/getInfo.php?workbook=16_08.xlsx&amp;sheet=U0&amp;row=4597&amp;col=7&amp;number=0.0268&amp;sourceID=14","0.0268")</f>
        <v>0.0268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HYPERLINK("http://141.218.60.56/~jnz1568/getInfo.php?workbook=16_08.xlsx&amp;sheet=U0&amp;row=4598&amp;col=6&amp;number=4.4&amp;sourceID=14","4.4")</f>
        <v>4.4</v>
      </c>
      <c r="G4598" s="4" t="str">
        <f>HYPERLINK("http://141.218.60.56/~jnz1568/getInfo.php?workbook=16_08.xlsx&amp;sheet=U0&amp;row=4598&amp;col=7&amp;number=0.0269&amp;sourceID=14","0.0269")</f>
        <v>0.0269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HYPERLINK("http://141.218.60.56/~jnz1568/getInfo.php?workbook=16_08.xlsx&amp;sheet=U0&amp;row=4599&amp;col=6&amp;number=4.5&amp;sourceID=14","4.5")</f>
        <v>4.5</v>
      </c>
      <c r="G4599" s="4" t="str">
        <f>HYPERLINK("http://141.218.60.56/~jnz1568/getInfo.php?workbook=16_08.xlsx&amp;sheet=U0&amp;row=4599&amp;col=7&amp;number=0.0269&amp;sourceID=14","0.0269")</f>
        <v>0.0269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HYPERLINK("http://141.218.60.56/~jnz1568/getInfo.php?workbook=16_08.xlsx&amp;sheet=U0&amp;row=4600&amp;col=6&amp;number=4.6&amp;sourceID=14","4.6")</f>
        <v>4.6</v>
      </c>
      <c r="G4600" s="4" t="str">
        <f>HYPERLINK("http://141.218.60.56/~jnz1568/getInfo.php?workbook=16_08.xlsx&amp;sheet=U0&amp;row=4600&amp;col=7&amp;number=0.027&amp;sourceID=14","0.027")</f>
        <v>0.027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HYPERLINK("http://141.218.60.56/~jnz1568/getInfo.php?workbook=16_08.xlsx&amp;sheet=U0&amp;row=4601&amp;col=6&amp;number=4.7&amp;sourceID=14","4.7")</f>
        <v>4.7</v>
      </c>
      <c r="G4601" s="4" t="str">
        <f>HYPERLINK("http://141.218.60.56/~jnz1568/getInfo.php?workbook=16_08.xlsx&amp;sheet=U0&amp;row=4601&amp;col=7&amp;number=0.0271&amp;sourceID=14","0.0271")</f>
        <v>0.0271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HYPERLINK("http://141.218.60.56/~jnz1568/getInfo.php?workbook=16_08.xlsx&amp;sheet=U0&amp;row=4602&amp;col=6&amp;number=4.8&amp;sourceID=14","4.8")</f>
        <v>4.8</v>
      </c>
      <c r="G4602" s="4" t="str">
        <f>HYPERLINK("http://141.218.60.56/~jnz1568/getInfo.php?workbook=16_08.xlsx&amp;sheet=U0&amp;row=4602&amp;col=7&amp;number=0.0273&amp;sourceID=14","0.0273")</f>
        <v>0.0273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HYPERLINK("http://141.218.60.56/~jnz1568/getInfo.php?workbook=16_08.xlsx&amp;sheet=U0&amp;row=4603&amp;col=6&amp;number=4.9&amp;sourceID=14","4.9")</f>
        <v>4.9</v>
      </c>
      <c r="G4603" s="4" t="str">
        <f>HYPERLINK("http://141.218.60.56/~jnz1568/getInfo.php?workbook=16_08.xlsx&amp;sheet=U0&amp;row=4603&amp;col=7&amp;number=0.0275&amp;sourceID=14","0.0275")</f>
        <v>0.0275</v>
      </c>
    </row>
    <row r="4604" spans="1:7">
      <c r="A4604" s="3">
        <v>16</v>
      </c>
      <c r="B4604" s="3">
        <v>8</v>
      </c>
      <c r="C4604" s="3">
        <v>3</v>
      </c>
      <c r="D4604" s="3">
        <v>65</v>
      </c>
      <c r="E4604" s="3">
        <v>1</v>
      </c>
      <c r="F4604" s="4" t="str">
        <f>HYPERLINK("http://141.218.60.56/~jnz1568/getInfo.php?workbook=16_08.xlsx&amp;sheet=U0&amp;row=4604&amp;col=6&amp;number=3&amp;sourceID=14","3")</f>
        <v>3</v>
      </c>
      <c r="G4604" s="4" t="str">
        <f>HYPERLINK("http://141.218.60.56/~jnz1568/getInfo.php?workbook=16_08.xlsx&amp;sheet=U0&amp;row=4604&amp;col=7&amp;number=0.00149&amp;sourceID=14","0.00149")</f>
        <v>0.00149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HYPERLINK("http://141.218.60.56/~jnz1568/getInfo.php?workbook=16_08.xlsx&amp;sheet=U0&amp;row=4605&amp;col=6&amp;number=3.1&amp;sourceID=14","3.1")</f>
        <v>3.1</v>
      </c>
      <c r="G4605" s="4" t="str">
        <f>HYPERLINK("http://141.218.60.56/~jnz1568/getInfo.php?workbook=16_08.xlsx&amp;sheet=U0&amp;row=4605&amp;col=7&amp;number=0.00149&amp;sourceID=14","0.00149")</f>
        <v>0.00149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HYPERLINK("http://141.218.60.56/~jnz1568/getInfo.php?workbook=16_08.xlsx&amp;sheet=U0&amp;row=4606&amp;col=6&amp;number=3.2&amp;sourceID=14","3.2")</f>
        <v>3.2</v>
      </c>
      <c r="G4606" s="4" t="str">
        <f>HYPERLINK("http://141.218.60.56/~jnz1568/getInfo.php?workbook=16_08.xlsx&amp;sheet=U0&amp;row=4606&amp;col=7&amp;number=0.00149&amp;sourceID=14","0.00149")</f>
        <v>0.00149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HYPERLINK("http://141.218.60.56/~jnz1568/getInfo.php?workbook=16_08.xlsx&amp;sheet=U0&amp;row=4607&amp;col=6&amp;number=3.3&amp;sourceID=14","3.3")</f>
        <v>3.3</v>
      </c>
      <c r="G4607" s="4" t="str">
        <f>HYPERLINK("http://141.218.60.56/~jnz1568/getInfo.php?workbook=16_08.xlsx&amp;sheet=U0&amp;row=4607&amp;col=7&amp;number=0.00149&amp;sourceID=14","0.00149")</f>
        <v>0.00149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HYPERLINK("http://141.218.60.56/~jnz1568/getInfo.php?workbook=16_08.xlsx&amp;sheet=U0&amp;row=4608&amp;col=6&amp;number=3.4&amp;sourceID=14","3.4")</f>
        <v>3.4</v>
      </c>
      <c r="G4608" s="4" t="str">
        <f>HYPERLINK("http://141.218.60.56/~jnz1568/getInfo.php?workbook=16_08.xlsx&amp;sheet=U0&amp;row=4608&amp;col=7&amp;number=0.00149&amp;sourceID=14","0.00149")</f>
        <v>0.00149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HYPERLINK("http://141.218.60.56/~jnz1568/getInfo.php?workbook=16_08.xlsx&amp;sheet=U0&amp;row=4609&amp;col=6&amp;number=3.5&amp;sourceID=14","3.5")</f>
        <v>3.5</v>
      </c>
      <c r="G4609" s="4" t="str">
        <f>HYPERLINK("http://141.218.60.56/~jnz1568/getInfo.php?workbook=16_08.xlsx&amp;sheet=U0&amp;row=4609&amp;col=7&amp;number=0.00149&amp;sourceID=14","0.00149")</f>
        <v>0.00149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HYPERLINK("http://141.218.60.56/~jnz1568/getInfo.php?workbook=16_08.xlsx&amp;sheet=U0&amp;row=4610&amp;col=6&amp;number=3.6&amp;sourceID=14","3.6")</f>
        <v>3.6</v>
      </c>
      <c r="G4610" s="4" t="str">
        <f>HYPERLINK("http://141.218.60.56/~jnz1568/getInfo.php?workbook=16_08.xlsx&amp;sheet=U0&amp;row=4610&amp;col=7&amp;number=0.00149&amp;sourceID=14","0.00149")</f>
        <v>0.00149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HYPERLINK("http://141.218.60.56/~jnz1568/getInfo.php?workbook=16_08.xlsx&amp;sheet=U0&amp;row=4611&amp;col=6&amp;number=3.7&amp;sourceID=14","3.7")</f>
        <v>3.7</v>
      </c>
      <c r="G4611" s="4" t="str">
        <f>HYPERLINK("http://141.218.60.56/~jnz1568/getInfo.php?workbook=16_08.xlsx&amp;sheet=U0&amp;row=4611&amp;col=7&amp;number=0.00149&amp;sourceID=14","0.00149")</f>
        <v>0.00149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HYPERLINK("http://141.218.60.56/~jnz1568/getInfo.php?workbook=16_08.xlsx&amp;sheet=U0&amp;row=4612&amp;col=6&amp;number=3.8&amp;sourceID=14","3.8")</f>
        <v>3.8</v>
      </c>
      <c r="G4612" s="4" t="str">
        <f>HYPERLINK("http://141.218.60.56/~jnz1568/getInfo.php?workbook=16_08.xlsx&amp;sheet=U0&amp;row=4612&amp;col=7&amp;number=0.00149&amp;sourceID=14","0.00149")</f>
        <v>0.00149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HYPERLINK("http://141.218.60.56/~jnz1568/getInfo.php?workbook=16_08.xlsx&amp;sheet=U0&amp;row=4613&amp;col=6&amp;number=3.9&amp;sourceID=14","3.9")</f>
        <v>3.9</v>
      </c>
      <c r="G4613" s="4" t="str">
        <f>HYPERLINK("http://141.218.60.56/~jnz1568/getInfo.php?workbook=16_08.xlsx&amp;sheet=U0&amp;row=4613&amp;col=7&amp;number=0.00149&amp;sourceID=14","0.00149")</f>
        <v>0.00149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HYPERLINK("http://141.218.60.56/~jnz1568/getInfo.php?workbook=16_08.xlsx&amp;sheet=U0&amp;row=4614&amp;col=6&amp;number=4&amp;sourceID=14","4")</f>
        <v>4</v>
      </c>
      <c r="G4614" s="4" t="str">
        <f>HYPERLINK("http://141.218.60.56/~jnz1568/getInfo.php?workbook=16_08.xlsx&amp;sheet=U0&amp;row=4614&amp;col=7&amp;number=0.00149&amp;sourceID=14","0.00149")</f>
        <v>0.00149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HYPERLINK("http://141.218.60.56/~jnz1568/getInfo.php?workbook=16_08.xlsx&amp;sheet=U0&amp;row=4615&amp;col=6&amp;number=4.1&amp;sourceID=14","4.1")</f>
        <v>4.1</v>
      </c>
      <c r="G4615" s="4" t="str">
        <f>HYPERLINK("http://141.218.60.56/~jnz1568/getInfo.php?workbook=16_08.xlsx&amp;sheet=U0&amp;row=4615&amp;col=7&amp;number=0.00149&amp;sourceID=14","0.00149")</f>
        <v>0.00149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HYPERLINK("http://141.218.60.56/~jnz1568/getInfo.php?workbook=16_08.xlsx&amp;sheet=U0&amp;row=4616&amp;col=6&amp;number=4.2&amp;sourceID=14","4.2")</f>
        <v>4.2</v>
      </c>
      <c r="G4616" s="4" t="str">
        <f>HYPERLINK("http://141.218.60.56/~jnz1568/getInfo.php?workbook=16_08.xlsx&amp;sheet=U0&amp;row=4616&amp;col=7&amp;number=0.00149&amp;sourceID=14","0.00149")</f>
        <v>0.00149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HYPERLINK("http://141.218.60.56/~jnz1568/getInfo.php?workbook=16_08.xlsx&amp;sheet=U0&amp;row=4617&amp;col=6&amp;number=4.3&amp;sourceID=14","4.3")</f>
        <v>4.3</v>
      </c>
      <c r="G4617" s="4" t="str">
        <f>HYPERLINK("http://141.218.60.56/~jnz1568/getInfo.php?workbook=16_08.xlsx&amp;sheet=U0&amp;row=4617&amp;col=7&amp;number=0.00148&amp;sourceID=14","0.00148")</f>
        <v>0.00148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HYPERLINK("http://141.218.60.56/~jnz1568/getInfo.php?workbook=16_08.xlsx&amp;sheet=U0&amp;row=4618&amp;col=6&amp;number=4.4&amp;sourceID=14","4.4")</f>
        <v>4.4</v>
      </c>
      <c r="G4618" s="4" t="str">
        <f>HYPERLINK("http://141.218.60.56/~jnz1568/getInfo.php?workbook=16_08.xlsx&amp;sheet=U0&amp;row=4618&amp;col=7&amp;number=0.00148&amp;sourceID=14","0.00148")</f>
        <v>0.00148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HYPERLINK("http://141.218.60.56/~jnz1568/getInfo.php?workbook=16_08.xlsx&amp;sheet=U0&amp;row=4619&amp;col=6&amp;number=4.5&amp;sourceID=14","4.5")</f>
        <v>4.5</v>
      </c>
      <c r="G4619" s="4" t="str">
        <f>HYPERLINK("http://141.218.60.56/~jnz1568/getInfo.php?workbook=16_08.xlsx&amp;sheet=U0&amp;row=4619&amp;col=7&amp;number=0.00148&amp;sourceID=14","0.00148")</f>
        <v>0.00148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HYPERLINK("http://141.218.60.56/~jnz1568/getInfo.php?workbook=16_08.xlsx&amp;sheet=U0&amp;row=4620&amp;col=6&amp;number=4.6&amp;sourceID=14","4.6")</f>
        <v>4.6</v>
      </c>
      <c r="G4620" s="4" t="str">
        <f>HYPERLINK("http://141.218.60.56/~jnz1568/getInfo.php?workbook=16_08.xlsx&amp;sheet=U0&amp;row=4620&amp;col=7&amp;number=0.00148&amp;sourceID=14","0.00148")</f>
        <v>0.00148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HYPERLINK("http://141.218.60.56/~jnz1568/getInfo.php?workbook=16_08.xlsx&amp;sheet=U0&amp;row=4621&amp;col=6&amp;number=4.7&amp;sourceID=14","4.7")</f>
        <v>4.7</v>
      </c>
      <c r="G4621" s="4" t="str">
        <f>HYPERLINK("http://141.218.60.56/~jnz1568/getInfo.php?workbook=16_08.xlsx&amp;sheet=U0&amp;row=4621&amp;col=7&amp;number=0.00147&amp;sourceID=14","0.00147")</f>
        <v>0.00147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HYPERLINK("http://141.218.60.56/~jnz1568/getInfo.php?workbook=16_08.xlsx&amp;sheet=U0&amp;row=4622&amp;col=6&amp;number=4.8&amp;sourceID=14","4.8")</f>
        <v>4.8</v>
      </c>
      <c r="G4622" s="4" t="str">
        <f>HYPERLINK("http://141.218.60.56/~jnz1568/getInfo.php?workbook=16_08.xlsx&amp;sheet=U0&amp;row=4622&amp;col=7&amp;number=0.00147&amp;sourceID=14","0.00147")</f>
        <v>0.00147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HYPERLINK("http://141.218.60.56/~jnz1568/getInfo.php?workbook=16_08.xlsx&amp;sheet=U0&amp;row=4623&amp;col=6&amp;number=4.9&amp;sourceID=14","4.9")</f>
        <v>4.9</v>
      </c>
      <c r="G4623" s="4" t="str">
        <f>HYPERLINK("http://141.218.60.56/~jnz1568/getInfo.php?workbook=16_08.xlsx&amp;sheet=U0&amp;row=4623&amp;col=7&amp;number=0.00146&amp;sourceID=14","0.00146")</f>
        <v>0.00146</v>
      </c>
    </row>
    <row r="4624" spans="1:7">
      <c r="A4624" s="3">
        <v>16</v>
      </c>
      <c r="B4624" s="3">
        <v>8</v>
      </c>
      <c r="C4624" s="3">
        <v>3</v>
      </c>
      <c r="D4624" s="3">
        <v>66</v>
      </c>
      <c r="E4624" s="3">
        <v>1</v>
      </c>
      <c r="F4624" s="4" t="str">
        <f>HYPERLINK("http://141.218.60.56/~jnz1568/getInfo.php?workbook=16_08.xlsx&amp;sheet=U0&amp;row=4624&amp;col=6&amp;number=3&amp;sourceID=14","3")</f>
        <v>3</v>
      </c>
      <c r="G4624" s="4" t="str">
        <f>HYPERLINK("http://141.218.60.56/~jnz1568/getInfo.php?workbook=16_08.xlsx&amp;sheet=U0&amp;row=4624&amp;col=7&amp;number=0.000355&amp;sourceID=14","0.000355")</f>
        <v>0.000355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HYPERLINK("http://141.218.60.56/~jnz1568/getInfo.php?workbook=16_08.xlsx&amp;sheet=U0&amp;row=4625&amp;col=6&amp;number=3.1&amp;sourceID=14","3.1")</f>
        <v>3.1</v>
      </c>
      <c r="G4625" s="4" t="str">
        <f>HYPERLINK("http://141.218.60.56/~jnz1568/getInfo.php?workbook=16_08.xlsx&amp;sheet=U0&amp;row=4625&amp;col=7&amp;number=0.000355&amp;sourceID=14","0.000355")</f>
        <v>0.000355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HYPERLINK("http://141.218.60.56/~jnz1568/getInfo.php?workbook=16_08.xlsx&amp;sheet=U0&amp;row=4626&amp;col=6&amp;number=3.2&amp;sourceID=14","3.2")</f>
        <v>3.2</v>
      </c>
      <c r="G4626" s="4" t="str">
        <f>HYPERLINK("http://141.218.60.56/~jnz1568/getInfo.php?workbook=16_08.xlsx&amp;sheet=U0&amp;row=4626&amp;col=7&amp;number=0.000355&amp;sourceID=14","0.000355")</f>
        <v>0.000355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HYPERLINK("http://141.218.60.56/~jnz1568/getInfo.php?workbook=16_08.xlsx&amp;sheet=U0&amp;row=4627&amp;col=6&amp;number=3.3&amp;sourceID=14","3.3")</f>
        <v>3.3</v>
      </c>
      <c r="G4627" s="4" t="str">
        <f>HYPERLINK("http://141.218.60.56/~jnz1568/getInfo.php?workbook=16_08.xlsx&amp;sheet=U0&amp;row=4627&amp;col=7&amp;number=0.000355&amp;sourceID=14","0.000355")</f>
        <v>0.000355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HYPERLINK("http://141.218.60.56/~jnz1568/getInfo.php?workbook=16_08.xlsx&amp;sheet=U0&amp;row=4628&amp;col=6&amp;number=3.4&amp;sourceID=14","3.4")</f>
        <v>3.4</v>
      </c>
      <c r="G4628" s="4" t="str">
        <f>HYPERLINK("http://141.218.60.56/~jnz1568/getInfo.php?workbook=16_08.xlsx&amp;sheet=U0&amp;row=4628&amp;col=7&amp;number=0.000355&amp;sourceID=14","0.000355")</f>
        <v>0.000355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HYPERLINK("http://141.218.60.56/~jnz1568/getInfo.php?workbook=16_08.xlsx&amp;sheet=U0&amp;row=4629&amp;col=6&amp;number=3.5&amp;sourceID=14","3.5")</f>
        <v>3.5</v>
      </c>
      <c r="G4629" s="4" t="str">
        <f>HYPERLINK("http://141.218.60.56/~jnz1568/getInfo.php?workbook=16_08.xlsx&amp;sheet=U0&amp;row=4629&amp;col=7&amp;number=0.000354&amp;sourceID=14","0.000354")</f>
        <v>0.000354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HYPERLINK("http://141.218.60.56/~jnz1568/getInfo.php?workbook=16_08.xlsx&amp;sheet=U0&amp;row=4630&amp;col=6&amp;number=3.6&amp;sourceID=14","3.6")</f>
        <v>3.6</v>
      </c>
      <c r="G4630" s="4" t="str">
        <f>HYPERLINK("http://141.218.60.56/~jnz1568/getInfo.php?workbook=16_08.xlsx&amp;sheet=U0&amp;row=4630&amp;col=7&amp;number=0.000354&amp;sourceID=14","0.000354")</f>
        <v>0.000354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HYPERLINK("http://141.218.60.56/~jnz1568/getInfo.php?workbook=16_08.xlsx&amp;sheet=U0&amp;row=4631&amp;col=6&amp;number=3.7&amp;sourceID=14","3.7")</f>
        <v>3.7</v>
      </c>
      <c r="G4631" s="4" t="str">
        <f>HYPERLINK("http://141.218.60.56/~jnz1568/getInfo.php?workbook=16_08.xlsx&amp;sheet=U0&amp;row=4631&amp;col=7&amp;number=0.000354&amp;sourceID=14","0.000354")</f>
        <v>0.000354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HYPERLINK("http://141.218.60.56/~jnz1568/getInfo.php?workbook=16_08.xlsx&amp;sheet=U0&amp;row=4632&amp;col=6&amp;number=3.8&amp;sourceID=14","3.8")</f>
        <v>3.8</v>
      </c>
      <c r="G4632" s="4" t="str">
        <f>HYPERLINK("http://141.218.60.56/~jnz1568/getInfo.php?workbook=16_08.xlsx&amp;sheet=U0&amp;row=4632&amp;col=7&amp;number=0.000354&amp;sourceID=14","0.000354")</f>
        <v>0.000354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HYPERLINK("http://141.218.60.56/~jnz1568/getInfo.php?workbook=16_08.xlsx&amp;sheet=U0&amp;row=4633&amp;col=6&amp;number=3.9&amp;sourceID=14","3.9")</f>
        <v>3.9</v>
      </c>
      <c r="G4633" s="4" t="str">
        <f>HYPERLINK("http://141.218.60.56/~jnz1568/getInfo.php?workbook=16_08.xlsx&amp;sheet=U0&amp;row=4633&amp;col=7&amp;number=0.000354&amp;sourceID=14","0.000354")</f>
        <v>0.000354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HYPERLINK("http://141.218.60.56/~jnz1568/getInfo.php?workbook=16_08.xlsx&amp;sheet=U0&amp;row=4634&amp;col=6&amp;number=4&amp;sourceID=14","4")</f>
        <v>4</v>
      </c>
      <c r="G4634" s="4" t="str">
        <f>HYPERLINK("http://141.218.60.56/~jnz1568/getInfo.php?workbook=16_08.xlsx&amp;sheet=U0&amp;row=4634&amp;col=7&amp;number=0.000354&amp;sourceID=14","0.000354")</f>
        <v>0.000354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HYPERLINK("http://141.218.60.56/~jnz1568/getInfo.php?workbook=16_08.xlsx&amp;sheet=U0&amp;row=4635&amp;col=6&amp;number=4.1&amp;sourceID=14","4.1")</f>
        <v>4.1</v>
      </c>
      <c r="G4635" s="4" t="str">
        <f>HYPERLINK("http://141.218.60.56/~jnz1568/getInfo.php?workbook=16_08.xlsx&amp;sheet=U0&amp;row=4635&amp;col=7&amp;number=0.000353&amp;sourceID=14","0.000353")</f>
        <v>0.000353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HYPERLINK("http://141.218.60.56/~jnz1568/getInfo.php?workbook=16_08.xlsx&amp;sheet=U0&amp;row=4636&amp;col=6&amp;number=4.2&amp;sourceID=14","4.2")</f>
        <v>4.2</v>
      </c>
      <c r="G4636" s="4" t="str">
        <f>HYPERLINK("http://141.218.60.56/~jnz1568/getInfo.php?workbook=16_08.xlsx&amp;sheet=U0&amp;row=4636&amp;col=7&amp;number=0.000353&amp;sourceID=14","0.000353")</f>
        <v>0.000353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HYPERLINK("http://141.218.60.56/~jnz1568/getInfo.php?workbook=16_08.xlsx&amp;sheet=U0&amp;row=4637&amp;col=6&amp;number=4.3&amp;sourceID=14","4.3")</f>
        <v>4.3</v>
      </c>
      <c r="G4637" s="4" t="str">
        <f>HYPERLINK("http://141.218.60.56/~jnz1568/getInfo.php?workbook=16_08.xlsx&amp;sheet=U0&amp;row=4637&amp;col=7&amp;number=0.000352&amp;sourceID=14","0.000352")</f>
        <v>0.000352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HYPERLINK("http://141.218.60.56/~jnz1568/getInfo.php?workbook=16_08.xlsx&amp;sheet=U0&amp;row=4638&amp;col=6&amp;number=4.4&amp;sourceID=14","4.4")</f>
        <v>4.4</v>
      </c>
      <c r="G4638" s="4" t="str">
        <f>HYPERLINK("http://141.218.60.56/~jnz1568/getInfo.php?workbook=16_08.xlsx&amp;sheet=U0&amp;row=4638&amp;col=7&amp;number=0.000352&amp;sourceID=14","0.000352")</f>
        <v>0.000352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HYPERLINK("http://141.218.60.56/~jnz1568/getInfo.php?workbook=16_08.xlsx&amp;sheet=U0&amp;row=4639&amp;col=6&amp;number=4.5&amp;sourceID=14","4.5")</f>
        <v>4.5</v>
      </c>
      <c r="G4639" s="4" t="str">
        <f>HYPERLINK("http://141.218.60.56/~jnz1568/getInfo.php?workbook=16_08.xlsx&amp;sheet=U0&amp;row=4639&amp;col=7&amp;number=0.000351&amp;sourceID=14","0.000351")</f>
        <v>0.000351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HYPERLINK("http://141.218.60.56/~jnz1568/getInfo.php?workbook=16_08.xlsx&amp;sheet=U0&amp;row=4640&amp;col=6&amp;number=4.6&amp;sourceID=14","4.6")</f>
        <v>4.6</v>
      </c>
      <c r="G4640" s="4" t="str">
        <f>HYPERLINK("http://141.218.60.56/~jnz1568/getInfo.php?workbook=16_08.xlsx&amp;sheet=U0&amp;row=4640&amp;col=7&amp;number=0.00035&amp;sourceID=14","0.00035")</f>
        <v>0.00035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HYPERLINK("http://141.218.60.56/~jnz1568/getInfo.php?workbook=16_08.xlsx&amp;sheet=U0&amp;row=4641&amp;col=6&amp;number=4.7&amp;sourceID=14","4.7")</f>
        <v>4.7</v>
      </c>
      <c r="G4641" s="4" t="str">
        <f>HYPERLINK("http://141.218.60.56/~jnz1568/getInfo.php?workbook=16_08.xlsx&amp;sheet=U0&amp;row=4641&amp;col=7&amp;number=0.000349&amp;sourceID=14","0.000349")</f>
        <v>0.000349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HYPERLINK("http://141.218.60.56/~jnz1568/getInfo.php?workbook=16_08.xlsx&amp;sheet=U0&amp;row=4642&amp;col=6&amp;number=4.8&amp;sourceID=14","4.8")</f>
        <v>4.8</v>
      </c>
      <c r="G4642" s="4" t="str">
        <f>HYPERLINK("http://141.218.60.56/~jnz1568/getInfo.php?workbook=16_08.xlsx&amp;sheet=U0&amp;row=4642&amp;col=7&amp;number=0.000347&amp;sourceID=14","0.000347")</f>
        <v>0.000347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HYPERLINK("http://141.218.60.56/~jnz1568/getInfo.php?workbook=16_08.xlsx&amp;sheet=U0&amp;row=4643&amp;col=6&amp;number=4.9&amp;sourceID=14","4.9")</f>
        <v>4.9</v>
      </c>
      <c r="G4643" s="4" t="str">
        <f>HYPERLINK("http://141.218.60.56/~jnz1568/getInfo.php?workbook=16_08.xlsx&amp;sheet=U0&amp;row=4643&amp;col=7&amp;number=0.000345&amp;sourceID=14","0.000345")</f>
        <v>0.000345</v>
      </c>
    </row>
    <row r="4644" spans="1:7">
      <c r="A4644" s="3">
        <v>16</v>
      </c>
      <c r="B4644" s="3">
        <v>8</v>
      </c>
      <c r="C4644" s="3">
        <v>3</v>
      </c>
      <c r="D4644" s="3">
        <v>67</v>
      </c>
      <c r="E4644" s="3">
        <v>1</v>
      </c>
      <c r="F4644" s="4" t="str">
        <f>HYPERLINK("http://141.218.60.56/~jnz1568/getInfo.php?workbook=16_08.xlsx&amp;sheet=U0&amp;row=4644&amp;col=6&amp;number=3&amp;sourceID=14","3")</f>
        <v>3</v>
      </c>
      <c r="G4644" s="4" t="str">
        <f>HYPERLINK("http://141.218.60.56/~jnz1568/getInfo.php?workbook=16_08.xlsx&amp;sheet=U0&amp;row=4644&amp;col=7&amp;number=0.00133&amp;sourceID=14","0.00133")</f>
        <v>0.00133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HYPERLINK("http://141.218.60.56/~jnz1568/getInfo.php?workbook=16_08.xlsx&amp;sheet=U0&amp;row=4645&amp;col=6&amp;number=3.1&amp;sourceID=14","3.1")</f>
        <v>3.1</v>
      </c>
      <c r="G4645" s="4" t="str">
        <f>HYPERLINK("http://141.218.60.56/~jnz1568/getInfo.php?workbook=16_08.xlsx&amp;sheet=U0&amp;row=4645&amp;col=7&amp;number=0.00133&amp;sourceID=14","0.00133")</f>
        <v>0.00133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HYPERLINK("http://141.218.60.56/~jnz1568/getInfo.php?workbook=16_08.xlsx&amp;sheet=U0&amp;row=4646&amp;col=6&amp;number=3.2&amp;sourceID=14","3.2")</f>
        <v>3.2</v>
      </c>
      <c r="G4646" s="4" t="str">
        <f>HYPERLINK("http://141.218.60.56/~jnz1568/getInfo.php?workbook=16_08.xlsx&amp;sheet=U0&amp;row=4646&amp;col=7&amp;number=0.00133&amp;sourceID=14","0.00133")</f>
        <v>0.00133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HYPERLINK("http://141.218.60.56/~jnz1568/getInfo.php?workbook=16_08.xlsx&amp;sheet=U0&amp;row=4647&amp;col=6&amp;number=3.3&amp;sourceID=14","3.3")</f>
        <v>3.3</v>
      </c>
      <c r="G4647" s="4" t="str">
        <f>HYPERLINK("http://141.218.60.56/~jnz1568/getInfo.php?workbook=16_08.xlsx&amp;sheet=U0&amp;row=4647&amp;col=7&amp;number=0.00133&amp;sourceID=14","0.00133")</f>
        <v>0.00133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HYPERLINK("http://141.218.60.56/~jnz1568/getInfo.php?workbook=16_08.xlsx&amp;sheet=U0&amp;row=4648&amp;col=6&amp;number=3.4&amp;sourceID=14","3.4")</f>
        <v>3.4</v>
      </c>
      <c r="G4648" s="4" t="str">
        <f>HYPERLINK("http://141.218.60.56/~jnz1568/getInfo.php?workbook=16_08.xlsx&amp;sheet=U0&amp;row=4648&amp;col=7&amp;number=0.00133&amp;sourceID=14","0.00133")</f>
        <v>0.00133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HYPERLINK("http://141.218.60.56/~jnz1568/getInfo.php?workbook=16_08.xlsx&amp;sheet=U0&amp;row=4649&amp;col=6&amp;number=3.5&amp;sourceID=14","3.5")</f>
        <v>3.5</v>
      </c>
      <c r="G4649" s="4" t="str">
        <f>HYPERLINK("http://141.218.60.56/~jnz1568/getInfo.php?workbook=16_08.xlsx&amp;sheet=U0&amp;row=4649&amp;col=7&amp;number=0.00133&amp;sourceID=14","0.00133")</f>
        <v>0.00133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HYPERLINK("http://141.218.60.56/~jnz1568/getInfo.php?workbook=16_08.xlsx&amp;sheet=U0&amp;row=4650&amp;col=6&amp;number=3.6&amp;sourceID=14","3.6")</f>
        <v>3.6</v>
      </c>
      <c r="G4650" s="4" t="str">
        <f>HYPERLINK("http://141.218.60.56/~jnz1568/getInfo.php?workbook=16_08.xlsx&amp;sheet=U0&amp;row=4650&amp;col=7&amp;number=0.00133&amp;sourceID=14","0.00133")</f>
        <v>0.00133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HYPERLINK("http://141.218.60.56/~jnz1568/getInfo.php?workbook=16_08.xlsx&amp;sheet=U0&amp;row=4651&amp;col=6&amp;number=3.7&amp;sourceID=14","3.7")</f>
        <v>3.7</v>
      </c>
      <c r="G4651" s="4" t="str">
        <f>HYPERLINK("http://141.218.60.56/~jnz1568/getInfo.php?workbook=16_08.xlsx&amp;sheet=U0&amp;row=4651&amp;col=7&amp;number=0.00133&amp;sourceID=14","0.00133")</f>
        <v>0.00133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HYPERLINK("http://141.218.60.56/~jnz1568/getInfo.php?workbook=16_08.xlsx&amp;sheet=U0&amp;row=4652&amp;col=6&amp;number=3.8&amp;sourceID=14","3.8")</f>
        <v>3.8</v>
      </c>
      <c r="G4652" s="4" t="str">
        <f>HYPERLINK("http://141.218.60.56/~jnz1568/getInfo.php?workbook=16_08.xlsx&amp;sheet=U0&amp;row=4652&amp;col=7&amp;number=0.00133&amp;sourceID=14","0.00133")</f>
        <v>0.00133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HYPERLINK("http://141.218.60.56/~jnz1568/getInfo.php?workbook=16_08.xlsx&amp;sheet=U0&amp;row=4653&amp;col=6&amp;number=3.9&amp;sourceID=14","3.9")</f>
        <v>3.9</v>
      </c>
      <c r="G4653" s="4" t="str">
        <f>HYPERLINK("http://141.218.60.56/~jnz1568/getInfo.php?workbook=16_08.xlsx&amp;sheet=U0&amp;row=4653&amp;col=7&amp;number=0.00133&amp;sourceID=14","0.00133")</f>
        <v>0.00133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HYPERLINK("http://141.218.60.56/~jnz1568/getInfo.php?workbook=16_08.xlsx&amp;sheet=U0&amp;row=4654&amp;col=6&amp;number=4&amp;sourceID=14","4")</f>
        <v>4</v>
      </c>
      <c r="G4654" s="4" t="str">
        <f>HYPERLINK("http://141.218.60.56/~jnz1568/getInfo.php?workbook=16_08.xlsx&amp;sheet=U0&amp;row=4654&amp;col=7&amp;number=0.00133&amp;sourceID=14","0.00133")</f>
        <v>0.00133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HYPERLINK("http://141.218.60.56/~jnz1568/getInfo.php?workbook=16_08.xlsx&amp;sheet=U0&amp;row=4655&amp;col=6&amp;number=4.1&amp;sourceID=14","4.1")</f>
        <v>4.1</v>
      </c>
      <c r="G4655" s="4" t="str">
        <f>HYPERLINK("http://141.218.60.56/~jnz1568/getInfo.php?workbook=16_08.xlsx&amp;sheet=U0&amp;row=4655&amp;col=7&amp;number=0.00133&amp;sourceID=14","0.00133")</f>
        <v>0.00133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HYPERLINK("http://141.218.60.56/~jnz1568/getInfo.php?workbook=16_08.xlsx&amp;sheet=U0&amp;row=4656&amp;col=6&amp;number=4.2&amp;sourceID=14","4.2")</f>
        <v>4.2</v>
      </c>
      <c r="G4656" s="4" t="str">
        <f>HYPERLINK("http://141.218.60.56/~jnz1568/getInfo.php?workbook=16_08.xlsx&amp;sheet=U0&amp;row=4656&amp;col=7&amp;number=0.00133&amp;sourceID=14","0.00133")</f>
        <v>0.00133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HYPERLINK("http://141.218.60.56/~jnz1568/getInfo.php?workbook=16_08.xlsx&amp;sheet=U0&amp;row=4657&amp;col=6&amp;number=4.3&amp;sourceID=14","4.3")</f>
        <v>4.3</v>
      </c>
      <c r="G4657" s="4" t="str">
        <f>HYPERLINK("http://141.218.60.56/~jnz1568/getInfo.php?workbook=16_08.xlsx&amp;sheet=U0&amp;row=4657&amp;col=7&amp;number=0.00133&amp;sourceID=14","0.00133")</f>
        <v>0.00133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HYPERLINK("http://141.218.60.56/~jnz1568/getInfo.php?workbook=16_08.xlsx&amp;sheet=U0&amp;row=4658&amp;col=6&amp;number=4.4&amp;sourceID=14","4.4")</f>
        <v>4.4</v>
      </c>
      <c r="G4658" s="4" t="str">
        <f>HYPERLINK("http://141.218.60.56/~jnz1568/getInfo.php?workbook=16_08.xlsx&amp;sheet=U0&amp;row=4658&amp;col=7&amp;number=0.00133&amp;sourceID=14","0.00133")</f>
        <v>0.00133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HYPERLINK("http://141.218.60.56/~jnz1568/getInfo.php?workbook=16_08.xlsx&amp;sheet=U0&amp;row=4659&amp;col=6&amp;number=4.5&amp;sourceID=14","4.5")</f>
        <v>4.5</v>
      </c>
      <c r="G4659" s="4" t="str">
        <f>HYPERLINK("http://141.218.60.56/~jnz1568/getInfo.php?workbook=16_08.xlsx&amp;sheet=U0&amp;row=4659&amp;col=7&amp;number=0.00133&amp;sourceID=14","0.00133")</f>
        <v>0.00133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HYPERLINK("http://141.218.60.56/~jnz1568/getInfo.php?workbook=16_08.xlsx&amp;sheet=U0&amp;row=4660&amp;col=6&amp;number=4.6&amp;sourceID=14","4.6")</f>
        <v>4.6</v>
      </c>
      <c r="G4660" s="4" t="str">
        <f>HYPERLINK("http://141.218.60.56/~jnz1568/getInfo.php?workbook=16_08.xlsx&amp;sheet=U0&amp;row=4660&amp;col=7&amp;number=0.00133&amp;sourceID=14","0.00133")</f>
        <v>0.00133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HYPERLINK("http://141.218.60.56/~jnz1568/getInfo.php?workbook=16_08.xlsx&amp;sheet=U0&amp;row=4661&amp;col=6&amp;number=4.7&amp;sourceID=14","4.7")</f>
        <v>4.7</v>
      </c>
      <c r="G4661" s="4" t="str">
        <f>HYPERLINK("http://141.218.60.56/~jnz1568/getInfo.php?workbook=16_08.xlsx&amp;sheet=U0&amp;row=4661&amp;col=7&amp;number=0.00133&amp;sourceID=14","0.00133")</f>
        <v>0.00133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HYPERLINK("http://141.218.60.56/~jnz1568/getInfo.php?workbook=16_08.xlsx&amp;sheet=U0&amp;row=4662&amp;col=6&amp;number=4.8&amp;sourceID=14","4.8")</f>
        <v>4.8</v>
      </c>
      <c r="G4662" s="4" t="str">
        <f>HYPERLINK("http://141.218.60.56/~jnz1568/getInfo.php?workbook=16_08.xlsx&amp;sheet=U0&amp;row=4662&amp;col=7&amp;number=0.00133&amp;sourceID=14","0.00133")</f>
        <v>0.00133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HYPERLINK("http://141.218.60.56/~jnz1568/getInfo.php?workbook=16_08.xlsx&amp;sheet=U0&amp;row=4663&amp;col=6&amp;number=4.9&amp;sourceID=14","4.9")</f>
        <v>4.9</v>
      </c>
      <c r="G4663" s="4" t="str">
        <f>HYPERLINK("http://141.218.60.56/~jnz1568/getInfo.php?workbook=16_08.xlsx&amp;sheet=U0&amp;row=4663&amp;col=7&amp;number=0.00133&amp;sourceID=14","0.00133")</f>
        <v>0.00133</v>
      </c>
    </row>
    <row r="4664" spans="1:7">
      <c r="A4664" s="3">
        <v>16</v>
      </c>
      <c r="B4664" s="3">
        <v>8</v>
      </c>
      <c r="C4664" s="3">
        <v>3</v>
      </c>
      <c r="D4664" s="3">
        <v>68</v>
      </c>
      <c r="E4664" s="3">
        <v>1</v>
      </c>
      <c r="F4664" s="4" t="str">
        <f>HYPERLINK("http://141.218.60.56/~jnz1568/getInfo.php?workbook=16_08.xlsx&amp;sheet=U0&amp;row=4664&amp;col=6&amp;number=3&amp;sourceID=14","3")</f>
        <v>3</v>
      </c>
      <c r="G4664" s="4" t="str">
        <f>HYPERLINK("http://141.218.60.56/~jnz1568/getInfo.php?workbook=16_08.xlsx&amp;sheet=U0&amp;row=4664&amp;col=7&amp;number=0.00863&amp;sourceID=14","0.00863")</f>
        <v>0.00863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HYPERLINK("http://141.218.60.56/~jnz1568/getInfo.php?workbook=16_08.xlsx&amp;sheet=U0&amp;row=4665&amp;col=6&amp;number=3.1&amp;sourceID=14","3.1")</f>
        <v>3.1</v>
      </c>
      <c r="G4665" s="4" t="str">
        <f>HYPERLINK("http://141.218.60.56/~jnz1568/getInfo.php?workbook=16_08.xlsx&amp;sheet=U0&amp;row=4665&amp;col=7&amp;number=0.00863&amp;sourceID=14","0.00863")</f>
        <v>0.00863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HYPERLINK("http://141.218.60.56/~jnz1568/getInfo.php?workbook=16_08.xlsx&amp;sheet=U0&amp;row=4666&amp;col=6&amp;number=3.2&amp;sourceID=14","3.2")</f>
        <v>3.2</v>
      </c>
      <c r="G4666" s="4" t="str">
        <f>HYPERLINK("http://141.218.60.56/~jnz1568/getInfo.php?workbook=16_08.xlsx&amp;sheet=U0&amp;row=4666&amp;col=7&amp;number=0.00863&amp;sourceID=14","0.00863")</f>
        <v>0.00863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HYPERLINK("http://141.218.60.56/~jnz1568/getInfo.php?workbook=16_08.xlsx&amp;sheet=U0&amp;row=4667&amp;col=6&amp;number=3.3&amp;sourceID=14","3.3")</f>
        <v>3.3</v>
      </c>
      <c r="G4667" s="4" t="str">
        <f>HYPERLINK("http://141.218.60.56/~jnz1568/getInfo.php?workbook=16_08.xlsx&amp;sheet=U0&amp;row=4667&amp;col=7&amp;number=0.00863&amp;sourceID=14","0.00863")</f>
        <v>0.00863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HYPERLINK("http://141.218.60.56/~jnz1568/getInfo.php?workbook=16_08.xlsx&amp;sheet=U0&amp;row=4668&amp;col=6&amp;number=3.4&amp;sourceID=14","3.4")</f>
        <v>3.4</v>
      </c>
      <c r="G4668" s="4" t="str">
        <f>HYPERLINK("http://141.218.60.56/~jnz1568/getInfo.php?workbook=16_08.xlsx&amp;sheet=U0&amp;row=4668&amp;col=7&amp;number=0.00864&amp;sourceID=14","0.00864")</f>
        <v>0.00864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HYPERLINK("http://141.218.60.56/~jnz1568/getInfo.php?workbook=16_08.xlsx&amp;sheet=U0&amp;row=4669&amp;col=6&amp;number=3.5&amp;sourceID=14","3.5")</f>
        <v>3.5</v>
      </c>
      <c r="G4669" s="4" t="str">
        <f>HYPERLINK("http://141.218.60.56/~jnz1568/getInfo.php?workbook=16_08.xlsx&amp;sheet=U0&amp;row=4669&amp;col=7&amp;number=0.00864&amp;sourceID=14","0.00864")</f>
        <v>0.00864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HYPERLINK("http://141.218.60.56/~jnz1568/getInfo.php?workbook=16_08.xlsx&amp;sheet=U0&amp;row=4670&amp;col=6&amp;number=3.6&amp;sourceID=14","3.6")</f>
        <v>3.6</v>
      </c>
      <c r="G4670" s="4" t="str">
        <f>HYPERLINK("http://141.218.60.56/~jnz1568/getInfo.php?workbook=16_08.xlsx&amp;sheet=U0&amp;row=4670&amp;col=7&amp;number=0.00864&amp;sourceID=14","0.00864")</f>
        <v>0.00864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HYPERLINK("http://141.218.60.56/~jnz1568/getInfo.php?workbook=16_08.xlsx&amp;sheet=U0&amp;row=4671&amp;col=6&amp;number=3.7&amp;sourceID=14","3.7")</f>
        <v>3.7</v>
      </c>
      <c r="G4671" s="4" t="str">
        <f>HYPERLINK("http://141.218.60.56/~jnz1568/getInfo.php?workbook=16_08.xlsx&amp;sheet=U0&amp;row=4671&amp;col=7&amp;number=0.00865&amp;sourceID=14","0.00865")</f>
        <v>0.00865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HYPERLINK("http://141.218.60.56/~jnz1568/getInfo.php?workbook=16_08.xlsx&amp;sheet=U0&amp;row=4672&amp;col=6&amp;number=3.8&amp;sourceID=14","3.8")</f>
        <v>3.8</v>
      </c>
      <c r="G4672" s="4" t="str">
        <f>HYPERLINK("http://141.218.60.56/~jnz1568/getInfo.php?workbook=16_08.xlsx&amp;sheet=U0&amp;row=4672&amp;col=7&amp;number=0.00865&amp;sourceID=14","0.00865")</f>
        <v>0.00865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HYPERLINK("http://141.218.60.56/~jnz1568/getInfo.php?workbook=16_08.xlsx&amp;sheet=U0&amp;row=4673&amp;col=6&amp;number=3.9&amp;sourceID=14","3.9")</f>
        <v>3.9</v>
      </c>
      <c r="G4673" s="4" t="str">
        <f>HYPERLINK("http://141.218.60.56/~jnz1568/getInfo.php?workbook=16_08.xlsx&amp;sheet=U0&amp;row=4673&amp;col=7&amp;number=0.00866&amp;sourceID=14","0.00866")</f>
        <v>0.00866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HYPERLINK("http://141.218.60.56/~jnz1568/getInfo.php?workbook=16_08.xlsx&amp;sheet=U0&amp;row=4674&amp;col=6&amp;number=4&amp;sourceID=14","4")</f>
        <v>4</v>
      </c>
      <c r="G4674" s="4" t="str">
        <f>HYPERLINK("http://141.218.60.56/~jnz1568/getInfo.php?workbook=16_08.xlsx&amp;sheet=U0&amp;row=4674&amp;col=7&amp;number=0.00867&amp;sourceID=14","0.00867")</f>
        <v>0.00867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HYPERLINK("http://141.218.60.56/~jnz1568/getInfo.php?workbook=16_08.xlsx&amp;sheet=U0&amp;row=4675&amp;col=6&amp;number=4.1&amp;sourceID=14","4.1")</f>
        <v>4.1</v>
      </c>
      <c r="G4675" s="4" t="str">
        <f>HYPERLINK("http://141.218.60.56/~jnz1568/getInfo.php?workbook=16_08.xlsx&amp;sheet=U0&amp;row=4675&amp;col=7&amp;number=0.00868&amp;sourceID=14","0.00868")</f>
        <v>0.00868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HYPERLINK("http://141.218.60.56/~jnz1568/getInfo.php?workbook=16_08.xlsx&amp;sheet=U0&amp;row=4676&amp;col=6&amp;number=4.2&amp;sourceID=14","4.2")</f>
        <v>4.2</v>
      </c>
      <c r="G4676" s="4" t="str">
        <f>HYPERLINK("http://141.218.60.56/~jnz1568/getInfo.php?workbook=16_08.xlsx&amp;sheet=U0&amp;row=4676&amp;col=7&amp;number=0.00869&amp;sourceID=14","0.00869")</f>
        <v>0.00869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HYPERLINK("http://141.218.60.56/~jnz1568/getInfo.php?workbook=16_08.xlsx&amp;sheet=U0&amp;row=4677&amp;col=6&amp;number=4.3&amp;sourceID=14","4.3")</f>
        <v>4.3</v>
      </c>
      <c r="G4677" s="4" t="str">
        <f>HYPERLINK("http://141.218.60.56/~jnz1568/getInfo.php?workbook=16_08.xlsx&amp;sheet=U0&amp;row=4677&amp;col=7&amp;number=0.0087&amp;sourceID=14","0.0087")</f>
        <v>0.0087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HYPERLINK("http://141.218.60.56/~jnz1568/getInfo.php?workbook=16_08.xlsx&amp;sheet=U0&amp;row=4678&amp;col=6&amp;number=4.4&amp;sourceID=14","4.4")</f>
        <v>4.4</v>
      </c>
      <c r="G4678" s="4" t="str">
        <f>HYPERLINK("http://141.218.60.56/~jnz1568/getInfo.php?workbook=16_08.xlsx&amp;sheet=U0&amp;row=4678&amp;col=7&amp;number=0.00872&amp;sourceID=14","0.00872")</f>
        <v>0.00872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HYPERLINK("http://141.218.60.56/~jnz1568/getInfo.php?workbook=16_08.xlsx&amp;sheet=U0&amp;row=4679&amp;col=6&amp;number=4.5&amp;sourceID=14","4.5")</f>
        <v>4.5</v>
      </c>
      <c r="G4679" s="4" t="str">
        <f>HYPERLINK("http://141.218.60.56/~jnz1568/getInfo.php?workbook=16_08.xlsx&amp;sheet=U0&amp;row=4679&amp;col=7&amp;number=0.00875&amp;sourceID=14","0.00875")</f>
        <v>0.00875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HYPERLINK("http://141.218.60.56/~jnz1568/getInfo.php?workbook=16_08.xlsx&amp;sheet=U0&amp;row=4680&amp;col=6&amp;number=4.6&amp;sourceID=14","4.6")</f>
        <v>4.6</v>
      </c>
      <c r="G4680" s="4" t="str">
        <f>HYPERLINK("http://141.218.60.56/~jnz1568/getInfo.php?workbook=16_08.xlsx&amp;sheet=U0&amp;row=4680&amp;col=7&amp;number=0.00878&amp;sourceID=14","0.00878")</f>
        <v>0.00878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HYPERLINK("http://141.218.60.56/~jnz1568/getInfo.php?workbook=16_08.xlsx&amp;sheet=U0&amp;row=4681&amp;col=6&amp;number=4.7&amp;sourceID=14","4.7")</f>
        <v>4.7</v>
      </c>
      <c r="G4681" s="4" t="str">
        <f>HYPERLINK("http://141.218.60.56/~jnz1568/getInfo.php?workbook=16_08.xlsx&amp;sheet=U0&amp;row=4681&amp;col=7&amp;number=0.00882&amp;sourceID=14","0.00882")</f>
        <v>0.00882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HYPERLINK("http://141.218.60.56/~jnz1568/getInfo.php?workbook=16_08.xlsx&amp;sheet=U0&amp;row=4682&amp;col=6&amp;number=4.8&amp;sourceID=14","4.8")</f>
        <v>4.8</v>
      </c>
      <c r="G4682" s="4" t="str">
        <f>HYPERLINK("http://141.218.60.56/~jnz1568/getInfo.php?workbook=16_08.xlsx&amp;sheet=U0&amp;row=4682&amp;col=7&amp;number=0.00887&amp;sourceID=14","0.00887")</f>
        <v>0.00887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HYPERLINK("http://141.218.60.56/~jnz1568/getInfo.php?workbook=16_08.xlsx&amp;sheet=U0&amp;row=4683&amp;col=6&amp;number=4.9&amp;sourceID=14","4.9")</f>
        <v>4.9</v>
      </c>
      <c r="G4683" s="4" t="str">
        <f>HYPERLINK("http://141.218.60.56/~jnz1568/getInfo.php?workbook=16_08.xlsx&amp;sheet=U0&amp;row=4683&amp;col=7&amp;number=0.00893&amp;sourceID=14","0.00893")</f>
        <v>0.00893</v>
      </c>
    </row>
    <row r="4684" spans="1:7">
      <c r="A4684" s="3">
        <v>16</v>
      </c>
      <c r="B4684" s="3">
        <v>8</v>
      </c>
      <c r="C4684" s="3">
        <v>3</v>
      </c>
      <c r="D4684" s="3">
        <v>69</v>
      </c>
      <c r="E4684" s="3">
        <v>1</v>
      </c>
      <c r="F4684" s="4" t="str">
        <f>HYPERLINK("http://141.218.60.56/~jnz1568/getInfo.php?workbook=16_08.xlsx&amp;sheet=U0&amp;row=4684&amp;col=6&amp;number=3&amp;sourceID=14","3")</f>
        <v>3</v>
      </c>
      <c r="G4684" s="4" t="str">
        <f>HYPERLINK("http://141.218.60.56/~jnz1568/getInfo.php?workbook=16_08.xlsx&amp;sheet=U0&amp;row=4684&amp;col=7&amp;number=0.00144&amp;sourceID=14","0.00144")</f>
        <v>0.00144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HYPERLINK("http://141.218.60.56/~jnz1568/getInfo.php?workbook=16_08.xlsx&amp;sheet=U0&amp;row=4685&amp;col=6&amp;number=3.1&amp;sourceID=14","3.1")</f>
        <v>3.1</v>
      </c>
      <c r="G4685" s="4" t="str">
        <f>HYPERLINK("http://141.218.60.56/~jnz1568/getInfo.php?workbook=16_08.xlsx&amp;sheet=U0&amp;row=4685&amp;col=7&amp;number=0.00144&amp;sourceID=14","0.00144")</f>
        <v>0.00144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HYPERLINK("http://141.218.60.56/~jnz1568/getInfo.php?workbook=16_08.xlsx&amp;sheet=U0&amp;row=4686&amp;col=6&amp;number=3.2&amp;sourceID=14","3.2")</f>
        <v>3.2</v>
      </c>
      <c r="G4686" s="4" t="str">
        <f>HYPERLINK("http://141.218.60.56/~jnz1568/getInfo.php?workbook=16_08.xlsx&amp;sheet=U0&amp;row=4686&amp;col=7&amp;number=0.00144&amp;sourceID=14","0.00144")</f>
        <v>0.00144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HYPERLINK("http://141.218.60.56/~jnz1568/getInfo.php?workbook=16_08.xlsx&amp;sheet=U0&amp;row=4687&amp;col=6&amp;number=3.3&amp;sourceID=14","3.3")</f>
        <v>3.3</v>
      </c>
      <c r="G4687" s="4" t="str">
        <f>HYPERLINK("http://141.218.60.56/~jnz1568/getInfo.php?workbook=16_08.xlsx&amp;sheet=U0&amp;row=4687&amp;col=7&amp;number=0.00144&amp;sourceID=14","0.00144")</f>
        <v>0.00144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HYPERLINK("http://141.218.60.56/~jnz1568/getInfo.php?workbook=16_08.xlsx&amp;sheet=U0&amp;row=4688&amp;col=6&amp;number=3.4&amp;sourceID=14","3.4")</f>
        <v>3.4</v>
      </c>
      <c r="G4688" s="4" t="str">
        <f>HYPERLINK("http://141.218.60.56/~jnz1568/getInfo.php?workbook=16_08.xlsx&amp;sheet=U0&amp;row=4688&amp;col=7&amp;number=0.00144&amp;sourceID=14","0.00144")</f>
        <v>0.00144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HYPERLINK("http://141.218.60.56/~jnz1568/getInfo.php?workbook=16_08.xlsx&amp;sheet=U0&amp;row=4689&amp;col=6&amp;number=3.5&amp;sourceID=14","3.5")</f>
        <v>3.5</v>
      </c>
      <c r="G4689" s="4" t="str">
        <f>HYPERLINK("http://141.218.60.56/~jnz1568/getInfo.php?workbook=16_08.xlsx&amp;sheet=U0&amp;row=4689&amp;col=7&amp;number=0.00144&amp;sourceID=14","0.00144")</f>
        <v>0.00144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HYPERLINK("http://141.218.60.56/~jnz1568/getInfo.php?workbook=16_08.xlsx&amp;sheet=U0&amp;row=4690&amp;col=6&amp;number=3.6&amp;sourceID=14","3.6")</f>
        <v>3.6</v>
      </c>
      <c r="G4690" s="4" t="str">
        <f>HYPERLINK("http://141.218.60.56/~jnz1568/getInfo.php?workbook=16_08.xlsx&amp;sheet=U0&amp;row=4690&amp;col=7&amp;number=0.00144&amp;sourceID=14","0.00144")</f>
        <v>0.00144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HYPERLINK("http://141.218.60.56/~jnz1568/getInfo.php?workbook=16_08.xlsx&amp;sheet=U0&amp;row=4691&amp;col=6&amp;number=3.7&amp;sourceID=14","3.7")</f>
        <v>3.7</v>
      </c>
      <c r="G4691" s="4" t="str">
        <f>HYPERLINK("http://141.218.60.56/~jnz1568/getInfo.php?workbook=16_08.xlsx&amp;sheet=U0&amp;row=4691&amp;col=7&amp;number=0.00144&amp;sourceID=14","0.00144")</f>
        <v>0.00144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HYPERLINK("http://141.218.60.56/~jnz1568/getInfo.php?workbook=16_08.xlsx&amp;sheet=U0&amp;row=4692&amp;col=6&amp;number=3.8&amp;sourceID=14","3.8")</f>
        <v>3.8</v>
      </c>
      <c r="G4692" s="4" t="str">
        <f>HYPERLINK("http://141.218.60.56/~jnz1568/getInfo.php?workbook=16_08.xlsx&amp;sheet=U0&amp;row=4692&amp;col=7&amp;number=0.00143&amp;sourceID=14","0.00143")</f>
        <v>0.00143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HYPERLINK("http://141.218.60.56/~jnz1568/getInfo.php?workbook=16_08.xlsx&amp;sheet=U0&amp;row=4693&amp;col=6&amp;number=3.9&amp;sourceID=14","3.9")</f>
        <v>3.9</v>
      </c>
      <c r="G4693" s="4" t="str">
        <f>HYPERLINK("http://141.218.60.56/~jnz1568/getInfo.php?workbook=16_08.xlsx&amp;sheet=U0&amp;row=4693&amp;col=7&amp;number=0.00143&amp;sourceID=14","0.00143")</f>
        <v>0.00143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HYPERLINK("http://141.218.60.56/~jnz1568/getInfo.php?workbook=16_08.xlsx&amp;sheet=U0&amp;row=4694&amp;col=6&amp;number=4&amp;sourceID=14","4")</f>
        <v>4</v>
      </c>
      <c r="G4694" s="4" t="str">
        <f>HYPERLINK("http://141.218.60.56/~jnz1568/getInfo.php?workbook=16_08.xlsx&amp;sheet=U0&amp;row=4694&amp;col=7&amp;number=0.00143&amp;sourceID=14","0.00143")</f>
        <v>0.00143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HYPERLINK("http://141.218.60.56/~jnz1568/getInfo.php?workbook=16_08.xlsx&amp;sheet=U0&amp;row=4695&amp;col=6&amp;number=4.1&amp;sourceID=14","4.1")</f>
        <v>4.1</v>
      </c>
      <c r="G4695" s="4" t="str">
        <f>HYPERLINK("http://141.218.60.56/~jnz1568/getInfo.php?workbook=16_08.xlsx&amp;sheet=U0&amp;row=4695&amp;col=7&amp;number=0.00143&amp;sourceID=14","0.00143")</f>
        <v>0.00143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HYPERLINK("http://141.218.60.56/~jnz1568/getInfo.php?workbook=16_08.xlsx&amp;sheet=U0&amp;row=4696&amp;col=6&amp;number=4.2&amp;sourceID=14","4.2")</f>
        <v>4.2</v>
      </c>
      <c r="G4696" s="4" t="str">
        <f>HYPERLINK("http://141.218.60.56/~jnz1568/getInfo.php?workbook=16_08.xlsx&amp;sheet=U0&amp;row=4696&amp;col=7&amp;number=0.00143&amp;sourceID=14","0.00143")</f>
        <v>0.00143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HYPERLINK("http://141.218.60.56/~jnz1568/getInfo.php?workbook=16_08.xlsx&amp;sheet=U0&amp;row=4697&amp;col=6&amp;number=4.3&amp;sourceID=14","4.3")</f>
        <v>4.3</v>
      </c>
      <c r="G4697" s="4" t="str">
        <f>HYPERLINK("http://141.218.60.56/~jnz1568/getInfo.php?workbook=16_08.xlsx&amp;sheet=U0&amp;row=4697&amp;col=7&amp;number=0.00143&amp;sourceID=14","0.00143")</f>
        <v>0.00143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HYPERLINK("http://141.218.60.56/~jnz1568/getInfo.php?workbook=16_08.xlsx&amp;sheet=U0&amp;row=4698&amp;col=6&amp;number=4.4&amp;sourceID=14","4.4")</f>
        <v>4.4</v>
      </c>
      <c r="G4698" s="4" t="str">
        <f>HYPERLINK("http://141.218.60.56/~jnz1568/getInfo.php?workbook=16_08.xlsx&amp;sheet=U0&amp;row=4698&amp;col=7&amp;number=0.00143&amp;sourceID=14","0.00143")</f>
        <v>0.00143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HYPERLINK("http://141.218.60.56/~jnz1568/getInfo.php?workbook=16_08.xlsx&amp;sheet=U0&amp;row=4699&amp;col=6&amp;number=4.5&amp;sourceID=14","4.5")</f>
        <v>4.5</v>
      </c>
      <c r="G4699" s="4" t="str">
        <f>HYPERLINK("http://141.218.60.56/~jnz1568/getInfo.php?workbook=16_08.xlsx&amp;sheet=U0&amp;row=4699&amp;col=7&amp;number=0.00143&amp;sourceID=14","0.00143")</f>
        <v>0.00143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HYPERLINK("http://141.218.60.56/~jnz1568/getInfo.php?workbook=16_08.xlsx&amp;sheet=U0&amp;row=4700&amp;col=6&amp;number=4.6&amp;sourceID=14","4.6")</f>
        <v>4.6</v>
      </c>
      <c r="G4700" s="4" t="str">
        <f>HYPERLINK("http://141.218.60.56/~jnz1568/getInfo.php?workbook=16_08.xlsx&amp;sheet=U0&amp;row=4700&amp;col=7&amp;number=0.00142&amp;sourceID=14","0.00142")</f>
        <v>0.00142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HYPERLINK("http://141.218.60.56/~jnz1568/getInfo.php?workbook=16_08.xlsx&amp;sheet=U0&amp;row=4701&amp;col=6&amp;number=4.7&amp;sourceID=14","4.7")</f>
        <v>4.7</v>
      </c>
      <c r="G4701" s="4" t="str">
        <f>HYPERLINK("http://141.218.60.56/~jnz1568/getInfo.php?workbook=16_08.xlsx&amp;sheet=U0&amp;row=4701&amp;col=7&amp;number=0.00142&amp;sourceID=14","0.00142")</f>
        <v>0.00142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HYPERLINK("http://141.218.60.56/~jnz1568/getInfo.php?workbook=16_08.xlsx&amp;sheet=U0&amp;row=4702&amp;col=6&amp;number=4.8&amp;sourceID=14","4.8")</f>
        <v>4.8</v>
      </c>
      <c r="G4702" s="4" t="str">
        <f>HYPERLINK("http://141.218.60.56/~jnz1568/getInfo.php?workbook=16_08.xlsx&amp;sheet=U0&amp;row=4702&amp;col=7&amp;number=0.00142&amp;sourceID=14","0.00142")</f>
        <v>0.00142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HYPERLINK("http://141.218.60.56/~jnz1568/getInfo.php?workbook=16_08.xlsx&amp;sheet=U0&amp;row=4703&amp;col=6&amp;number=4.9&amp;sourceID=14","4.9")</f>
        <v>4.9</v>
      </c>
      <c r="G4703" s="4" t="str">
        <f>HYPERLINK("http://141.218.60.56/~jnz1568/getInfo.php?workbook=16_08.xlsx&amp;sheet=U0&amp;row=4703&amp;col=7&amp;number=0.00141&amp;sourceID=14","0.00141")</f>
        <v>0.00141</v>
      </c>
    </row>
    <row r="4704" spans="1:7">
      <c r="A4704" s="3">
        <v>16</v>
      </c>
      <c r="B4704" s="3">
        <v>8</v>
      </c>
      <c r="C4704" s="3">
        <v>3</v>
      </c>
      <c r="D4704" s="3">
        <v>70</v>
      </c>
      <c r="E4704" s="3">
        <v>1</v>
      </c>
      <c r="F4704" s="4" t="str">
        <f>HYPERLINK("http://141.218.60.56/~jnz1568/getInfo.php?workbook=16_08.xlsx&amp;sheet=U0&amp;row=4704&amp;col=6&amp;number=3&amp;sourceID=14","3")</f>
        <v>3</v>
      </c>
      <c r="G4704" s="4" t="str">
        <f>HYPERLINK("http://141.218.60.56/~jnz1568/getInfo.php?workbook=16_08.xlsx&amp;sheet=U0&amp;row=4704&amp;col=7&amp;number=0.0271&amp;sourceID=14","0.0271")</f>
        <v>0.0271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HYPERLINK("http://141.218.60.56/~jnz1568/getInfo.php?workbook=16_08.xlsx&amp;sheet=U0&amp;row=4705&amp;col=6&amp;number=3.1&amp;sourceID=14","3.1")</f>
        <v>3.1</v>
      </c>
      <c r="G4705" s="4" t="str">
        <f>HYPERLINK("http://141.218.60.56/~jnz1568/getInfo.php?workbook=16_08.xlsx&amp;sheet=U0&amp;row=4705&amp;col=7&amp;number=0.0271&amp;sourceID=14","0.0271")</f>
        <v>0.0271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HYPERLINK("http://141.218.60.56/~jnz1568/getInfo.php?workbook=16_08.xlsx&amp;sheet=U0&amp;row=4706&amp;col=6&amp;number=3.2&amp;sourceID=14","3.2")</f>
        <v>3.2</v>
      </c>
      <c r="G4706" s="4" t="str">
        <f>HYPERLINK("http://141.218.60.56/~jnz1568/getInfo.php?workbook=16_08.xlsx&amp;sheet=U0&amp;row=4706&amp;col=7&amp;number=0.0271&amp;sourceID=14","0.0271")</f>
        <v>0.0271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HYPERLINK("http://141.218.60.56/~jnz1568/getInfo.php?workbook=16_08.xlsx&amp;sheet=U0&amp;row=4707&amp;col=6&amp;number=3.3&amp;sourceID=14","3.3")</f>
        <v>3.3</v>
      </c>
      <c r="G4707" s="4" t="str">
        <f>HYPERLINK("http://141.218.60.56/~jnz1568/getInfo.php?workbook=16_08.xlsx&amp;sheet=U0&amp;row=4707&amp;col=7&amp;number=0.0271&amp;sourceID=14","0.0271")</f>
        <v>0.0271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HYPERLINK("http://141.218.60.56/~jnz1568/getInfo.php?workbook=16_08.xlsx&amp;sheet=U0&amp;row=4708&amp;col=6&amp;number=3.4&amp;sourceID=14","3.4")</f>
        <v>3.4</v>
      </c>
      <c r="G4708" s="4" t="str">
        <f>HYPERLINK("http://141.218.60.56/~jnz1568/getInfo.php?workbook=16_08.xlsx&amp;sheet=U0&amp;row=4708&amp;col=7&amp;number=0.0271&amp;sourceID=14","0.0271")</f>
        <v>0.0271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HYPERLINK("http://141.218.60.56/~jnz1568/getInfo.php?workbook=16_08.xlsx&amp;sheet=U0&amp;row=4709&amp;col=6&amp;number=3.5&amp;sourceID=14","3.5")</f>
        <v>3.5</v>
      </c>
      <c r="G4709" s="4" t="str">
        <f>HYPERLINK("http://141.218.60.56/~jnz1568/getInfo.php?workbook=16_08.xlsx&amp;sheet=U0&amp;row=4709&amp;col=7&amp;number=0.0271&amp;sourceID=14","0.0271")</f>
        <v>0.0271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HYPERLINK("http://141.218.60.56/~jnz1568/getInfo.php?workbook=16_08.xlsx&amp;sheet=U0&amp;row=4710&amp;col=6&amp;number=3.6&amp;sourceID=14","3.6")</f>
        <v>3.6</v>
      </c>
      <c r="G4710" s="4" t="str">
        <f>HYPERLINK("http://141.218.60.56/~jnz1568/getInfo.php?workbook=16_08.xlsx&amp;sheet=U0&amp;row=4710&amp;col=7&amp;number=0.0271&amp;sourceID=14","0.0271")</f>
        <v>0.0271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HYPERLINK("http://141.218.60.56/~jnz1568/getInfo.php?workbook=16_08.xlsx&amp;sheet=U0&amp;row=4711&amp;col=6&amp;number=3.7&amp;sourceID=14","3.7")</f>
        <v>3.7</v>
      </c>
      <c r="G4711" s="4" t="str">
        <f>HYPERLINK("http://141.218.60.56/~jnz1568/getInfo.php?workbook=16_08.xlsx&amp;sheet=U0&amp;row=4711&amp;col=7&amp;number=0.0271&amp;sourceID=14","0.0271")</f>
        <v>0.0271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HYPERLINK("http://141.218.60.56/~jnz1568/getInfo.php?workbook=16_08.xlsx&amp;sheet=U0&amp;row=4712&amp;col=6&amp;number=3.8&amp;sourceID=14","3.8")</f>
        <v>3.8</v>
      </c>
      <c r="G4712" s="4" t="str">
        <f>HYPERLINK("http://141.218.60.56/~jnz1568/getInfo.php?workbook=16_08.xlsx&amp;sheet=U0&amp;row=4712&amp;col=7&amp;number=0.0271&amp;sourceID=14","0.0271")</f>
        <v>0.0271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HYPERLINK("http://141.218.60.56/~jnz1568/getInfo.php?workbook=16_08.xlsx&amp;sheet=U0&amp;row=4713&amp;col=6&amp;number=3.9&amp;sourceID=14","3.9")</f>
        <v>3.9</v>
      </c>
      <c r="G4713" s="4" t="str">
        <f>HYPERLINK("http://141.218.60.56/~jnz1568/getInfo.php?workbook=16_08.xlsx&amp;sheet=U0&amp;row=4713&amp;col=7&amp;number=0.0271&amp;sourceID=14","0.0271")</f>
        <v>0.0271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HYPERLINK("http://141.218.60.56/~jnz1568/getInfo.php?workbook=16_08.xlsx&amp;sheet=U0&amp;row=4714&amp;col=6&amp;number=4&amp;sourceID=14","4")</f>
        <v>4</v>
      </c>
      <c r="G4714" s="4" t="str">
        <f>HYPERLINK("http://141.218.60.56/~jnz1568/getInfo.php?workbook=16_08.xlsx&amp;sheet=U0&amp;row=4714&amp;col=7&amp;number=0.0272&amp;sourceID=14","0.0272")</f>
        <v>0.0272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HYPERLINK("http://141.218.60.56/~jnz1568/getInfo.php?workbook=16_08.xlsx&amp;sheet=U0&amp;row=4715&amp;col=6&amp;number=4.1&amp;sourceID=14","4.1")</f>
        <v>4.1</v>
      </c>
      <c r="G4715" s="4" t="str">
        <f>HYPERLINK("http://141.218.60.56/~jnz1568/getInfo.php?workbook=16_08.xlsx&amp;sheet=U0&amp;row=4715&amp;col=7&amp;number=0.0272&amp;sourceID=14","0.0272")</f>
        <v>0.0272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HYPERLINK("http://141.218.60.56/~jnz1568/getInfo.php?workbook=16_08.xlsx&amp;sheet=U0&amp;row=4716&amp;col=6&amp;number=4.2&amp;sourceID=14","4.2")</f>
        <v>4.2</v>
      </c>
      <c r="G4716" s="4" t="str">
        <f>HYPERLINK("http://141.218.60.56/~jnz1568/getInfo.php?workbook=16_08.xlsx&amp;sheet=U0&amp;row=4716&amp;col=7&amp;number=0.0272&amp;sourceID=14","0.0272")</f>
        <v>0.0272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HYPERLINK("http://141.218.60.56/~jnz1568/getInfo.php?workbook=16_08.xlsx&amp;sheet=U0&amp;row=4717&amp;col=6&amp;number=4.3&amp;sourceID=14","4.3")</f>
        <v>4.3</v>
      </c>
      <c r="G4717" s="4" t="str">
        <f>HYPERLINK("http://141.218.60.56/~jnz1568/getInfo.php?workbook=16_08.xlsx&amp;sheet=U0&amp;row=4717&amp;col=7&amp;number=0.0273&amp;sourceID=14","0.0273")</f>
        <v>0.0273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HYPERLINK("http://141.218.60.56/~jnz1568/getInfo.php?workbook=16_08.xlsx&amp;sheet=U0&amp;row=4718&amp;col=6&amp;number=4.4&amp;sourceID=14","4.4")</f>
        <v>4.4</v>
      </c>
      <c r="G4718" s="4" t="str">
        <f>HYPERLINK("http://141.218.60.56/~jnz1568/getInfo.php?workbook=16_08.xlsx&amp;sheet=U0&amp;row=4718&amp;col=7&amp;number=0.0273&amp;sourceID=14","0.0273")</f>
        <v>0.0273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HYPERLINK("http://141.218.60.56/~jnz1568/getInfo.php?workbook=16_08.xlsx&amp;sheet=U0&amp;row=4719&amp;col=6&amp;number=4.5&amp;sourceID=14","4.5")</f>
        <v>4.5</v>
      </c>
      <c r="G4719" s="4" t="str">
        <f>HYPERLINK("http://141.218.60.56/~jnz1568/getInfo.php?workbook=16_08.xlsx&amp;sheet=U0&amp;row=4719&amp;col=7&amp;number=0.0274&amp;sourceID=14","0.0274")</f>
        <v>0.0274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HYPERLINK("http://141.218.60.56/~jnz1568/getInfo.php?workbook=16_08.xlsx&amp;sheet=U0&amp;row=4720&amp;col=6&amp;number=4.6&amp;sourceID=14","4.6")</f>
        <v>4.6</v>
      </c>
      <c r="G4720" s="4" t="str">
        <f>HYPERLINK("http://141.218.60.56/~jnz1568/getInfo.php?workbook=16_08.xlsx&amp;sheet=U0&amp;row=4720&amp;col=7&amp;number=0.0275&amp;sourceID=14","0.0275")</f>
        <v>0.0275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HYPERLINK("http://141.218.60.56/~jnz1568/getInfo.php?workbook=16_08.xlsx&amp;sheet=U0&amp;row=4721&amp;col=6&amp;number=4.7&amp;sourceID=14","4.7")</f>
        <v>4.7</v>
      </c>
      <c r="G4721" s="4" t="str">
        <f>HYPERLINK("http://141.218.60.56/~jnz1568/getInfo.php?workbook=16_08.xlsx&amp;sheet=U0&amp;row=4721&amp;col=7&amp;number=0.0276&amp;sourceID=14","0.0276")</f>
        <v>0.0276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HYPERLINK("http://141.218.60.56/~jnz1568/getInfo.php?workbook=16_08.xlsx&amp;sheet=U0&amp;row=4722&amp;col=6&amp;number=4.8&amp;sourceID=14","4.8")</f>
        <v>4.8</v>
      </c>
      <c r="G4722" s="4" t="str">
        <f>HYPERLINK("http://141.218.60.56/~jnz1568/getInfo.php?workbook=16_08.xlsx&amp;sheet=U0&amp;row=4722&amp;col=7&amp;number=0.0278&amp;sourceID=14","0.0278")</f>
        <v>0.0278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HYPERLINK("http://141.218.60.56/~jnz1568/getInfo.php?workbook=16_08.xlsx&amp;sheet=U0&amp;row=4723&amp;col=6&amp;number=4.9&amp;sourceID=14","4.9")</f>
        <v>4.9</v>
      </c>
      <c r="G4723" s="4" t="str">
        <f>HYPERLINK("http://141.218.60.56/~jnz1568/getInfo.php?workbook=16_08.xlsx&amp;sheet=U0&amp;row=4723&amp;col=7&amp;number=0.0279&amp;sourceID=14","0.0279")</f>
        <v>0.0279</v>
      </c>
    </row>
    <row r="4724" spans="1:7">
      <c r="A4724" s="3">
        <v>16</v>
      </c>
      <c r="B4724" s="3">
        <v>8</v>
      </c>
      <c r="C4724" s="3">
        <v>3</v>
      </c>
      <c r="D4724" s="3">
        <v>71</v>
      </c>
      <c r="E4724" s="3">
        <v>1</v>
      </c>
      <c r="F4724" s="4" t="str">
        <f>HYPERLINK("http://141.218.60.56/~jnz1568/getInfo.php?workbook=16_08.xlsx&amp;sheet=U0&amp;row=4724&amp;col=6&amp;number=3&amp;sourceID=14","3")</f>
        <v>3</v>
      </c>
      <c r="G4724" s="4" t="str">
        <f>HYPERLINK("http://141.218.60.56/~jnz1568/getInfo.php?workbook=16_08.xlsx&amp;sheet=U0&amp;row=4724&amp;col=7&amp;number=0.00132&amp;sourceID=14","0.00132")</f>
        <v>0.00132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HYPERLINK("http://141.218.60.56/~jnz1568/getInfo.php?workbook=16_08.xlsx&amp;sheet=U0&amp;row=4725&amp;col=6&amp;number=3.1&amp;sourceID=14","3.1")</f>
        <v>3.1</v>
      </c>
      <c r="G4725" s="4" t="str">
        <f>HYPERLINK("http://141.218.60.56/~jnz1568/getInfo.php?workbook=16_08.xlsx&amp;sheet=U0&amp;row=4725&amp;col=7&amp;number=0.00132&amp;sourceID=14","0.00132")</f>
        <v>0.00132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HYPERLINK("http://141.218.60.56/~jnz1568/getInfo.php?workbook=16_08.xlsx&amp;sheet=U0&amp;row=4726&amp;col=6&amp;number=3.2&amp;sourceID=14","3.2")</f>
        <v>3.2</v>
      </c>
      <c r="G4726" s="4" t="str">
        <f>HYPERLINK("http://141.218.60.56/~jnz1568/getInfo.php?workbook=16_08.xlsx&amp;sheet=U0&amp;row=4726&amp;col=7&amp;number=0.00132&amp;sourceID=14","0.00132")</f>
        <v>0.00132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HYPERLINK("http://141.218.60.56/~jnz1568/getInfo.php?workbook=16_08.xlsx&amp;sheet=U0&amp;row=4727&amp;col=6&amp;number=3.3&amp;sourceID=14","3.3")</f>
        <v>3.3</v>
      </c>
      <c r="G4727" s="4" t="str">
        <f>HYPERLINK("http://141.218.60.56/~jnz1568/getInfo.php?workbook=16_08.xlsx&amp;sheet=U0&amp;row=4727&amp;col=7&amp;number=0.00132&amp;sourceID=14","0.00132")</f>
        <v>0.00132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HYPERLINK("http://141.218.60.56/~jnz1568/getInfo.php?workbook=16_08.xlsx&amp;sheet=U0&amp;row=4728&amp;col=6&amp;number=3.4&amp;sourceID=14","3.4")</f>
        <v>3.4</v>
      </c>
      <c r="G4728" s="4" t="str">
        <f>HYPERLINK("http://141.218.60.56/~jnz1568/getInfo.php?workbook=16_08.xlsx&amp;sheet=U0&amp;row=4728&amp;col=7&amp;number=0.00132&amp;sourceID=14","0.00132")</f>
        <v>0.00132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HYPERLINK("http://141.218.60.56/~jnz1568/getInfo.php?workbook=16_08.xlsx&amp;sheet=U0&amp;row=4729&amp;col=6&amp;number=3.5&amp;sourceID=14","3.5")</f>
        <v>3.5</v>
      </c>
      <c r="G4729" s="4" t="str">
        <f>HYPERLINK("http://141.218.60.56/~jnz1568/getInfo.php?workbook=16_08.xlsx&amp;sheet=U0&amp;row=4729&amp;col=7&amp;number=0.00132&amp;sourceID=14","0.00132")</f>
        <v>0.00132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HYPERLINK("http://141.218.60.56/~jnz1568/getInfo.php?workbook=16_08.xlsx&amp;sheet=U0&amp;row=4730&amp;col=6&amp;number=3.6&amp;sourceID=14","3.6")</f>
        <v>3.6</v>
      </c>
      <c r="G4730" s="4" t="str">
        <f>HYPERLINK("http://141.218.60.56/~jnz1568/getInfo.php?workbook=16_08.xlsx&amp;sheet=U0&amp;row=4730&amp;col=7&amp;number=0.00132&amp;sourceID=14","0.00132")</f>
        <v>0.00132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HYPERLINK("http://141.218.60.56/~jnz1568/getInfo.php?workbook=16_08.xlsx&amp;sheet=U0&amp;row=4731&amp;col=6&amp;number=3.7&amp;sourceID=14","3.7")</f>
        <v>3.7</v>
      </c>
      <c r="G4731" s="4" t="str">
        <f>HYPERLINK("http://141.218.60.56/~jnz1568/getInfo.php?workbook=16_08.xlsx&amp;sheet=U0&amp;row=4731&amp;col=7&amp;number=0.00132&amp;sourceID=14","0.00132")</f>
        <v>0.00132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HYPERLINK("http://141.218.60.56/~jnz1568/getInfo.php?workbook=16_08.xlsx&amp;sheet=U0&amp;row=4732&amp;col=6&amp;number=3.8&amp;sourceID=14","3.8")</f>
        <v>3.8</v>
      </c>
      <c r="G4732" s="4" t="str">
        <f>HYPERLINK("http://141.218.60.56/~jnz1568/getInfo.php?workbook=16_08.xlsx&amp;sheet=U0&amp;row=4732&amp;col=7&amp;number=0.00132&amp;sourceID=14","0.00132")</f>
        <v>0.00132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HYPERLINK("http://141.218.60.56/~jnz1568/getInfo.php?workbook=16_08.xlsx&amp;sheet=U0&amp;row=4733&amp;col=6&amp;number=3.9&amp;sourceID=14","3.9")</f>
        <v>3.9</v>
      </c>
      <c r="G4733" s="4" t="str">
        <f>HYPERLINK("http://141.218.60.56/~jnz1568/getInfo.php?workbook=16_08.xlsx&amp;sheet=U0&amp;row=4733&amp;col=7&amp;number=0.00132&amp;sourceID=14","0.00132")</f>
        <v>0.00132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HYPERLINK("http://141.218.60.56/~jnz1568/getInfo.php?workbook=16_08.xlsx&amp;sheet=U0&amp;row=4734&amp;col=6&amp;number=4&amp;sourceID=14","4")</f>
        <v>4</v>
      </c>
      <c r="G4734" s="4" t="str">
        <f>HYPERLINK("http://141.218.60.56/~jnz1568/getInfo.php?workbook=16_08.xlsx&amp;sheet=U0&amp;row=4734&amp;col=7&amp;number=0.00132&amp;sourceID=14","0.00132")</f>
        <v>0.00132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HYPERLINK("http://141.218.60.56/~jnz1568/getInfo.php?workbook=16_08.xlsx&amp;sheet=U0&amp;row=4735&amp;col=6&amp;number=4.1&amp;sourceID=14","4.1")</f>
        <v>4.1</v>
      </c>
      <c r="G4735" s="4" t="str">
        <f>HYPERLINK("http://141.218.60.56/~jnz1568/getInfo.php?workbook=16_08.xlsx&amp;sheet=U0&amp;row=4735&amp;col=7&amp;number=0.00132&amp;sourceID=14","0.00132")</f>
        <v>0.00132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HYPERLINK("http://141.218.60.56/~jnz1568/getInfo.php?workbook=16_08.xlsx&amp;sheet=U0&amp;row=4736&amp;col=6&amp;number=4.2&amp;sourceID=14","4.2")</f>
        <v>4.2</v>
      </c>
      <c r="G4736" s="4" t="str">
        <f>HYPERLINK("http://141.218.60.56/~jnz1568/getInfo.php?workbook=16_08.xlsx&amp;sheet=U0&amp;row=4736&amp;col=7&amp;number=0.00131&amp;sourceID=14","0.00131")</f>
        <v>0.00131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HYPERLINK("http://141.218.60.56/~jnz1568/getInfo.php?workbook=16_08.xlsx&amp;sheet=U0&amp;row=4737&amp;col=6&amp;number=4.3&amp;sourceID=14","4.3")</f>
        <v>4.3</v>
      </c>
      <c r="G4737" s="4" t="str">
        <f>HYPERLINK("http://141.218.60.56/~jnz1568/getInfo.php?workbook=16_08.xlsx&amp;sheet=U0&amp;row=4737&amp;col=7&amp;number=0.00131&amp;sourceID=14","0.00131")</f>
        <v>0.00131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HYPERLINK("http://141.218.60.56/~jnz1568/getInfo.php?workbook=16_08.xlsx&amp;sheet=U0&amp;row=4738&amp;col=6&amp;number=4.4&amp;sourceID=14","4.4")</f>
        <v>4.4</v>
      </c>
      <c r="G4738" s="4" t="str">
        <f>HYPERLINK("http://141.218.60.56/~jnz1568/getInfo.php?workbook=16_08.xlsx&amp;sheet=U0&amp;row=4738&amp;col=7&amp;number=0.00131&amp;sourceID=14","0.00131")</f>
        <v>0.00131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HYPERLINK("http://141.218.60.56/~jnz1568/getInfo.php?workbook=16_08.xlsx&amp;sheet=U0&amp;row=4739&amp;col=6&amp;number=4.5&amp;sourceID=14","4.5")</f>
        <v>4.5</v>
      </c>
      <c r="G4739" s="4" t="str">
        <f>HYPERLINK("http://141.218.60.56/~jnz1568/getInfo.php?workbook=16_08.xlsx&amp;sheet=U0&amp;row=4739&amp;col=7&amp;number=0.00131&amp;sourceID=14","0.00131")</f>
        <v>0.00131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HYPERLINK("http://141.218.60.56/~jnz1568/getInfo.php?workbook=16_08.xlsx&amp;sheet=U0&amp;row=4740&amp;col=6&amp;number=4.6&amp;sourceID=14","4.6")</f>
        <v>4.6</v>
      </c>
      <c r="G4740" s="4" t="str">
        <f>HYPERLINK("http://141.218.60.56/~jnz1568/getInfo.php?workbook=16_08.xlsx&amp;sheet=U0&amp;row=4740&amp;col=7&amp;number=0.00131&amp;sourceID=14","0.00131")</f>
        <v>0.00131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HYPERLINK("http://141.218.60.56/~jnz1568/getInfo.php?workbook=16_08.xlsx&amp;sheet=U0&amp;row=4741&amp;col=6&amp;number=4.7&amp;sourceID=14","4.7")</f>
        <v>4.7</v>
      </c>
      <c r="G4741" s="4" t="str">
        <f>HYPERLINK("http://141.218.60.56/~jnz1568/getInfo.php?workbook=16_08.xlsx&amp;sheet=U0&amp;row=4741&amp;col=7&amp;number=0.0013&amp;sourceID=14","0.0013")</f>
        <v>0.0013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HYPERLINK("http://141.218.60.56/~jnz1568/getInfo.php?workbook=16_08.xlsx&amp;sheet=U0&amp;row=4742&amp;col=6&amp;number=4.8&amp;sourceID=14","4.8")</f>
        <v>4.8</v>
      </c>
      <c r="G4742" s="4" t="str">
        <f>HYPERLINK("http://141.218.60.56/~jnz1568/getInfo.php?workbook=16_08.xlsx&amp;sheet=U0&amp;row=4742&amp;col=7&amp;number=0.0013&amp;sourceID=14","0.0013")</f>
        <v>0.0013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HYPERLINK("http://141.218.60.56/~jnz1568/getInfo.php?workbook=16_08.xlsx&amp;sheet=U0&amp;row=4743&amp;col=6&amp;number=4.9&amp;sourceID=14","4.9")</f>
        <v>4.9</v>
      </c>
      <c r="G4743" s="4" t="str">
        <f>HYPERLINK("http://141.218.60.56/~jnz1568/getInfo.php?workbook=16_08.xlsx&amp;sheet=U0&amp;row=4743&amp;col=7&amp;number=0.00129&amp;sourceID=14","0.00129")</f>
        <v>0.00129</v>
      </c>
    </row>
    <row r="4744" spans="1:7">
      <c r="A4744" s="3">
        <v>16</v>
      </c>
      <c r="B4744" s="3">
        <v>8</v>
      </c>
      <c r="C4744" s="3">
        <v>3</v>
      </c>
      <c r="D4744" s="3">
        <v>72</v>
      </c>
      <c r="E4744" s="3">
        <v>1</v>
      </c>
      <c r="F4744" s="4" t="str">
        <f>HYPERLINK("http://141.218.60.56/~jnz1568/getInfo.php?workbook=16_08.xlsx&amp;sheet=U0&amp;row=4744&amp;col=6&amp;number=3&amp;sourceID=14","3")</f>
        <v>3</v>
      </c>
      <c r="G4744" s="4" t="str">
        <f>HYPERLINK("http://141.218.60.56/~jnz1568/getInfo.php?workbook=16_08.xlsx&amp;sheet=U0&amp;row=4744&amp;col=7&amp;number=0.00576&amp;sourceID=14","0.00576")</f>
        <v>0.00576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HYPERLINK("http://141.218.60.56/~jnz1568/getInfo.php?workbook=16_08.xlsx&amp;sheet=U0&amp;row=4745&amp;col=6&amp;number=3.1&amp;sourceID=14","3.1")</f>
        <v>3.1</v>
      </c>
      <c r="G4745" s="4" t="str">
        <f>HYPERLINK("http://141.218.60.56/~jnz1568/getInfo.php?workbook=16_08.xlsx&amp;sheet=U0&amp;row=4745&amp;col=7&amp;number=0.00576&amp;sourceID=14","0.00576")</f>
        <v>0.00576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HYPERLINK("http://141.218.60.56/~jnz1568/getInfo.php?workbook=16_08.xlsx&amp;sheet=U0&amp;row=4746&amp;col=6&amp;number=3.2&amp;sourceID=14","3.2")</f>
        <v>3.2</v>
      </c>
      <c r="G4746" s="4" t="str">
        <f>HYPERLINK("http://141.218.60.56/~jnz1568/getInfo.php?workbook=16_08.xlsx&amp;sheet=U0&amp;row=4746&amp;col=7&amp;number=0.00576&amp;sourceID=14","0.00576")</f>
        <v>0.00576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HYPERLINK("http://141.218.60.56/~jnz1568/getInfo.php?workbook=16_08.xlsx&amp;sheet=U0&amp;row=4747&amp;col=6&amp;number=3.3&amp;sourceID=14","3.3")</f>
        <v>3.3</v>
      </c>
      <c r="G4747" s="4" t="str">
        <f>HYPERLINK("http://141.218.60.56/~jnz1568/getInfo.php?workbook=16_08.xlsx&amp;sheet=U0&amp;row=4747&amp;col=7&amp;number=0.00576&amp;sourceID=14","0.00576")</f>
        <v>0.00576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HYPERLINK("http://141.218.60.56/~jnz1568/getInfo.php?workbook=16_08.xlsx&amp;sheet=U0&amp;row=4748&amp;col=6&amp;number=3.4&amp;sourceID=14","3.4")</f>
        <v>3.4</v>
      </c>
      <c r="G4748" s="4" t="str">
        <f>HYPERLINK("http://141.218.60.56/~jnz1568/getInfo.php?workbook=16_08.xlsx&amp;sheet=U0&amp;row=4748&amp;col=7&amp;number=0.00575&amp;sourceID=14","0.00575")</f>
        <v>0.00575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HYPERLINK("http://141.218.60.56/~jnz1568/getInfo.php?workbook=16_08.xlsx&amp;sheet=U0&amp;row=4749&amp;col=6&amp;number=3.5&amp;sourceID=14","3.5")</f>
        <v>3.5</v>
      </c>
      <c r="G4749" s="4" t="str">
        <f>HYPERLINK("http://141.218.60.56/~jnz1568/getInfo.php?workbook=16_08.xlsx&amp;sheet=U0&amp;row=4749&amp;col=7&amp;number=0.00575&amp;sourceID=14","0.00575")</f>
        <v>0.00575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HYPERLINK("http://141.218.60.56/~jnz1568/getInfo.php?workbook=16_08.xlsx&amp;sheet=U0&amp;row=4750&amp;col=6&amp;number=3.6&amp;sourceID=14","3.6")</f>
        <v>3.6</v>
      </c>
      <c r="G4750" s="4" t="str">
        <f>HYPERLINK("http://141.218.60.56/~jnz1568/getInfo.php?workbook=16_08.xlsx&amp;sheet=U0&amp;row=4750&amp;col=7&amp;number=0.00575&amp;sourceID=14","0.00575")</f>
        <v>0.00575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HYPERLINK("http://141.218.60.56/~jnz1568/getInfo.php?workbook=16_08.xlsx&amp;sheet=U0&amp;row=4751&amp;col=6&amp;number=3.7&amp;sourceID=14","3.7")</f>
        <v>3.7</v>
      </c>
      <c r="G4751" s="4" t="str">
        <f>HYPERLINK("http://141.218.60.56/~jnz1568/getInfo.php?workbook=16_08.xlsx&amp;sheet=U0&amp;row=4751&amp;col=7&amp;number=0.00575&amp;sourceID=14","0.00575")</f>
        <v>0.00575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HYPERLINK("http://141.218.60.56/~jnz1568/getInfo.php?workbook=16_08.xlsx&amp;sheet=U0&amp;row=4752&amp;col=6&amp;number=3.8&amp;sourceID=14","3.8")</f>
        <v>3.8</v>
      </c>
      <c r="G4752" s="4" t="str">
        <f>HYPERLINK("http://141.218.60.56/~jnz1568/getInfo.php?workbook=16_08.xlsx&amp;sheet=U0&amp;row=4752&amp;col=7&amp;number=0.00574&amp;sourceID=14","0.00574")</f>
        <v>0.00574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HYPERLINK("http://141.218.60.56/~jnz1568/getInfo.php?workbook=16_08.xlsx&amp;sheet=U0&amp;row=4753&amp;col=6&amp;number=3.9&amp;sourceID=14","3.9")</f>
        <v>3.9</v>
      </c>
      <c r="G4753" s="4" t="str">
        <f>HYPERLINK("http://141.218.60.56/~jnz1568/getInfo.php?workbook=16_08.xlsx&amp;sheet=U0&amp;row=4753&amp;col=7&amp;number=0.00574&amp;sourceID=14","0.00574")</f>
        <v>0.00574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HYPERLINK("http://141.218.60.56/~jnz1568/getInfo.php?workbook=16_08.xlsx&amp;sheet=U0&amp;row=4754&amp;col=6&amp;number=4&amp;sourceID=14","4")</f>
        <v>4</v>
      </c>
      <c r="G4754" s="4" t="str">
        <f>HYPERLINK("http://141.218.60.56/~jnz1568/getInfo.php?workbook=16_08.xlsx&amp;sheet=U0&amp;row=4754&amp;col=7&amp;number=0.00573&amp;sourceID=14","0.00573")</f>
        <v>0.00573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HYPERLINK("http://141.218.60.56/~jnz1568/getInfo.php?workbook=16_08.xlsx&amp;sheet=U0&amp;row=4755&amp;col=6&amp;number=4.1&amp;sourceID=14","4.1")</f>
        <v>4.1</v>
      </c>
      <c r="G4755" s="4" t="str">
        <f>HYPERLINK("http://141.218.60.56/~jnz1568/getInfo.php?workbook=16_08.xlsx&amp;sheet=U0&amp;row=4755&amp;col=7&amp;number=0.00573&amp;sourceID=14","0.00573")</f>
        <v>0.00573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HYPERLINK("http://141.218.60.56/~jnz1568/getInfo.php?workbook=16_08.xlsx&amp;sheet=U0&amp;row=4756&amp;col=6&amp;number=4.2&amp;sourceID=14","4.2")</f>
        <v>4.2</v>
      </c>
      <c r="G4756" s="4" t="str">
        <f>HYPERLINK("http://141.218.60.56/~jnz1568/getInfo.php?workbook=16_08.xlsx&amp;sheet=U0&amp;row=4756&amp;col=7&amp;number=0.00572&amp;sourceID=14","0.00572")</f>
        <v>0.00572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HYPERLINK("http://141.218.60.56/~jnz1568/getInfo.php?workbook=16_08.xlsx&amp;sheet=U0&amp;row=4757&amp;col=6&amp;number=4.3&amp;sourceID=14","4.3")</f>
        <v>4.3</v>
      </c>
      <c r="G4757" s="4" t="str">
        <f>HYPERLINK("http://141.218.60.56/~jnz1568/getInfo.php?workbook=16_08.xlsx&amp;sheet=U0&amp;row=4757&amp;col=7&amp;number=0.00571&amp;sourceID=14","0.00571")</f>
        <v>0.00571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HYPERLINK("http://141.218.60.56/~jnz1568/getInfo.php?workbook=16_08.xlsx&amp;sheet=U0&amp;row=4758&amp;col=6&amp;number=4.4&amp;sourceID=14","4.4")</f>
        <v>4.4</v>
      </c>
      <c r="G4758" s="4" t="str">
        <f>HYPERLINK("http://141.218.60.56/~jnz1568/getInfo.php?workbook=16_08.xlsx&amp;sheet=U0&amp;row=4758&amp;col=7&amp;number=0.0057&amp;sourceID=14","0.0057")</f>
        <v>0.0057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HYPERLINK("http://141.218.60.56/~jnz1568/getInfo.php?workbook=16_08.xlsx&amp;sheet=U0&amp;row=4759&amp;col=6&amp;number=4.5&amp;sourceID=14","4.5")</f>
        <v>4.5</v>
      </c>
      <c r="G4759" s="4" t="str">
        <f>HYPERLINK("http://141.218.60.56/~jnz1568/getInfo.php?workbook=16_08.xlsx&amp;sheet=U0&amp;row=4759&amp;col=7&amp;number=0.00568&amp;sourceID=14","0.00568")</f>
        <v>0.00568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HYPERLINK("http://141.218.60.56/~jnz1568/getInfo.php?workbook=16_08.xlsx&amp;sheet=U0&amp;row=4760&amp;col=6&amp;number=4.6&amp;sourceID=14","4.6")</f>
        <v>4.6</v>
      </c>
      <c r="G4760" s="4" t="str">
        <f>HYPERLINK("http://141.218.60.56/~jnz1568/getInfo.php?workbook=16_08.xlsx&amp;sheet=U0&amp;row=4760&amp;col=7&amp;number=0.00566&amp;sourceID=14","0.00566")</f>
        <v>0.00566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HYPERLINK("http://141.218.60.56/~jnz1568/getInfo.php?workbook=16_08.xlsx&amp;sheet=U0&amp;row=4761&amp;col=6&amp;number=4.7&amp;sourceID=14","4.7")</f>
        <v>4.7</v>
      </c>
      <c r="G4761" s="4" t="str">
        <f>HYPERLINK("http://141.218.60.56/~jnz1568/getInfo.php?workbook=16_08.xlsx&amp;sheet=U0&amp;row=4761&amp;col=7&amp;number=0.00563&amp;sourceID=14","0.00563")</f>
        <v>0.00563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HYPERLINK("http://141.218.60.56/~jnz1568/getInfo.php?workbook=16_08.xlsx&amp;sheet=U0&amp;row=4762&amp;col=6&amp;number=4.8&amp;sourceID=14","4.8")</f>
        <v>4.8</v>
      </c>
      <c r="G4762" s="4" t="str">
        <f>HYPERLINK("http://141.218.60.56/~jnz1568/getInfo.php?workbook=16_08.xlsx&amp;sheet=U0&amp;row=4762&amp;col=7&amp;number=0.0056&amp;sourceID=14","0.0056")</f>
        <v>0.0056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HYPERLINK("http://141.218.60.56/~jnz1568/getInfo.php?workbook=16_08.xlsx&amp;sheet=U0&amp;row=4763&amp;col=6&amp;number=4.9&amp;sourceID=14","4.9")</f>
        <v>4.9</v>
      </c>
      <c r="G4763" s="4" t="str">
        <f>HYPERLINK("http://141.218.60.56/~jnz1568/getInfo.php?workbook=16_08.xlsx&amp;sheet=U0&amp;row=4763&amp;col=7&amp;number=0.00556&amp;sourceID=14","0.00556")</f>
        <v>0.00556</v>
      </c>
    </row>
    <row r="4764" spans="1:7">
      <c r="A4764" s="3">
        <v>16</v>
      </c>
      <c r="B4764" s="3">
        <v>8</v>
      </c>
      <c r="C4764" s="3">
        <v>3</v>
      </c>
      <c r="D4764" s="3">
        <v>73</v>
      </c>
      <c r="E4764" s="3">
        <v>1</v>
      </c>
      <c r="F4764" s="4" t="str">
        <f>HYPERLINK("http://141.218.60.56/~jnz1568/getInfo.php?workbook=16_08.xlsx&amp;sheet=U0&amp;row=4764&amp;col=6&amp;number=3&amp;sourceID=14","3")</f>
        <v>3</v>
      </c>
      <c r="G4764" s="4" t="str">
        <f>HYPERLINK("http://141.218.60.56/~jnz1568/getInfo.php?workbook=16_08.xlsx&amp;sheet=U0&amp;row=4764&amp;col=7&amp;number=0.0131&amp;sourceID=14","0.0131")</f>
        <v>0.0131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HYPERLINK("http://141.218.60.56/~jnz1568/getInfo.php?workbook=16_08.xlsx&amp;sheet=U0&amp;row=4765&amp;col=6&amp;number=3.1&amp;sourceID=14","3.1")</f>
        <v>3.1</v>
      </c>
      <c r="G4765" s="4" t="str">
        <f>HYPERLINK("http://141.218.60.56/~jnz1568/getInfo.php?workbook=16_08.xlsx&amp;sheet=U0&amp;row=4765&amp;col=7&amp;number=0.0131&amp;sourceID=14","0.0131")</f>
        <v>0.0131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HYPERLINK("http://141.218.60.56/~jnz1568/getInfo.php?workbook=16_08.xlsx&amp;sheet=U0&amp;row=4766&amp;col=6&amp;number=3.2&amp;sourceID=14","3.2")</f>
        <v>3.2</v>
      </c>
      <c r="G4766" s="4" t="str">
        <f>HYPERLINK("http://141.218.60.56/~jnz1568/getInfo.php?workbook=16_08.xlsx&amp;sheet=U0&amp;row=4766&amp;col=7&amp;number=0.0131&amp;sourceID=14","0.0131")</f>
        <v>0.0131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HYPERLINK("http://141.218.60.56/~jnz1568/getInfo.php?workbook=16_08.xlsx&amp;sheet=U0&amp;row=4767&amp;col=6&amp;number=3.3&amp;sourceID=14","3.3")</f>
        <v>3.3</v>
      </c>
      <c r="G4767" s="4" t="str">
        <f>HYPERLINK("http://141.218.60.56/~jnz1568/getInfo.php?workbook=16_08.xlsx&amp;sheet=U0&amp;row=4767&amp;col=7&amp;number=0.0131&amp;sourceID=14","0.0131")</f>
        <v>0.0131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HYPERLINK("http://141.218.60.56/~jnz1568/getInfo.php?workbook=16_08.xlsx&amp;sheet=U0&amp;row=4768&amp;col=6&amp;number=3.4&amp;sourceID=14","3.4")</f>
        <v>3.4</v>
      </c>
      <c r="G4768" s="4" t="str">
        <f>HYPERLINK("http://141.218.60.56/~jnz1568/getInfo.php?workbook=16_08.xlsx&amp;sheet=U0&amp;row=4768&amp;col=7&amp;number=0.0131&amp;sourceID=14","0.0131")</f>
        <v>0.0131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HYPERLINK("http://141.218.60.56/~jnz1568/getInfo.php?workbook=16_08.xlsx&amp;sheet=U0&amp;row=4769&amp;col=6&amp;number=3.5&amp;sourceID=14","3.5")</f>
        <v>3.5</v>
      </c>
      <c r="G4769" s="4" t="str">
        <f>HYPERLINK("http://141.218.60.56/~jnz1568/getInfo.php?workbook=16_08.xlsx&amp;sheet=U0&amp;row=4769&amp;col=7&amp;number=0.0131&amp;sourceID=14","0.0131")</f>
        <v>0.0131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HYPERLINK("http://141.218.60.56/~jnz1568/getInfo.php?workbook=16_08.xlsx&amp;sheet=U0&amp;row=4770&amp;col=6&amp;number=3.6&amp;sourceID=14","3.6")</f>
        <v>3.6</v>
      </c>
      <c r="G4770" s="4" t="str">
        <f>HYPERLINK("http://141.218.60.56/~jnz1568/getInfo.php?workbook=16_08.xlsx&amp;sheet=U0&amp;row=4770&amp;col=7&amp;number=0.0131&amp;sourceID=14","0.0131")</f>
        <v>0.0131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HYPERLINK("http://141.218.60.56/~jnz1568/getInfo.php?workbook=16_08.xlsx&amp;sheet=U0&amp;row=4771&amp;col=6&amp;number=3.7&amp;sourceID=14","3.7")</f>
        <v>3.7</v>
      </c>
      <c r="G4771" s="4" t="str">
        <f>HYPERLINK("http://141.218.60.56/~jnz1568/getInfo.php?workbook=16_08.xlsx&amp;sheet=U0&amp;row=4771&amp;col=7&amp;number=0.0132&amp;sourceID=14","0.0132")</f>
        <v>0.0132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HYPERLINK("http://141.218.60.56/~jnz1568/getInfo.php?workbook=16_08.xlsx&amp;sheet=U0&amp;row=4772&amp;col=6&amp;number=3.8&amp;sourceID=14","3.8")</f>
        <v>3.8</v>
      </c>
      <c r="G4772" s="4" t="str">
        <f>HYPERLINK("http://141.218.60.56/~jnz1568/getInfo.php?workbook=16_08.xlsx&amp;sheet=U0&amp;row=4772&amp;col=7&amp;number=0.0132&amp;sourceID=14","0.0132")</f>
        <v>0.0132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HYPERLINK("http://141.218.60.56/~jnz1568/getInfo.php?workbook=16_08.xlsx&amp;sheet=U0&amp;row=4773&amp;col=6&amp;number=3.9&amp;sourceID=14","3.9")</f>
        <v>3.9</v>
      </c>
      <c r="G4773" s="4" t="str">
        <f>HYPERLINK("http://141.218.60.56/~jnz1568/getInfo.php?workbook=16_08.xlsx&amp;sheet=U0&amp;row=4773&amp;col=7&amp;number=0.0132&amp;sourceID=14","0.0132")</f>
        <v>0.0132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HYPERLINK("http://141.218.60.56/~jnz1568/getInfo.php?workbook=16_08.xlsx&amp;sheet=U0&amp;row=4774&amp;col=6&amp;number=4&amp;sourceID=14","4")</f>
        <v>4</v>
      </c>
      <c r="G4774" s="4" t="str">
        <f>HYPERLINK("http://141.218.60.56/~jnz1568/getInfo.php?workbook=16_08.xlsx&amp;sheet=U0&amp;row=4774&amp;col=7&amp;number=0.0132&amp;sourceID=14","0.0132")</f>
        <v>0.0132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HYPERLINK("http://141.218.60.56/~jnz1568/getInfo.php?workbook=16_08.xlsx&amp;sheet=U0&amp;row=4775&amp;col=6&amp;number=4.1&amp;sourceID=14","4.1")</f>
        <v>4.1</v>
      </c>
      <c r="G4775" s="4" t="str">
        <f>HYPERLINK("http://141.218.60.56/~jnz1568/getInfo.php?workbook=16_08.xlsx&amp;sheet=U0&amp;row=4775&amp;col=7&amp;number=0.0132&amp;sourceID=14","0.0132")</f>
        <v>0.0132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HYPERLINK("http://141.218.60.56/~jnz1568/getInfo.php?workbook=16_08.xlsx&amp;sheet=U0&amp;row=4776&amp;col=6&amp;number=4.2&amp;sourceID=14","4.2")</f>
        <v>4.2</v>
      </c>
      <c r="G4776" s="4" t="str">
        <f>HYPERLINK("http://141.218.60.56/~jnz1568/getInfo.php?workbook=16_08.xlsx&amp;sheet=U0&amp;row=4776&amp;col=7&amp;number=0.0132&amp;sourceID=14","0.0132")</f>
        <v>0.0132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HYPERLINK("http://141.218.60.56/~jnz1568/getInfo.php?workbook=16_08.xlsx&amp;sheet=U0&amp;row=4777&amp;col=6&amp;number=4.3&amp;sourceID=14","4.3")</f>
        <v>4.3</v>
      </c>
      <c r="G4777" s="4" t="str">
        <f>HYPERLINK("http://141.218.60.56/~jnz1568/getInfo.php?workbook=16_08.xlsx&amp;sheet=U0&amp;row=4777&amp;col=7&amp;number=0.0132&amp;sourceID=14","0.0132")</f>
        <v>0.0132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HYPERLINK("http://141.218.60.56/~jnz1568/getInfo.php?workbook=16_08.xlsx&amp;sheet=U0&amp;row=4778&amp;col=6&amp;number=4.4&amp;sourceID=14","4.4")</f>
        <v>4.4</v>
      </c>
      <c r="G4778" s="4" t="str">
        <f>HYPERLINK("http://141.218.60.56/~jnz1568/getInfo.php?workbook=16_08.xlsx&amp;sheet=U0&amp;row=4778&amp;col=7&amp;number=0.0132&amp;sourceID=14","0.0132")</f>
        <v>0.0132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HYPERLINK("http://141.218.60.56/~jnz1568/getInfo.php?workbook=16_08.xlsx&amp;sheet=U0&amp;row=4779&amp;col=6&amp;number=4.5&amp;sourceID=14","4.5")</f>
        <v>4.5</v>
      </c>
      <c r="G4779" s="4" t="str">
        <f>HYPERLINK("http://141.218.60.56/~jnz1568/getInfo.php?workbook=16_08.xlsx&amp;sheet=U0&amp;row=4779&amp;col=7&amp;number=0.0133&amp;sourceID=14","0.0133")</f>
        <v>0.0133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HYPERLINK("http://141.218.60.56/~jnz1568/getInfo.php?workbook=16_08.xlsx&amp;sheet=U0&amp;row=4780&amp;col=6&amp;number=4.6&amp;sourceID=14","4.6")</f>
        <v>4.6</v>
      </c>
      <c r="G4780" s="4" t="str">
        <f>HYPERLINK("http://141.218.60.56/~jnz1568/getInfo.php?workbook=16_08.xlsx&amp;sheet=U0&amp;row=4780&amp;col=7&amp;number=0.0133&amp;sourceID=14","0.0133")</f>
        <v>0.0133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HYPERLINK("http://141.218.60.56/~jnz1568/getInfo.php?workbook=16_08.xlsx&amp;sheet=U0&amp;row=4781&amp;col=6&amp;number=4.7&amp;sourceID=14","4.7")</f>
        <v>4.7</v>
      </c>
      <c r="G4781" s="4" t="str">
        <f>HYPERLINK("http://141.218.60.56/~jnz1568/getInfo.php?workbook=16_08.xlsx&amp;sheet=U0&amp;row=4781&amp;col=7&amp;number=0.0134&amp;sourceID=14","0.0134")</f>
        <v>0.0134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HYPERLINK("http://141.218.60.56/~jnz1568/getInfo.php?workbook=16_08.xlsx&amp;sheet=U0&amp;row=4782&amp;col=6&amp;number=4.8&amp;sourceID=14","4.8")</f>
        <v>4.8</v>
      </c>
      <c r="G4782" s="4" t="str">
        <f>HYPERLINK("http://141.218.60.56/~jnz1568/getInfo.php?workbook=16_08.xlsx&amp;sheet=U0&amp;row=4782&amp;col=7&amp;number=0.0134&amp;sourceID=14","0.0134")</f>
        <v>0.0134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HYPERLINK("http://141.218.60.56/~jnz1568/getInfo.php?workbook=16_08.xlsx&amp;sheet=U0&amp;row=4783&amp;col=6&amp;number=4.9&amp;sourceID=14","4.9")</f>
        <v>4.9</v>
      </c>
      <c r="G4783" s="4" t="str">
        <f>HYPERLINK("http://141.218.60.56/~jnz1568/getInfo.php?workbook=16_08.xlsx&amp;sheet=U0&amp;row=4783&amp;col=7&amp;number=0.0135&amp;sourceID=14","0.0135")</f>
        <v>0.0135</v>
      </c>
    </row>
    <row r="4784" spans="1:7">
      <c r="A4784" s="3">
        <v>16</v>
      </c>
      <c r="B4784" s="3">
        <v>8</v>
      </c>
      <c r="C4784" s="3">
        <v>3</v>
      </c>
      <c r="D4784" s="3">
        <v>74</v>
      </c>
      <c r="E4784" s="3">
        <v>1</v>
      </c>
      <c r="F4784" s="4" t="str">
        <f>HYPERLINK("http://141.218.60.56/~jnz1568/getInfo.php?workbook=16_08.xlsx&amp;sheet=U0&amp;row=4784&amp;col=6&amp;number=3&amp;sourceID=14","3")</f>
        <v>3</v>
      </c>
      <c r="G4784" s="4" t="str">
        <f>HYPERLINK("http://141.218.60.56/~jnz1568/getInfo.php?workbook=16_08.xlsx&amp;sheet=U0&amp;row=4784&amp;col=7&amp;number=0.00124&amp;sourceID=14","0.00124")</f>
        <v>0.00124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HYPERLINK("http://141.218.60.56/~jnz1568/getInfo.php?workbook=16_08.xlsx&amp;sheet=U0&amp;row=4785&amp;col=6&amp;number=3.1&amp;sourceID=14","3.1")</f>
        <v>3.1</v>
      </c>
      <c r="G4785" s="4" t="str">
        <f>HYPERLINK("http://141.218.60.56/~jnz1568/getInfo.php?workbook=16_08.xlsx&amp;sheet=U0&amp;row=4785&amp;col=7&amp;number=0.00124&amp;sourceID=14","0.00124")</f>
        <v>0.00124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HYPERLINK("http://141.218.60.56/~jnz1568/getInfo.php?workbook=16_08.xlsx&amp;sheet=U0&amp;row=4786&amp;col=6&amp;number=3.2&amp;sourceID=14","3.2")</f>
        <v>3.2</v>
      </c>
      <c r="G4786" s="4" t="str">
        <f>HYPERLINK("http://141.218.60.56/~jnz1568/getInfo.php?workbook=16_08.xlsx&amp;sheet=U0&amp;row=4786&amp;col=7&amp;number=0.00124&amp;sourceID=14","0.00124")</f>
        <v>0.00124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HYPERLINK("http://141.218.60.56/~jnz1568/getInfo.php?workbook=16_08.xlsx&amp;sheet=U0&amp;row=4787&amp;col=6&amp;number=3.3&amp;sourceID=14","3.3")</f>
        <v>3.3</v>
      </c>
      <c r="G4787" s="4" t="str">
        <f>HYPERLINK("http://141.218.60.56/~jnz1568/getInfo.php?workbook=16_08.xlsx&amp;sheet=U0&amp;row=4787&amp;col=7&amp;number=0.00124&amp;sourceID=14","0.00124")</f>
        <v>0.00124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HYPERLINK("http://141.218.60.56/~jnz1568/getInfo.php?workbook=16_08.xlsx&amp;sheet=U0&amp;row=4788&amp;col=6&amp;number=3.4&amp;sourceID=14","3.4")</f>
        <v>3.4</v>
      </c>
      <c r="G4788" s="4" t="str">
        <f>HYPERLINK("http://141.218.60.56/~jnz1568/getInfo.php?workbook=16_08.xlsx&amp;sheet=U0&amp;row=4788&amp;col=7&amp;number=0.00124&amp;sourceID=14","0.00124")</f>
        <v>0.00124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HYPERLINK("http://141.218.60.56/~jnz1568/getInfo.php?workbook=16_08.xlsx&amp;sheet=U0&amp;row=4789&amp;col=6&amp;number=3.5&amp;sourceID=14","3.5")</f>
        <v>3.5</v>
      </c>
      <c r="G4789" s="4" t="str">
        <f>HYPERLINK("http://141.218.60.56/~jnz1568/getInfo.php?workbook=16_08.xlsx&amp;sheet=U0&amp;row=4789&amp;col=7&amp;number=0.00124&amp;sourceID=14","0.00124")</f>
        <v>0.00124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HYPERLINK("http://141.218.60.56/~jnz1568/getInfo.php?workbook=16_08.xlsx&amp;sheet=U0&amp;row=4790&amp;col=6&amp;number=3.6&amp;sourceID=14","3.6")</f>
        <v>3.6</v>
      </c>
      <c r="G4790" s="4" t="str">
        <f>HYPERLINK("http://141.218.60.56/~jnz1568/getInfo.php?workbook=16_08.xlsx&amp;sheet=U0&amp;row=4790&amp;col=7&amp;number=0.00124&amp;sourceID=14","0.00124")</f>
        <v>0.00124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HYPERLINK("http://141.218.60.56/~jnz1568/getInfo.php?workbook=16_08.xlsx&amp;sheet=U0&amp;row=4791&amp;col=6&amp;number=3.7&amp;sourceID=14","3.7")</f>
        <v>3.7</v>
      </c>
      <c r="G4791" s="4" t="str">
        <f>HYPERLINK("http://141.218.60.56/~jnz1568/getInfo.php?workbook=16_08.xlsx&amp;sheet=U0&amp;row=4791&amp;col=7&amp;number=0.00124&amp;sourceID=14","0.00124")</f>
        <v>0.00124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HYPERLINK("http://141.218.60.56/~jnz1568/getInfo.php?workbook=16_08.xlsx&amp;sheet=U0&amp;row=4792&amp;col=6&amp;number=3.8&amp;sourceID=14","3.8")</f>
        <v>3.8</v>
      </c>
      <c r="G4792" s="4" t="str">
        <f>HYPERLINK("http://141.218.60.56/~jnz1568/getInfo.php?workbook=16_08.xlsx&amp;sheet=U0&amp;row=4792&amp;col=7&amp;number=0.00124&amp;sourceID=14","0.00124")</f>
        <v>0.00124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HYPERLINK("http://141.218.60.56/~jnz1568/getInfo.php?workbook=16_08.xlsx&amp;sheet=U0&amp;row=4793&amp;col=6&amp;number=3.9&amp;sourceID=14","3.9")</f>
        <v>3.9</v>
      </c>
      <c r="G4793" s="4" t="str">
        <f>HYPERLINK("http://141.218.60.56/~jnz1568/getInfo.php?workbook=16_08.xlsx&amp;sheet=U0&amp;row=4793&amp;col=7&amp;number=0.00124&amp;sourceID=14","0.00124")</f>
        <v>0.00124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HYPERLINK("http://141.218.60.56/~jnz1568/getInfo.php?workbook=16_08.xlsx&amp;sheet=U0&amp;row=4794&amp;col=6&amp;number=4&amp;sourceID=14","4")</f>
        <v>4</v>
      </c>
      <c r="G4794" s="4" t="str">
        <f>HYPERLINK("http://141.218.60.56/~jnz1568/getInfo.php?workbook=16_08.xlsx&amp;sheet=U0&amp;row=4794&amp;col=7&amp;number=0.00124&amp;sourceID=14","0.00124")</f>
        <v>0.00124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HYPERLINK("http://141.218.60.56/~jnz1568/getInfo.php?workbook=16_08.xlsx&amp;sheet=U0&amp;row=4795&amp;col=6&amp;number=4.1&amp;sourceID=14","4.1")</f>
        <v>4.1</v>
      </c>
      <c r="G4795" s="4" t="str">
        <f>HYPERLINK("http://141.218.60.56/~jnz1568/getInfo.php?workbook=16_08.xlsx&amp;sheet=U0&amp;row=4795&amp;col=7&amp;number=0.00124&amp;sourceID=14","0.00124")</f>
        <v>0.00124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HYPERLINK("http://141.218.60.56/~jnz1568/getInfo.php?workbook=16_08.xlsx&amp;sheet=U0&amp;row=4796&amp;col=6&amp;number=4.2&amp;sourceID=14","4.2")</f>
        <v>4.2</v>
      </c>
      <c r="G4796" s="4" t="str">
        <f>HYPERLINK("http://141.218.60.56/~jnz1568/getInfo.php?workbook=16_08.xlsx&amp;sheet=U0&amp;row=4796&amp;col=7&amp;number=0.00124&amp;sourceID=14","0.00124")</f>
        <v>0.00124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HYPERLINK("http://141.218.60.56/~jnz1568/getInfo.php?workbook=16_08.xlsx&amp;sheet=U0&amp;row=4797&amp;col=6&amp;number=4.3&amp;sourceID=14","4.3")</f>
        <v>4.3</v>
      </c>
      <c r="G4797" s="4" t="str">
        <f>HYPERLINK("http://141.218.60.56/~jnz1568/getInfo.php?workbook=16_08.xlsx&amp;sheet=U0&amp;row=4797&amp;col=7&amp;number=0.00124&amp;sourceID=14","0.00124")</f>
        <v>0.00124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HYPERLINK("http://141.218.60.56/~jnz1568/getInfo.php?workbook=16_08.xlsx&amp;sheet=U0&amp;row=4798&amp;col=6&amp;number=4.4&amp;sourceID=14","4.4")</f>
        <v>4.4</v>
      </c>
      <c r="G4798" s="4" t="str">
        <f>HYPERLINK("http://141.218.60.56/~jnz1568/getInfo.php?workbook=16_08.xlsx&amp;sheet=U0&amp;row=4798&amp;col=7&amp;number=0.00124&amp;sourceID=14","0.00124")</f>
        <v>0.00124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HYPERLINK("http://141.218.60.56/~jnz1568/getInfo.php?workbook=16_08.xlsx&amp;sheet=U0&amp;row=4799&amp;col=6&amp;number=4.5&amp;sourceID=14","4.5")</f>
        <v>4.5</v>
      </c>
      <c r="G4799" s="4" t="str">
        <f>HYPERLINK("http://141.218.60.56/~jnz1568/getInfo.php?workbook=16_08.xlsx&amp;sheet=U0&amp;row=4799&amp;col=7&amp;number=0.00123&amp;sourceID=14","0.00123")</f>
        <v>0.00123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HYPERLINK("http://141.218.60.56/~jnz1568/getInfo.php?workbook=16_08.xlsx&amp;sheet=U0&amp;row=4800&amp;col=6&amp;number=4.6&amp;sourceID=14","4.6")</f>
        <v>4.6</v>
      </c>
      <c r="G4800" s="4" t="str">
        <f>HYPERLINK("http://141.218.60.56/~jnz1568/getInfo.php?workbook=16_08.xlsx&amp;sheet=U0&amp;row=4800&amp;col=7&amp;number=0.00123&amp;sourceID=14","0.00123")</f>
        <v>0.00123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HYPERLINK("http://141.218.60.56/~jnz1568/getInfo.php?workbook=16_08.xlsx&amp;sheet=U0&amp;row=4801&amp;col=6&amp;number=4.7&amp;sourceID=14","4.7")</f>
        <v>4.7</v>
      </c>
      <c r="G4801" s="4" t="str">
        <f>HYPERLINK("http://141.218.60.56/~jnz1568/getInfo.php?workbook=16_08.xlsx&amp;sheet=U0&amp;row=4801&amp;col=7&amp;number=0.00123&amp;sourceID=14","0.00123")</f>
        <v>0.00123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HYPERLINK("http://141.218.60.56/~jnz1568/getInfo.php?workbook=16_08.xlsx&amp;sheet=U0&amp;row=4802&amp;col=6&amp;number=4.8&amp;sourceID=14","4.8")</f>
        <v>4.8</v>
      </c>
      <c r="G4802" s="4" t="str">
        <f>HYPERLINK("http://141.218.60.56/~jnz1568/getInfo.php?workbook=16_08.xlsx&amp;sheet=U0&amp;row=4802&amp;col=7&amp;number=0.00122&amp;sourceID=14","0.00122")</f>
        <v>0.00122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HYPERLINK("http://141.218.60.56/~jnz1568/getInfo.php?workbook=16_08.xlsx&amp;sheet=U0&amp;row=4803&amp;col=6&amp;number=4.9&amp;sourceID=14","4.9")</f>
        <v>4.9</v>
      </c>
      <c r="G4803" s="4" t="str">
        <f>HYPERLINK("http://141.218.60.56/~jnz1568/getInfo.php?workbook=16_08.xlsx&amp;sheet=U0&amp;row=4803&amp;col=7&amp;number=0.00122&amp;sourceID=14","0.00122")</f>
        <v>0.00122</v>
      </c>
    </row>
    <row r="4804" spans="1:7">
      <c r="A4804" s="3">
        <v>16</v>
      </c>
      <c r="B4804" s="3">
        <v>8</v>
      </c>
      <c r="C4804" s="3">
        <v>3</v>
      </c>
      <c r="D4804" s="3">
        <v>75</v>
      </c>
      <c r="E4804" s="3">
        <v>1</v>
      </c>
      <c r="F4804" s="4" t="str">
        <f>HYPERLINK("http://141.218.60.56/~jnz1568/getInfo.php?workbook=16_08.xlsx&amp;sheet=U0&amp;row=4804&amp;col=6&amp;number=3&amp;sourceID=14","3")</f>
        <v>3</v>
      </c>
      <c r="G4804" s="4" t="str">
        <f>HYPERLINK("http://141.218.60.56/~jnz1568/getInfo.php?workbook=16_08.xlsx&amp;sheet=U0&amp;row=4804&amp;col=7&amp;number=0.0018&amp;sourceID=14","0.0018")</f>
        <v>0.0018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HYPERLINK("http://141.218.60.56/~jnz1568/getInfo.php?workbook=16_08.xlsx&amp;sheet=U0&amp;row=4805&amp;col=6&amp;number=3.1&amp;sourceID=14","3.1")</f>
        <v>3.1</v>
      </c>
      <c r="G4805" s="4" t="str">
        <f>HYPERLINK("http://141.218.60.56/~jnz1568/getInfo.php?workbook=16_08.xlsx&amp;sheet=U0&amp;row=4805&amp;col=7&amp;number=0.0018&amp;sourceID=14","0.0018")</f>
        <v>0.0018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HYPERLINK("http://141.218.60.56/~jnz1568/getInfo.php?workbook=16_08.xlsx&amp;sheet=U0&amp;row=4806&amp;col=6&amp;number=3.2&amp;sourceID=14","3.2")</f>
        <v>3.2</v>
      </c>
      <c r="G4806" s="4" t="str">
        <f>HYPERLINK("http://141.218.60.56/~jnz1568/getInfo.php?workbook=16_08.xlsx&amp;sheet=U0&amp;row=4806&amp;col=7&amp;number=0.0018&amp;sourceID=14","0.0018")</f>
        <v>0.0018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HYPERLINK("http://141.218.60.56/~jnz1568/getInfo.php?workbook=16_08.xlsx&amp;sheet=U0&amp;row=4807&amp;col=6&amp;number=3.3&amp;sourceID=14","3.3")</f>
        <v>3.3</v>
      </c>
      <c r="G4807" s="4" t="str">
        <f>HYPERLINK("http://141.218.60.56/~jnz1568/getInfo.php?workbook=16_08.xlsx&amp;sheet=U0&amp;row=4807&amp;col=7&amp;number=0.0018&amp;sourceID=14","0.0018")</f>
        <v>0.0018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HYPERLINK("http://141.218.60.56/~jnz1568/getInfo.php?workbook=16_08.xlsx&amp;sheet=U0&amp;row=4808&amp;col=6&amp;number=3.4&amp;sourceID=14","3.4")</f>
        <v>3.4</v>
      </c>
      <c r="G4808" s="4" t="str">
        <f>HYPERLINK("http://141.218.60.56/~jnz1568/getInfo.php?workbook=16_08.xlsx&amp;sheet=U0&amp;row=4808&amp;col=7&amp;number=0.00179&amp;sourceID=14","0.00179")</f>
        <v>0.00179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HYPERLINK("http://141.218.60.56/~jnz1568/getInfo.php?workbook=16_08.xlsx&amp;sheet=U0&amp;row=4809&amp;col=6&amp;number=3.5&amp;sourceID=14","3.5")</f>
        <v>3.5</v>
      </c>
      <c r="G4809" s="4" t="str">
        <f>HYPERLINK("http://141.218.60.56/~jnz1568/getInfo.php?workbook=16_08.xlsx&amp;sheet=U0&amp;row=4809&amp;col=7&amp;number=0.00179&amp;sourceID=14","0.00179")</f>
        <v>0.00179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HYPERLINK("http://141.218.60.56/~jnz1568/getInfo.php?workbook=16_08.xlsx&amp;sheet=U0&amp;row=4810&amp;col=6&amp;number=3.6&amp;sourceID=14","3.6")</f>
        <v>3.6</v>
      </c>
      <c r="G4810" s="4" t="str">
        <f>HYPERLINK("http://141.218.60.56/~jnz1568/getInfo.php?workbook=16_08.xlsx&amp;sheet=U0&amp;row=4810&amp;col=7&amp;number=0.00179&amp;sourceID=14","0.00179")</f>
        <v>0.00179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HYPERLINK("http://141.218.60.56/~jnz1568/getInfo.php?workbook=16_08.xlsx&amp;sheet=U0&amp;row=4811&amp;col=6&amp;number=3.7&amp;sourceID=14","3.7")</f>
        <v>3.7</v>
      </c>
      <c r="G4811" s="4" t="str">
        <f>HYPERLINK("http://141.218.60.56/~jnz1568/getInfo.php?workbook=16_08.xlsx&amp;sheet=U0&amp;row=4811&amp;col=7&amp;number=0.00179&amp;sourceID=14","0.00179")</f>
        <v>0.00179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HYPERLINK("http://141.218.60.56/~jnz1568/getInfo.php?workbook=16_08.xlsx&amp;sheet=U0&amp;row=4812&amp;col=6&amp;number=3.8&amp;sourceID=14","3.8")</f>
        <v>3.8</v>
      </c>
      <c r="G4812" s="4" t="str">
        <f>HYPERLINK("http://141.218.60.56/~jnz1568/getInfo.php?workbook=16_08.xlsx&amp;sheet=U0&amp;row=4812&amp;col=7&amp;number=0.00179&amp;sourceID=14","0.00179")</f>
        <v>0.00179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HYPERLINK("http://141.218.60.56/~jnz1568/getInfo.php?workbook=16_08.xlsx&amp;sheet=U0&amp;row=4813&amp;col=6&amp;number=3.9&amp;sourceID=14","3.9")</f>
        <v>3.9</v>
      </c>
      <c r="G4813" s="4" t="str">
        <f>HYPERLINK("http://141.218.60.56/~jnz1568/getInfo.php?workbook=16_08.xlsx&amp;sheet=U0&amp;row=4813&amp;col=7&amp;number=0.00179&amp;sourceID=14","0.00179")</f>
        <v>0.00179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HYPERLINK("http://141.218.60.56/~jnz1568/getInfo.php?workbook=16_08.xlsx&amp;sheet=U0&amp;row=4814&amp;col=6&amp;number=4&amp;sourceID=14","4")</f>
        <v>4</v>
      </c>
      <c r="G4814" s="4" t="str">
        <f>HYPERLINK("http://141.218.60.56/~jnz1568/getInfo.php?workbook=16_08.xlsx&amp;sheet=U0&amp;row=4814&amp;col=7&amp;number=0.00179&amp;sourceID=14","0.00179")</f>
        <v>0.00179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HYPERLINK("http://141.218.60.56/~jnz1568/getInfo.php?workbook=16_08.xlsx&amp;sheet=U0&amp;row=4815&amp;col=6&amp;number=4.1&amp;sourceID=14","4.1")</f>
        <v>4.1</v>
      </c>
      <c r="G4815" s="4" t="str">
        <f>HYPERLINK("http://141.218.60.56/~jnz1568/getInfo.php?workbook=16_08.xlsx&amp;sheet=U0&amp;row=4815&amp;col=7&amp;number=0.00179&amp;sourceID=14","0.00179")</f>
        <v>0.00179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HYPERLINK("http://141.218.60.56/~jnz1568/getInfo.php?workbook=16_08.xlsx&amp;sheet=U0&amp;row=4816&amp;col=6&amp;number=4.2&amp;sourceID=14","4.2")</f>
        <v>4.2</v>
      </c>
      <c r="G4816" s="4" t="str">
        <f>HYPERLINK("http://141.218.60.56/~jnz1568/getInfo.php?workbook=16_08.xlsx&amp;sheet=U0&amp;row=4816&amp;col=7&amp;number=0.00179&amp;sourceID=14","0.00179")</f>
        <v>0.00179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HYPERLINK("http://141.218.60.56/~jnz1568/getInfo.php?workbook=16_08.xlsx&amp;sheet=U0&amp;row=4817&amp;col=6&amp;number=4.3&amp;sourceID=14","4.3")</f>
        <v>4.3</v>
      </c>
      <c r="G4817" s="4" t="str">
        <f>HYPERLINK("http://141.218.60.56/~jnz1568/getInfo.php?workbook=16_08.xlsx&amp;sheet=U0&amp;row=4817&amp;col=7&amp;number=0.00179&amp;sourceID=14","0.00179")</f>
        <v>0.00179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HYPERLINK("http://141.218.60.56/~jnz1568/getInfo.php?workbook=16_08.xlsx&amp;sheet=U0&amp;row=4818&amp;col=6&amp;number=4.4&amp;sourceID=14","4.4")</f>
        <v>4.4</v>
      </c>
      <c r="G4818" s="4" t="str">
        <f>HYPERLINK("http://141.218.60.56/~jnz1568/getInfo.php?workbook=16_08.xlsx&amp;sheet=U0&amp;row=4818&amp;col=7&amp;number=0.00178&amp;sourceID=14","0.00178")</f>
        <v>0.00178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HYPERLINK("http://141.218.60.56/~jnz1568/getInfo.php?workbook=16_08.xlsx&amp;sheet=U0&amp;row=4819&amp;col=6&amp;number=4.5&amp;sourceID=14","4.5")</f>
        <v>4.5</v>
      </c>
      <c r="G4819" s="4" t="str">
        <f>HYPERLINK("http://141.218.60.56/~jnz1568/getInfo.php?workbook=16_08.xlsx&amp;sheet=U0&amp;row=4819&amp;col=7&amp;number=0.00178&amp;sourceID=14","0.00178")</f>
        <v>0.00178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HYPERLINK("http://141.218.60.56/~jnz1568/getInfo.php?workbook=16_08.xlsx&amp;sheet=U0&amp;row=4820&amp;col=6&amp;number=4.6&amp;sourceID=14","4.6")</f>
        <v>4.6</v>
      </c>
      <c r="G4820" s="4" t="str">
        <f>HYPERLINK("http://141.218.60.56/~jnz1568/getInfo.php?workbook=16_08.xlsx&amp;sheet=U0&amp;row=4820&amp;col=7&amp;number=0.00178&amp;sourceID=14","0.00178")</f>
        <v>0.00178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HYPERLINK("http://141.218.60.56/~jnz1568/getInfo.php?workbook=16_08.xlsx&amp;sheet=U0&amp;row=4821&amp;col=6&amp;number=4.7&amp;sourceID=14","4.7")</f>
        <v>4.7</v>
      </c>
      <c r="G4821" s="4" t="str">
        <f>HYPERLINK("http://141.218.60.56/~jnz1568/getInfo.php?workbook=16_08.xlsx&amp;sheet=U0&amp;row=4821&amp;col=7&amp;number=0.00177&amp;sourceID=14","0.00177")</f>
        <v>0.00177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HYPERLINK("http://141.218.60.56/~jnz1568/getInfo.php?workbook=16_08.xlsx&amp;sheet=U0&amp;row=4822&amp;col=6&amp;number=4.8&amp;sourceID=14","4.8")</f>
        <v>4.8</v>
      </c>
      <c r="G4822" s="4" t="str">
        <f>HYPERLINK("http://141.218.60.56/~jnz1568/getInfo.php?workbook=16_08.xlsx&amp;sheet=U0&amp;row=4822&amp;col=7&amp;number=0.00177&amp;sourceID=14","0.00177")</f>
        <v>0.00177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HYPERLINK("http://141.218.60.56/~jnz1568/getInfo.php?workbook=16_08.xlsx&amp;sheet=U0&amp;row=4823&amp;col=6&amp;number=4.9&amp;sourceID=14","4.9")</f>
        <v>4.9</v>
      </c>
      <c r="G4823" s="4" t="str">
        <f>HYPERLINK("http://141.218.60.56/~jnz1568/getInfo.php?workbook=16_08.xlsx&amp;sheet=U0&amp;row=4823&amp;col=7&amp;number=0.00176&amp;sourceID=14","0.00176")</f>
        <v>0.00176</v>
      </c>
    </row>
    <row r="4824" spans="1:7">
      <c r="A4824" s="3">
        <v>16</v>
      </c>
      <c r="B4824" s="3">
        <v>8</v>
      </c>
      <c r="C4824" s="3">
        <v>3</v>
      </c>
      <c r="D4824" s="3">
        <v>76</v>
      </c>
      <c r="E4824" s="3">
        <v>1</v>
      </c>
      <c r="F4824" s="4" t="str">
        <f>HYPERLINK("http://141.218.60.56/~jnz1568/getInfo.php?workbook=16_08.xlsx&amp;sheet=U0&amp;row=4824&amp;col=6&amp;number=3&amp;sourceID=14","3")</f>
        <v>3</v>
      </c>
      <c r="G4824" s="4" t="str">
        <f>HYPERLINK("http://141.218.60.56/~jnz1568/getInfo.php?workbook=16_08.xlsx&amp;sheet=U0&amp;row=4824&amp;col=7&amp;number=0.00291&amp;sourceID=14","0.00291")</f>
        <v>0.00291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HYPERLINK("http://141.218.60.56/~jnz1568/getInfo.php?workbook=16_08.xlsx&amp;sheet=U0&amp;row=4825&amp;col=6&amp;number=3.1&amp;sourceID=14","3.1")</f>
        <v>3.1</v>
      </c>
      <c r="G4825" s="4" t="str">
        <f>HYPERLINK("http://141.218.60.56/~jnz1568/getInfo.php?workbook=16_08.xlsx&amp;sheet=U0&amp;row=4825&amp;col=7&amp;number=0.00291&amp;sourceID=14","0.00291")</f>
        <v>0.00291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HYPERLINK("http://141.218.60.56/~jnz1568/getInfo.php?workbook=16_08.xlsx&amp;sheet=U0&amp;row=4826&amp;col=6&amp;number=3.2&amp;sourceID=14","3.2")</f>
        <v>3.2</v>
      </c>
      <c r="G4826" s="4" t="str">
        <f>HYPERLINK("http://141.218.60.56/~jnz1568/getInfo.php?workbook=16_08.xlsx&amp;sheet=U0&amp;row=4826&amp;col=7&amp;number=0.00291&amp;sourceID=14","0.00291")</f>
        <v>0.00291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HYPERLINK("http://141.218.60.56/~jnz1568/getInfo.php?workbook=16_08.xlsx&amp;sheet=U0&amp;row=4827&amp;col=6&amp;number=3.3&amp;sourceID=14","3.3")</f>
        <v>3.3</v>
      </c>
      <c r="G4827" s="4" t="str">
        <f>HYPERLINK("http://141.218.60.56/~jnz1568/getInfo.php?workbook=16_08.xlsx&amp;sheet=U0&amp;row=4827&amp;col=7&amp;number=0.00291&amp;sourceID=14","0.00291")</f>
        <v>0.00291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HYPERLINK("http://141.218.60.56/~jnz1568/getInfo.php?workbook=16_08.xlsx&amp;sheet=U0&amp;row=4828&amp;col=6&amp;number=3.4&amp;sourceID=14","3.4")</f>
        <v>3.4</v>
      </c>
      <c r="G4828" s="4" t="str">
        <f>HYPERLINK("http://141.218.60.56/~jnz1568/getInfo.php?workbook=16_08.xlsx&amp;sheet=U0&amp;row=4828&amp;col=7&amp;number=0.00291&amp;sourceID=14","0.00291")</f>
        <v>0.00291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HYPERLINK("http://141.218.60.56/~jnz1568/getInfo.php?workbook=16_08.xlsx&amp;sheet=U0&amp;row=4829&amp;col=6&amp;number=3.5&amp;sourceID=14","3.5")</f>
        <v>3.5</v>
      </c>
      <c r="G4829" s="4" t="str">
        <f>HYPERLINK("http://141.218.60.56/~jnz1568/getInfo.php?workbook=16_08.xlsx&amp;sheet=U0&amp;row=4829&amp;col=7&amp;number=0.00291&amp;sourceID=14","0.00291")</f>
        <v>0.00291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HYPERLINK("http://141.218.60.56/~jnz1568/getInfo.php?workbook=16_08.xlsx&amp;sheet=U0&amp;row=4830&amp;col=6&amp;number=3.6&amp;sourceID=14","3.6")</f>
        <v>3.6</v>
      </c>
      <c r="G4830" s="4" t="str">
        <f>HYPERLINK("http://141.218.60.56/~jnz1568/getInfo.php?workbook=16_08.xlsx&amp;sheet=U0&amp;row=4830&amp;col=7&amp;number=0.00291&amp;sourceID=14","0.00291")</f>
        <v>0.00291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HYPERLINK("http://141.218.60.56/~jnz1568/getInfo.php?workbook=16_08.xlsx&amp;sheet=U0&amp;row=4831&amp;col=6&amp;number=3.7&amp;sourceID=14","3.7")</f>
        <v>3.7</v>
      </c>
      <c r="G4831" s="4" t="str">
        <f>HYPERLINK("http://141.218.60.56/~jnz1568/getInfo.php?workbook=16_08.xlsx&amp;sheet=U0&amp;row=4831&amp;col=7&amp;number=0.00291&amp;sourceID=14","0.00291")</f>
        <v>0.00291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HYPERLINK("http://141.218.60.56/~jnz1568/getInfo.php?workbook=16_08.xlsx&amp;sheet=U0&amp;row=4832&amp;col=6&amp;number=3.8&amp;sourceID=14","3.8")</f>
        <v>3.8</v>
      </c>
      <c r="G4832" s="4" t="str">
        <f>HYPERLINK("http://141.218.60.56/~jnz1568/getInfo.php?workbook=16_08.xlsx&amp;sheet=U0&amp;row=4832&amp;col=7&amp;number=0.00291&amp;sourceID=14","0.00291")</f>
        <v>0.00291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HYPERLINK("http://141.218.60.56/~jnz1568/getInfo.php?workbook=16_08.xlsx&amp;sheet=U0&amp;row=4833&amp;col=6&amp;number=3.9&amp;sourceID=14","3.9")</f>
        <v>3.9</v>
      </c>
      <c r="G4833" s="4" t="str">
        <f>HYPERLINK("http://141.218.60.56/~jnz1568/getInfo.php?workbook=16_08.xlsx&amp;sheet=U0&amp;row=4833&amp;col=7&amp;number=0.00291&amp;sourceID=14","0.00291")</f>
        <v>0.00291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HYPERLINK("http://141.218.60.56/~jnz1568/getInfo.php?workbook=16_08.xlsx&amp;sheet=U0&amp;row=4834&amp;col=6&amp;number=4&amp;sourceID=14","4")</f>
        <v>4</v>
      </c>
      <c r="G4834" s="4" t="str">
        <f>HYPERLINK("http://141.218.60.56/~jnz1568/getInfo.php?workbook=16_08.xlsx&amp;sheet=U0&amp;row=4834&amp;col=7&amp;number=0.00291&amp;sourceID=14","0.00291")</f>
        <v>0.00291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HYPERLINK("http://141.218.60.56/~jnz1568/getInfo.php?workbook=16_08.xlsx&amp;sheet=U0&amp;row=4835&amp;col=6&amp;number=4.1&amp;sourceID=14","4.1")</f>
        <v>4.1</v>
      </c>
      <c r="G4835" s="4" t="str">
        <f>HYPERLINK("http://141.218.60.56/~jnz1568/getInfo.php?workbook=16_08.xlsx&amp;sheet=U0&amp;row=4835&amp;col=7&amp;number=0.00291&amp;sourceID=14","0.00291")</f>
        <v>0.00291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HYPERLINK("http://141.218.60.56/~jnz1568/getInfo.php?workbook=16_08.xlsx&amp;sheet=U0&amp;row=4836&amp;col=6&amp;number=4.2&amp;sourceID=14","4.2")</f>
        <v>4.2</v>
      </c>
      <c r="G4836" s="4" t="str">
        <f>HYPERLINK("http://141.218.60.56/~jnz1568/getInfo.php?workbook=16_08.xlsx&amp;sheet=U0&amp;row=4836&amp;col=7&amp;number=0.00291&amp;sourceID=14","0.00291")</f>
        <v>0.00291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HYPERLINK("http://141.218.60.56/~jnz1568/getInfo.php?workbook=16_08.xlsx&amp;sheet=U0&amp;row=4837&amp;col=6&amp;number=4.3&amp;sourceID=14","4.3")</f>
        <v>4.3</v>
      </c>
      <c r="G4837" s="4" t="str">
        <f>HYPERLINK("http://141.218.60.56/~jnz1568/getInfo.php?workbook=16_08.xlsx&amp;sheet=U0&amp;row=4837&amp;col=7&amp;number=0.00291&amp;sourceID=14","0.00291")</f>
        <v>0.00291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HYPERLINK("http://141.218.60.56/~jnz1568/getInfo.php?workbook=16_08.xlsx&amp;sheet=U0&amp;row=4838&amp;col=6&amp;number=4.4&amp;sourceID=14","4.4")</f>
        <v>4.4</v>
      </c>
      <c r="G4838" s="4" t="str">
        <f>HYPERLINK("http://141.218.60.56/~jnz1568/getInfo.php?workbook=16_08.xlsx&amp;sheet=U0&amp;row=4838&amp;col=7&amp;number=0.00291&amp;sourceID=14","0.00291")</f>
        <v>0.00291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HYPERLINK("http://141.218.60.56/~jnz1568/getInfo.php?workbook=16_08.xlsx&amp;sheet=U0&amp;row=4839&amp;col=6&amp;number=4.5&amp;sourceID=14","4.5")</f>
        <v>4.5</v>
      </c>
      <c r="G4839" s="4" t="str">
        <f>HYPERLINK("http://141.218.60.56/~jnz1568/getInfo.php?workbook=16_08.xlsx&amp;sheet=U0&amp;row=4839&amp;col=7&amp;number=0.00291&amp;sourceID=14","0.00291")</f>
        <v>0.00291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HYPERLINK("http://141.218.60.56/~jnz1568/getInfo.php?workbook=16_08.xlsx&amp;sheet=U0&amp;row=4840&amp;col=6&amp;number=4.6&amp;sourceID=14","4.6")</f>
        <v>4.6</v>
      </c>
      <c r="G4840" s="4" t="str">
        <f>HYPERLINK("http://141.218.60.56/~jnz1568/getInfo.php?workbook=16_08.xlsx&amp;sheet=U0&amp;row=4840&amp;col=7&amp;number=0.00291&amp;sourceID=14","0.00291")</f>
        <v>0.00291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HYPERLINK("http://141.218.60.56/~jnz1568/getInfo.php?workbook=16_08.xlsx&amp;sheet=U0&amp;row=4841&amp;col=6&amp;number=4.7&amp;sourceID=14","4.7")</f>
        <v>4.7</v>
      </c>
      <c r="G4841" s="4" t="str">
        <f>HYPERLINK("http://141.218.60.56/~jnz1568/getInfo.php?workbook=16_08.xlsx&amp;sheet=U0&amp;row=4841&amp;col=7&amp;number=0.00291&amp;sourceID=14","0.00291")</f>
        <v>0.00291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HYPERLINK("http://141.218.60.56/~jnz1568/getInfo.php?workbook=16_08.xlsx&amp;sheet=U0&amp;row=4842&amp;col=6&amp;number=4.8&amp;sourceID=14","4.8")</f>
        <v>4.8</v>
      </c>
      <c r="G4842" s="4" t="str">
        <f>HYPERLINK("http://141.218.60.56/~jnz1568/getInfo.php?workbook=16_08.xlsx&amp;sheet=U0&amp;row=4842&amp;col=7&amp;number=0.00291&amp;sourceID=14","0.00291")</f>
        <v>0.00291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HYPERLINK("http://141.218.60.56/~jnz1568/getInfo.php?workbook=16_08.xlsx&amp;sheet=U0&amp;row=4843&amp;col=6&amp;number=4.9&amp;sourceID=14","4.9")</f>
        <v>4.9</v>
      </c>
      <c r="G4843" s="4" t="str">
        <f>HYPERLINK("http://141.218.60.56/~jnz1568/getInfo.php?workbook=16_08.xlsx&amp;sheet=U0&amp;row=4843&amp;col=7&amp;number=0.0029&amp;sourceID=14","0.0029")</f>
        <v>0.0029</v>
      </c>
    </row>
    <row r="4844" spans="1:7">
      <c r="A4844" s="3">
        <v>16</v>
      </c>
      <c r="B4844" s="3">
        <v>8</v>
      </c>
      <c r="C4844" s="3">
        <v>3</v>
      </c>
      <c r="D4844" s="3">
        <v>77</v>
      </c>
      <c r="E4844" s="3">
        <v>1</v>
      </c>
      <c r="F4844" s="4" t="str">
        <f>HYPERLINK("http://141.218.60.56/~jnz1568/getInfo.php?workbook=16_08.xlsx&amp;sheet=U0&amp;row=4844&amp;col=6&amp;number=3&amp;sourceID=14","3")</f>
        <v>3</v>
      </c>
      <c r="G4844" s="4" t="str">
        <f>HYPERLINK("http://141.218.60.56/~jnz1568/getInfo.php?workbook=16_08.xlsx&amp;sheet=U0&amp;row=4844&amp;col=7&amp;number=0.00365&amp;sourceID=14","0.00365")</f>
        <v>0.00365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HYPERLINK("http://141.218.60.56/~jnz1568/getInfo.php?workbook=16_08.xlsx&amp;sheet=U0&amp;row=4845&amp;col=6&amp;number=3.1&amp;sourceID=14","3.1")</f>
        <v>3.1</v>
      </c>
      <c r="G4845" s="4" t="str">
        <f>HYPERLINK("http://141.218.60.56/~jnz1568/getInfo.php?workbook=16_08.xlsx&amp;sheet=U0&amp;row=4845&amp;col=7&amp;number=0.00365&amp;sourceID=14","0.00365")</f>
        <v>0.00365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HYPERLINK("http://141.218.60.56/~jnz1568/getInfo.php?workbook=16_08.xlsx&amp;sheet=U0&amp;row=4846&amp;col=6&amp;number=3.2&amp;sourceID=14","3.2")</f>
        <v>3.2</v>
      </c>
      <c r="G4846" s="4" t="str">
        <f>HYPERLINK("http://141.218.60.56/~jnz1568/getInfo.php?workbook=16_08.xlsx&amp;sheet=U0&amp;row=4846&amp;col=7&amp;number=0.00365&amp;sourceID=14","0.00365")</f>
        <v>0.00365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HYPERLINK("http://141.218.60.56/~jnz1568/getInfo.php?workbook=16_08.xlsx&amp;sheet=U0&amp;row=4847&amp;col=6&amp;number=3.3&amp;sourceID=14","3.3")</f>
        <v>3.3</v>
      </c>
      <c r="G4847" s="4" t="str">
        <f>HYPERLINK("http://141.218.60.56/~jnz1568/getInfo.php?workbook=16_08.xlsx&amp;sheet=U0&amp;row=4847&amp;col=7&amp;number=0.00365&amp;sourceID=14","0.00365")</f>
        <v>0.00365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HYPERLINK("http://141.218.60.56/~jnz1568/getInfo.php?workbook=16_08.xlsx&amp;sheet=U0&amp;row=4848&amp;col=6&amp;number=3.4&amp;sourceID=14","3.4")</f>
        <v>3.4</v>
      </c>
      <c r="G4848" s="4" t="str">
        <f>HYPERLINK("http://141.218.60.56/~jnz1568/getInfo.php?workbook=16_08.xlsx&amp;sheet=U0&amp;row=4848&amp;col=7&amp;number=0.00365&amp;sourceID=14","0.00365")</f>
        <v>0.00365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HYPERLINK("http://141.218.60.56/~jnz1568/getInfo.php?workbook=16_08.xlsx&amp;sheet=U0&amp;row=4849&amp;col=6&amp;number=3.5&amp;sourceID=14","3.5")</f>
        <v>3.5</v>
      </c>
      <c r="G4849" s="4" t="str">
        <f>HYPERLINK("http://141.218.60.56/~jnz1568/getInfo.php?workbook=16_08.xlsx&amp;sheet=U0&amp;row=4849&amp;col=7&amp;number=0.00365&amp;sourceID=14","0.00365")</f>
        <v>0.00365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HYPERLINK("http://141.218.60.56/~jnz1568/getInfo.php?workbook=16_08.xlsx&amp;sheet=U0&amp;row=4850&amp;col=6&amp;number=3.6&amp;sourceID=14","3.6")</f>
        <v>3.6</v>
      </c>
      <c r="G4850" s="4" t="str">
        <f>HYPERLINK("http://141.218.60.56/~jnz1568/getInfo.php?workbook=16_08.xlsx&amp;sheet=U0&amp;row=4850&amp;col=7&amp;number=0.00365&amp;sourceID=14","0.00365")</f>
        <v>0.00365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HYPERLINK("http://141.218.60.56/~jnz1568/getInfo.php?workbook=16_08.xlsx&amp;sheet=U0&amp;row=4851&amp;col=6&amp;number=3.7&amp;sourceID=14","3.7")</f>
        <v>3.7</v>
      </c>
      <c r="G4851" s="4" t="str">
        <f>HYPERLINK("http://141.218.60.56/~jnz1568/getInfo.php?workbook=16_08.xlsx&amp;sheet=U0&amp;row=4851&amp;col=7&amp;number=0.00365&amp;sourceID=14","0.00365")</f>
        <v>0.00365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HYPERLINK("http://141.218.60.56/~jnz1568/getInfo.php?workbook=16_08.xlsx&amp;sheet=U0&amp;row=4852&amp;col=6&amp;number=3.8&amp;sourceID=14","3.8")</f>
        <v>3.8</v>
      </c>
      <c r="G4852" s="4" t="str">
        <f>HYPERLINK("http://141.218.60.56/~jnz1568/getInfo.php?workbook=16_08.xlsx&amp;sheet=U0&amp;row=4852&amp;col=7&amp;number=0.00364&amp;sourceID=14","0.00364")</f>
        <v>0.00364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HYPERLINK("http://141.218.60.56/~jnz1568/getInfo.php?workbook=16_08.xlsx&amp;sheet=U0&amp;row=4853&amp;col=6&amp;number=3.9&amp;sourceID=14","3.9")</f>
        <v>3.9</v>
      </c>
      <c r="G4853" s="4" t="str">
        <f>HYPERLINK("http://141.218.60.56/~jnz1568/getInfo.php?workbook=16_08.xlsx&amp;sheet=U0&amp;row=4853&amp;col=7&amp;number=0.00364&amp;sourceID=14","0.00364")</f>
        <v>0.00364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HYPERLINK("http://141.218.60.56/~jnz1568/getInfo.php?workbook=16_08.xlsx&amp;sheet=U0&amp;row=4854&amp;col=6&amp;number=4&amp;sourceID=14","4")</f>
        <v>4</v>
      </c>
      <c r="G4854" s="4" t="str">
        <f>HYPERLINK("http://141.218.60.56/~jnz1568/getInfo.php?workbook=16_08.xlsx&amp;sheet=U0&amp;row=4854&amp;col=7&amp;number=0.00364&amp;sourceID=14","0.00364")</f>
        <v>0.00364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HYPERLINK("http://141.218.60.56/~jnz1568/getInfo.php?workbook=16_08.xlsx&amp;sheet=U0&amp;row=4855&amp;col=6&amp;number=4.1&amp;sourceID=14","4.1")</f>
        <v>4.1</v>
      </c>
      <c r="G4855" s="4" t="str">
        <f>HYPERLINK("http://141.218.60.56/~jnz1568/getInfo.php?workbook=16_08.xlsx&amp;sheet=U0&amp;row=4855&amp;col=7&amp;number=0.00364&amp;sourceID=14","0.00364")</f>
        <v>0.00364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HYPERLINK("http://141.218.60.56/~jnz1568/getInfo.php?workbook=16_08.xlsx&amp;sheet=U0&amp;row=4856&amp;col=6&amp;number=4.2&amp;sourceID=14","4.2")</f>
        <v>4.2</v>
      </c>
      <c r="G4856" s="4" t="str">
        <f>HYPERLINK("http://141.218.60.56/~jnz1568/getInfo.php?workbook=16_08.xlsx&amp;sheet=U0&amp;row=4856&amp;col=7&amp;number=0.00364&amp;sourceID=14","0.00364")</f>
        <v>0.00364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HYPERLINK("http://141.218.60.56/~jnz1568/getInfo.php?workbook=16_08.xlsx&amp;sheet=U0&amp;row=4857&amp;col=6&amp;number=4.3&amp;sourceID=14","4.3")</f>
        <v>4.3</v>
      </c>
      <c r="G4857" s="4" t="str">
        <f>HYPERLINK("http://141.218.60.56/~jnz1568/getInfo.php?workbook=16_08.xlsx&amp;sheet=U0&amp;row=4857&amp;col=7&amp;number=0.00363&amp;sourceID=14","0.00363")</f>
        <v>0.00363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HYPERLINK("http://141.218.60.56/~jnz1568/getInfo.php?workbook=16_08.xlsx&amp;sheet=U0&amp;row=4858&amp;col=6&amp;number=4.4&amp;sourceID=14","4.4")</f>
        <v>4.4</v>
      </c>
      <c r="G4858" s="4" t="str">
        <f>HYPERLINK("http://141.218.60.56/~jnz1568/getInfo.php?workbook=16_08.xlsx&amp;sheet=U0&amp;row=4858&amp;col=7&amp;number=0.00363&amp;sourceID=14","0.00363")</f>
        <v>0.00363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HYPERLINK("http://141.218.60.56/~jnz1568/getInfo.php?workbook=16_08.xlsx&amp;sheet=U0&amp;row=4859&amp;col=6&amp;number=4.5&amp;sourceID=14","4.5")</f>
        <v>4.5</v>
      </c>
      <c r="G4859" s="4" t="str">
        <f>HYPERLINK("http://141.218.60.56/~jnz1568/getInfo.php?workbook=16_08.xlsx&amp;sheet=U0&amp;row=4859&amp;col=7&amp;number=0.00362&amp;sourceID=14","0.00362")</f>
        <v>0.00362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HYPERLINK("http://141.218.60.56/~jnz1568/getInfo.php?workbook=16_08.xlsx&amp;sheet=U0&amp;row=4860&amp;col=6&amp;number=4.6&amp;sourceID=14","4.6")</f>
        <v>4.6</v>
      </c>
      <c r="G4860" s="4" t="str">
        <f>HYPERLINK("http://141.218.60.56/~jnz1568/getInfo.php?workbook=16_08.xlsx&amp;sheet=U0&amp;row=4860&amp;col=7&amp;number=0.00361&amp;sourceID=14","0.00361")</f>
        <v>0.00361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HYPERLINK("http://141.218.60.56/~jnz1568/getInfo.php?workbook=16_08.xlsx&amp;sheet=U0&amp;row=4861&amp;col=6&amp;number=4.7&amp;sourceID=14","4.7")</f>
        <v>4.7</v>
      </c>
      <c r="G4861" s="4" t="str">
        <f>HYPERLINK("http://141.218.60.56/~jnz1568/getInfo.php?workbook=16_08.xlsx&amp;sheet=U0&amp;row=4861&amp;col=7&amp;number=0.0036&amp;sourceID=14","0.0036")</f>
        <v>0.0036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HYPERLINK("http://141.218.60.56/~jnz1568/getInfo.php?workbook=16_08.xlsx&amp;sheet=U0&amp;row=4862&amp;col=6&amp;number=4.8&amp;sourceID=14","4.8")</f>
        <v>4.8</v>
      </c>
      <c r="G4862" s="4" t="str">
        <f>HYPERLINK("http://141.218.60.56/~jnz1568/getInfo.php?workbook=16_08.xlsx&amp;sheet=U0&amp;row=4862&amp;col=7&amp;number=0.00359&amp;sourceID=14","0.00359")</f>
        <v>0.00359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HYPERLINK("http://141.218.60.56/~jnz1568/getInfo.php?workbook=16_08.xlsx&amp;sheet=U0&amp;row=4863&amp;col=6&amp;number=4.9&amp;sourceID=14","4.9")</f>
        <v>4.9</v>
      </c>
      <c r="G4863" s="4" t="str">
        <f>HYPERLINK("http://141.218.60.56/~jnz1568/getInfo.php?workbook=16_08.xlsx&amp;sheet=U0&amp;row=4863&amp;col=7&amp;number=0.00357&amp;sourceID=14","0.00357")</f>
        <v>0.00357</v>
      </c>
    </row>
    <row r="4864" spans="1:7">
      <c r="A4864" s="3">
        <v>16</v>
      </c>
      <c r="B4864" s="3">
        <v>8</v>
      </c>
      <c r="C4864" s="3">
        <v>3</v>
      </c>
      <c r="D4864" s="3">
        <v>78</v>
      </c>
      <c r="E4864" s="3">
        <v>1</v>
      </c>
      <c r="F4864" s="4" t="str">
        <f>HYPERLINK("http://141.218.60.56/~jnz1568/getInfo.php?workbook=16_08.xlsx&amp;sheet=U0&amp;row=4864&amp;col=6&amp;number=3&amp;sourceID=14","3")</f>
        <v>3</v>
      </c>
      <c r="G4864" s="4" t="str">
        <f>HYPERLINK("http://141.218.60.56/~jnz1568/getInfo.php?workbook=16_08.xlsx&amp;sheet=U0&amp;row=4864&amp;col=7&amp;number=0.000478&amp;sourceID=14","0.000478")</f>
        <v>0.000478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HYPERLINK("http://141.218.60.56/~jnz1568/getInfo.php?workbook=16_08.xlsx&amp;sheet=U0&amp;row=4865&amp;col=6&amp;number=3.1&amp;sourceID=14","3.1")</f>
        <v>3.1</v>
      </c>
      <c r="G4865" s="4" t="str">
        <f>HYPERLINK("http://141.218.60.56/~jnz1568/getInfo.php?workbook=16_08.xlsx&amp;sheet=U0&amp;row=4865&amp;col=7&amp;number=0.000478&amp;sourceID=14","0.000478")</f>
        <v>0.000478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HYPERLINK("http://141.218.60.56/~jnz1568/getInfo.php?workbook=16_08.xlsx&amp;sheet=U0&amp;row=4866&amp;col=6&amp;number=3.2&amp;sourceID=14","3.2")</f>
        <v>3.2</v>
      </c>
      <c r="G4866" s="4" t="str">
        <f>HYPERLINK("http://141.218.60.56/~jnz1568/getInfo.php?workbook=16_08.xlsx&amp;sheet=U0&amp;row=4866&amp;col=7&amp;number=0.000478&amp;sourceID=14","0.000478")</f>
        <v>0.000478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HYPERLINK("http://141.218.60.56/~jnz1568/getInfo.php?workbook=16_08.xlsx&amp;sheet=U0&amp;row=4867&amp;col=6&amp;number=3.3&amp;sourceID=14","3.3")</f>
        <v>3.3</v>
      </c>
      <c r="G4867" s="4" t="str">
        <f>HYPERLINK("http://141.218.60.56/~jnz1568/getInfo.php?workbook=16_08.xlsx&amp;sheet=U0&amp;row=4867&amp;col=7&amp;number=0.000478&amp;sourceID=14","0.000478")</f>
        <v>0.000478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HYPERLINK("http://141.218.60.56/~jnz1568/getInfo.php?workbook=16_08.xlsx&amp;sheet=U0&amp;row=4868&amp;col=6&amp;number=3.4&amp;sourceID=14","3.4")</f>
        <v>3.4</v>
      </c>
      <c r="G4868" s="4" t="str">
        <f>HYPERLINK("http://141.218.60.56/~jnz1568/getInfo.php?workbook=16_08.xlsx&amp;sheet=U0&amp;row=4868&amp;col=7&amp;number=0.000478&amp;sourceID=14","0.000478")</f>
        <v>0.000478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HYPERLINK("http://141.218.60.56/~jnz1568/getInfo.php?workbook=16_08.xlsx&amp;sheet=U0&amp;row=4869&amp;col=6&amp;number=3.5&amp;sourceID=14","3.5")</f>
        <v>3.5</v>
      </c>
      <c r="G4869" s="4" t="str">
        <f>HYPERLINK("http://141.218.60.56/~jnz1568/getInfo.php?workbook=16_08.xlsx&amp;sheet=U0&amp;row=4869&amp;col=7&amp;number=0.000478&amp;sourceID=14","0.000478")</f>
        <v>0.000478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HYPERLINK("http://141.218.60.56/~jnz1568/getInfo.php?workbook=16_08.xlsx&amp;sheet=U0&amp;row=4870&amp;col=6&amp;number=3.6&amp;sourceID=14","3.6")</f>
        <v>3.6</v>
      </c>
      <c r="G4870" s="4" t="str">
        <f>HYPERLINK("http://141.218.60.56/~jnz1568/getInfo.php?workbook=16_08.xlsx&amp;sheet=U0&amp;row=4870&amp;col=7&amp;number=0.000478&amp;sourceID=14","0.000478")</f>
        <v>0.000478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HYPERLINK("http://141.218.60.56/~jnz1568/getInfo.php?workbook=16_08.xlsx&amp;sheet=U0&amp;row=4871&amp;col=6&amp;number=3.7&amp;sourceID=14","3.7")</f>
        <v>3.7</v>
      </c>
      <c r="G4871" s="4" t="str">
        <f>HYPERLINK("http://141.218.60.56/~jnz1568/getInfo.php?workbook=16_08.xlsx&amp;sheet=U0&amp;row=4871&amp;col=7&amp;number=0.000478&amp;sourceID=14","0.000478")</f>
        <v>0.000478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HYPERLINK("http://141.218.60.56/~jnz1568/getInfo.php?workbook=16_08.xlsx&amp;sheet=U0&amp;row=4872&amp;col=6&amp;number=3.8&amp;sourceID=14","3.8")</f>
        <v>3.8</v>
      </c>
      <c r="G4872" s="4" t="str">
        <f>HYPERLINK("http://141.218.60.56/~jnz1568/getInfo.php?workbook=16_08.xlsx&amp;sheet=U0&amp;row=4872&amp;col=7&amp;number=0.000478&amp;sourceID=14","0.000478")</f>
        <v>0.000478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HYPERLINK("http://141.218.60.56/~jnz1568/getInfo.php?workbook=16_08.xlsx&amp;sheet=U0&amp;row=4873&amp;col=6&amp;number=3.9&amp;sourceID=14","3.9")</f>
        <v>3.9</v>
      </c>
      <c r="G4873" s="4" t="str">
        <f>HYPERLINK("http://141.218.60.56/~jnz1568/getInfo.php?workbook=16_08.xlsx&amp;sheet=U0&amp;row=4873&amp;col=7&amp;number=0.000478&amp;sourceID=14","0.000478")</f>
        <v>0.000478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HYPERLINK("http://141.218.60.56/~jnz1568/getInfo.php?workbook=16_08.xlsx&amp;sheet=U0&amp;row=4874&amp;col=6&amp;number=4&amp;sourceID=14","4")</f>
        <v>4</v>
      </c>
      <c r="G4874" s="4" t="str">
        <f>HYPERLINK("http://141.218.60.56/~jnz1568/getInfo.php?workbook=16_08.xlsx&amp;sheet=U0&amp;row=4874&amp;col=7&amp;number=0.000477&amp;sourceID=14","0.000477")</f>
        <v>0.000477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HYPERLINK("http://141.218.60.56/~jnz1568/getInfo.php?workbook=16_08.xlsx&amp;sheet=U0&amp;row=4875&amp;col=6&amp;number=4.1&amp;sourceID=14","4.1")</f>
        <v>4.1</v>
      </c>
      <c r="G4875" s="4" t="str">
        <f>HYPERLINK("http://141.218.60.56/~jnz1568/getInfo.php?workbook=16_08.xlsx&amp;sheet=U0&amp;row=4875&amp;col=7&amp;number=0.000477&amp;sourceID=14","0.000477")</f>
        <v>0.000477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HYPERLINK("http://141.218.60.56/~jnz1568/getInfo.php?workbook=16_08.xlsx&amp;sheet=U0&amp;row=4876&amp;col=6&amp;number=4.2&amp;sourceID=14","4.2")</f>
        <v>4.2</v>
      </c>
      <c r="G4876" s="4" t="str">
        <f>HYPERLINK("http://141.218.60.56/~jnz1568/getInfo.php?workbook=16_08.xlsx&amp;sheet=U0&amp;row=4876&amp;col=7&amp;number=0.000477&amp;sourceID=14","0.000477")</f>
        <v>0.000477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HYPERLINK("http://141.218.60.56/~jnz1568/getInfo.php?workbook=16_08.xlsx&amp;sheet=U0&amp;row=4877&amp;col=6&amp;number=4.3&amp;sourceID=14","4.3")</f>
        <v>4.3</v>
      </c>
      <c r="G4877" s="4" t="str">
        <f>HYPERLINK("http://141.218.60.56/~jnz1568/getInfo.php?workbook=16_08.xlsx&amp;sheet=U0&amp;row=4877&amp;col=7&amp;number=0.000476&amp;sourceID=14","0.000476")</f>
        <v>0.000476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HYPERLINK("http://141.218.60.56/~jnz1568/getInfo.php?workbook=16_08.xlsx&amp;sheet=U0&amp;row=4878&amp;col=6&amp;number=4.4&amp;sourceID=14","4.4")</f>
        <v>4.4</v>
      </c>
      <c r="G4878" s="4" t="str">
        <f>HYPERLINK("http://141.218.60.56/~jnz1568/getInfo.php?workbook=16_08.xlsx&amp;sheet=U0&amp;row=4878&amp;col=7&amp;number=0.000476&amp;sourceID=14","0.000476")</f>
        <v>0.000476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HYPERLINK("http://141.218.60.56/~jnz1568/getInfo.php?workbook=16_08.xlsx&amp;sheet=U0&amp;row=4879&amp;col=6&amp;number=4.5&amp;sourceID=14","4.5")</f>
        <v>4.5</v>
      </c>
      <c r="G4879" s="4" t="str">
        <f>HYPERLINK("http://141.218.60.56/~jnz1568/getInfo.php?workbook=16_08.xlsx&amp;sheet=U0&amp;row=4879&amp;col=7&amp;number=0.000475&amp;sourceID=14","0.000475")</f>
        <v>0.000475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HYPERLINK("http://141.218.60.56/~jnz1568/getInfo.php?workbook=16_08.xlsx&amp;sheet=U0&amp;row=4880&amp;col=6&amp;number=4.6&amp;sourceID=14","4.6")</f>
        <v>4.6</v>
      </c>
      <c r="G4880" s="4" t="str">
        <f>HYPERLINK("http://141.218.60.56/~jnz1568/getInfo.php?workbook=16_08.xlsx&amp;sheet=U0&amp;row=4880&amp;col=7&amp;number=0.000474&amp;sourceID=14","0.000474")</f>
        <v>0.000474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HYPERLINK("http://141.218.60.56/~jnz1568/getInfo.php?workbook=16_08.xlsx&amp;sheet=U0&amp;row=4881&amp;col=6&amp;number=4.7&amp;sourceID=14","4.7")</f>
        <v>4.7</v>
      </c>
      <c r="G4881" s="4" t="str">
        <f>HYPERLINK("http://141.218.60.56/~jnz1568/getInfo.php?workbook=16_08.xlsx&amp;sheet=U0&amp;row=4881&amp;col=7&amp;number=0.000473&amp;sourceID=14","0.000473")</f>
        <v>0.000473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HYPERLINK("http://141.218.60.56/~jnz1568/getInfo.php?workbook=16_08.xlsx&amp;sheet=U0&amp;row=4882&amp;col=6&amp;number=4.8&amp;sourceID=14","4.8")</f>
        <v>4.8</v>
      </c>
      <c r="G4882" s="4" t="str">
        <f>HYPERLINK("http://141.218.60.56/~jnz1568/getInfo.php?workbook=16_08.xlsx&amp;sheet=U0&amp;row=4882&amp;col=7&amp;number=0.000471&amp;sourceID=14","0.000471")</f>
        <v>0.000471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HYPERLINK("http://141.218.60.56/~jnz1568/getInfo.php?workbook=16_08.xlsx&amp;sheet=U0&amp;row=4883&amp;col=6&amp;number=4.9&amp;sourceID=14","4.9")</f>
        <v>4.9</v>
      </c>
      <c r="G4883" s="4" t="str">
        <f>HYPERLINK("http://141.218.60.56/~jnz1568/getInfo.php?workbook=16_08.xlsx&amp;sheet=U0&amp;row=4883&amp;col=7&amp;number=0.000469&amp;sourceID=14","0.000469")</f>
        <v>0.000469</v>
      </c>
    </row>
    <row r="4884" spans="1:7">
      <c r="A4884" s="3">
        <v>16</v>
      </c>
      <c r="B4884" s="3">
        <v>8</v>
      </c>
      <c r="C4884" s="3">
        <v>3</v>
      </c>
      <c r="D4884" s="3">
        <v>79</v>
      </c>
      <c r="E4884" s="3">
        <v>1</v>
      </c>
      <c r="F4884" s="4" t="str">
        <f>HYPERLINK("http://141.218.60.56/~jnz1568/getInfo.php?workbook=16_08.xlsx&amp;sheet=U0&amp;row=4884&amp;col=6&amp;number=3&amp;sourceID=14","3")</f>
        <v>3</v>
      </c>
      <c r="G4884" s="4" t="str">
        <f>HYPERLINK("http://141.218.60.56/~jnz1568/getInfo.php?workbook=16_08.xlsx&amp;sheet=U0&amp;row=4884&amp;col=7&amp;number=0.0128&amp;sourceID=14","0.0128")</f>
        <v>0.0128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HYPERLINK("http://141.218.60.56/~jnz1568/getInfo.php?workbook=16_08.xlsx&amp;sheet=U0&amp;row=4885&amp;col=6&amp;number=3.1&amp;sourceID=14","3.1")</f>
        <v>3.1</v>
      </c>
      <c r="G4885" s="4" t="str">
        <f>HYPERLINK("http://141.218.60.56/~jnz1568/getInfo.php?workbook=16_08.xlsx&amp;sheet=U0&amp;row=4885&amp;col=7&amp;number=0.0128&amp;sourceID=14","0.0128")</f>
        <v>0.0128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HYPERLINK("http://141.218.60.56/~jnz1568/getInfo.php?workbook=16_08.xlsx&amp;sheet=U0&amp;row=4886&amp;col=6&amp;number=3.2&amp;sourceID=14","3.2")</f>
        <v>3.2</v>
      </c>
      <c r="G4886" s="4" t="str">
        <f>HYPERLINK("http://141.218.60.56/~jnz1568/getInfo.php?workbook=16_08.xlsx&amp;sheet=U0&amp;row=4886&amp;col=7&amp;number=0.0128&amp;sourceID=14","0.0128")</f>
        <v>0.0128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HYPERLINK("http://141.218.60.56/~jnz1568/getInfo.php?workbook=16_08.xlsx&amp;sheet=U0&amp;row=4887&amp;col=6&amp;number=3.3&amp;sourceID=14","3.3")</f>
        <v>3.3</v>
      </c>
      <c r="G4887" s="4" t="str">
        <f>HYPERLINK("http://141.218.60.56/~jnz1568/getInfo.php?workbook=16_08.xlsx&amp;sheet=U0&amp;row=4887&amp;col=7&amp;number=0.0128&amp;sourceID=14","0.0128")</f>
        <v>0.0128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HYPERLINK("http://141.218.60.56/~jnz1568/getInfo.php?workbook=16_08.xlsx&amp;sheet=U0&amp;row=4888&amp;col=6&amp;number=3.4&amp;sourceID=14","3.4")</f>
        <v>3.4</v>
      </c>
      <c r="G4888" s="4" t="str">
        <f>HYPERLINK("http://141.218.60.56/~jnz1568/getInfo.php?workbook=16_08.xlsx&amp;sheet=U0&amp;row=4888&amp;col=7&amp;number=0.0128&amp;sourceID=14","0.0128")</f>
        <v>0.0128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HYPERLINK("http://141.218.60.56/~jnz1568/getInfo.php?workbook=16_08.xlsx&amp;sheet=U0&amp;row=4889&amp;col=6&amp;number=3.5&amp;sourceID=14","3.5")</f>
        <v>3.5</v>
      </c>
      <c r="G4889" s="4" t="str">
        <f>HYPERLINK("http://141.218.60.56/~jnz1568/getInfo.php?workbook=16_08.xlsx&amp;sheet=U0&amp;row=4889&amp;col=7&amp;number=0.0128&amp;sourceID=14","0.0128")</f>
        <v>0.0128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HYPERLINK("http://141.218.60.56/~jnz1568/getInfo.php?workbook=16_08.xlsx&amp;sheet=U0&amp;row=4890&amp;col=6&amp;number=3.6&amp;sourceID=14","3.6")</f>
        <v>3.6</v>
      </c>
      <c r="G4890" s="4" t="str">
        <f>HYPERLINK("http://141.218.60.56/~jnz1568/getInfo.php?workbook=16_08.xlsx&amp;sheet=U0&amp;row=4890&amp;col=7&amp;number=0.0128&amp;sourceID=14","0.0128")</f>
        <v>0.0128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HYPERLINK("http://141.218.60.56/~jnz1568/getInfo.php?workbook=16_08.xlsx&amp;sheet=U0&amp;row=4891&amp;col=6&amp;number=3.7&amp;sourceID=14","3.7")</f>
        <v>3.7</v>
      </c>
      <c r="G4891" s="4" t="str">
        <f>HYPERLINK("http://141.218.60.56/~jnz1568/getInfo.php?workbook=16_08.xlsx&amp;sheet=U0&amp;row=4891&amp;col=7&amp;number=0.0128&amp;sourceID=14","0.0128")</f>
        <v>0.0128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HYPERLINK("http://141.218.60.56/~jnz1568/getInfo.php?workbook=16_08.xlsx&amp;sheet=U0&amp;row=4892&amp;col=6&amp;number=3.8&amp;sourceID=14","3.8")</f>
        <v>3.8</v>
      </c>
      <c r="G4892" s="4" t="str">
        <f>HYPERLINK("http://141.218.60.56/~jnz1568/getInfo.php?workbook=16_08.xlsx&amp;sheet=U0&amp;row=4892&amp;col=7&amp;number=0.0128&amp;sourceID=14","0.0128")</f>
        <v>0.0128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HYPERLINK("http://141.218.60.56/~jnz1568/getInfo.php?workbook=16_08.xlsx&amp;sheet=U0&amp;row=4893&amp;col=6&amp;number=3.9&amp;sourceID=14","3.9")</f>
        <v>3.9</v>
      </c>
      <c r="G4893" s="4" t="str">
        <f>HYPERLINK("http://141.218.60.56/~jnz1568/getInfo.php?workbook=16_08.xlsx&amp;sheet=U0&amp;row=4893&amp;col=7&amp;number=0.0128&amp;sourceID=14","0.0128")</f>
        <v>0.0128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HYPERLINK("http://141.218.60.56/~jnz1568/getInfo.php?workbook=16_08.xlsx&amp;sheet=U0&amp;row=4894&amp;col=6&amp;number=4&amp;sourceID=14","4")</f>
        <v>4</v>
      </c>
      <c r="G4894" s="4" t="str">
        <f>HYPERLINK("http://141.218.60.56/~jnz1568/getInfo.php?workbook=16_08.xlsx&amp;sheet=U0&amp;row=4894&amp;col=7&amp;number=0.0128&amp;sourceID=14","0.0128")</f>
        <v>0.0128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HYPERLINK("http://141.218.60.56/~jnz1568/getInfo.php?workbook=16_08.xlsx&amp;sheet=U0&amp;row=4895&amp;col=6&amp;number=4.1&amp;sourceID=14","4.1")</f>
        <v>4.1</v>
      </c>
      <c r="G4895" s="4" t="str">
        <f>HYPERLINK("http://141.218.60.56/~jnz1568/getInfo.php?workbook=16_08.xlsx&amp;sheet=U0&amp;row=4895&amp;col=7&amp;number=0.0128&amp;sourceID=14","0.0128")</f>
        <v>0.0128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HYPERLINK("http://141.218.60.56/~jnz1568/getInfo.php?workbook=16_08.xlsx&amp;sheet=U0&amp;row=4896&amp;col=6&amp;number=4.2&amp;sourceID=14","4.2")</f>
        <v>4.2</v>
      </c>
      <c r="G4896" s="4" t="str">
        <f>HYPERLINK("http://141.218.60.56/~jnz1568/getInfo.php?workbook=16_08.xlsx&amp;sheet=U0&amp;row=4896&amp;col=7&amp;number=0.0128&amp;sourceID=14","0.0128")</f>
        <v>0.0128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HYPERLINK("http://141.218.60.56/~jnz1568/getInfo.php?workbook=16_08.xlsx&amp;sheet=U0&amp;row=4897&amp;col=6&amp;number=4.3&amp;sourceID=14","4.3")</f>
        <v>4.3</v>
      </c>
      <c r="G4897" s="4" t="str">
        <f>HYPERLINK("http://141.218.60.56/~jnz1568/getInfo.php?workbook=16_08.xlsx&amp;sheet=U0&amp;row=4897&amp;col=7&amp;number=0.0129&amp;sourceID=14","0.0129")</f>
        <v>0.0129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HYPERLINK("http://141.218.60.56/~jnz1568/getInfo.php?workbook=16_08.xlsx&amp;sheet=U0&amp;row=4898&amp;col=6&amp;number=4.4&amp;sourceID=14","4.4")</f>
        <v>4.4</v>
      </c>
      <c r="G4898" s="4" t="str">
        <f>HYPERLINK("http://141.218.60.56/~jnz1568/getInfo.php?workbook=16_08.xlsx&amp;sheet=U0&amp;row=4898&amp;col=7&amp;number=0.0129&amp;sourceID=14","0.0129")</f>
        <v>0.0129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HYPERLINK("http://141.218.60.56/~jnz1568/getInfo.php?workbook=16_08.xlsx&amp;sheet=U0&amp;row=4899&amp;col=6&amp;number=4.5&amp;sourceID=14","4.5")</f>
        <v>4.5</v>
      </c>
      <c r="G4899" s="4" t="str">
        <f>HYPERLINK("http://141.218.60.56/~jnz1568/getInfo.php?workbook=16_08.xlsx&amp;sheet=U0&amp;row=4899&amp;col=7&amp;number=0.0129&amp;sourceID=14","0.0129")</f>
        <v>0.0129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HYPERLINK("http://141.218.60.56/~jnz1568/getInfo.php?workbook=16_08.xlsx&amp;sheet=U0&amp;row=4900&amp;col=6&amp;number=4.6&amp;sourceID=14","4.6")</f>
        <v>4.6</v>
      </c>
      <c r="G4900" s="4" t="str">
        <f>HYPERLINK("http://141.218.60.56/~jnz1568/getInfo.php?workbook=16_08.xlsx&amp;sheet=U0&amp;row=4900&amp;col=7&amp;number=0.013&amp;sourceID=14","0.013")</f>
        <v>0.013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HYPERLINK("http://141.218.60.56/~jnz1568/getInfo.php?workbook=16_08.xlsx&amp;sheet=U0&amp;row=4901&amp;col=6&amp;number=4.7&amp;sourceID=14","4.7")</f>
        <v>4.7</v>
      </c>
      <c r="G4901" s="4" t="str">
        <f>HYPERLINK("http://141.218.60.56/~jnz1568/getInfo.php?workbook=16_08.xlsx&amp;sheet=U0&amp;row=4901&amp;col=7&amp;number=0.013&amp;sourceID=14","0.013")</f>
        <v>0.013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HYPERLINK("http://141.218.60.56/~jnz1568/getInfo.php?workbook=16_08.xlsx&amp;sheet=U0&amp;row=4902&amp;col=6&amp;number=4.8&amp;sourceID=14","4.8")</f>
        <v>4.8</v>
      </c>
      <c r="G4902" s="4" t="str">
        <f>HYPERLINK("http://141.218.60.56/~jnz1568/getInfo.php?workbook=16_08.xlsx&amp;sheet=U0&amp;row=4902&amp;col=7&amp;number=0.0131&amp;sourceID=14","0.0131")</f>
        <v>0.0131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HYPERLINK("http://141.218.60.56/~jnz1568/getInfo.php?workbook=16_08.xlsx&amp;sheet=U0&amp;row=4903&amp;col=6&amp;number=4.9&amp;sourceID=14","4.9")</f>
        <v>4.9</v>
      </c>
      <c r="G4903" s="4" t="str">
        <f>HYPERLINK("http://141.218.60.56/~jnz1568/getInfo.php?workbook=16_08.xlsx&amp;sheet=U0&amp;row=4903&amp;col=7&amp;number=0.0132&amp;sourceID=14","0.0132")</f>
        <v>0.0132</v>
      </c>
    </row>
    <row r="4904" spans="1:7">
      <c r="A4904" s="3">
        <v>16</v>
      </c>
      <c r="B4904" s="3">
        <v>8</v>
      </c>
      <c r="C4904" s="3">
        <v>3</v>
      </c>
      <c r="D4904" s="3">
        <v>80</v>
      </c>
      <c r="E4904" s="3">
        <v>1</v>
      </c>
      <c r="F4904" s="4" t="str">
        <f>HYPERLINK("http://141.218.60.56/~jnz1568/getInfo.php?workbook=16_08.xlsx&amp;sheet=U0&amp;row=4904&amp;col=6&amp;number=3&amp;sourceID=14","3")</f>
        <v>3</v>
      </c>
      <c r="G4904" s="4" t="str">
        <f>HYPERLINK("http://141.218.60.56/~jnz1568/getInfo.php?workbook=16_08.xlsx&amp;sheet=U0&amp;row=4904&amp;col=7&amp;number=0.00213&amp;sourceID=14","0.00213")</f>
        <v>0.00213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HYPERLINK("http://141.218.60.56/~jnz1568/getInfo.php?workbook=16_08.xlsx&amp;sheet=U0&amp;row=4905&amp;col=6&amp;number=3.1&amp;sourceID=14","3.1")</f>
        <v>3.1</v>
      </c>
      <c r="G4905" s="4" t="str">
        <f>HYPERLINK("http://141.218.60.56/~jnz1568/getInfo.php?workbook=16_08.xlsx&amp;sheet=U0&amp;row=4905&amp;col=7&amp;number=0.00213&amp;sourceID=14","0.00213")</f>
        <v>0.00213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HYPERLINK("http://141.218.60.56/~jnz1568/getInfo.php?workbook=16_08.xlsx&amp;sheet=U0&amp;row=4906&amp;col=6&amp;number=3.2&amp;sourceID=14","3.2")</f>
        <v>3.2</v>
      </c>
      <c r="G4906" s="4" t="str">
        <f>HYPERLINK("http://141.218.60.56/~jnz1568/getInfo.php?workbook=16_08.xlsx&amp;sheet=U0&amp;row=4906&amp;col=7&amp;number=0.00213&amp;sourceID=14","0.00213")</f>
        <v>0.00213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HYPERLINK("http://141.218.60.56/~jnz1568/getInfo.php?workbook=16_08.xlsx&amp;sheet=U0&amp;row=4907&amp;col=6&amp;number=3.3&amp;sourceID=14","3.3")</f>
        <v>3.3</v>
      </c>
      <c r="G4907" s="4" t="str">
        <f>HYPERLINK("http://141.218.60.56/~jnz1568/getInfo.php?workbook=16_08.xlsx&amp;sheet=U0&amp;row=4907&amp;col=7&amp;number=0.00213&amp;sourceID=14","0.00213")</f>
        <v>0.00213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HYPERLINK("http://141.218.60.56/~jnz1568/getInfo.php?workbook=16_08.xlsx&amp;sheet=U0&amp;row=4908&amp;col=6&amp;number=3.4&amp;sourceID=14","3.4")</f>
        <v>3.4</v>
      </c>
      <c r="G4908" s="4" t="str">
        <f>HYPERLINK("http://141.218.60.56/~jnz1568/getInfo.php?workbook=16_08.xlsx&amp;sheet=U0&amp;row=4908&amp;col=7&amp;number=0.00213&amp;sourceID=14","0.00213")</f>
        <v>0.00213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HYPERLINK("http://141.218.60.56/~jnz1568/getInfo.php?workbook=16_08.xlsx&amp;sheet=U0&amp;row=4909&amp;col=6&amp;number=3.5&amp;sourceID=14","3.5")</f>
        <v>3.5</v>
      </c>
      <c r="G4909" s="4" t="str">
        <f>HYPERLINK("http://141.218.60.56/~jnz1568/getInfo.php?workbook=16_08.xlsx&amp;sheet=U0&amp;row=4909&amp;col=7&amp;number=0.00213&amp;sourceID=14","0.00213")</f>
        <v>0.00213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HYPERLINK("http://141.218.60.56/~jnz1568/getInfo.php?workbook=16_08.xlsx&amp;sheet=U0&amp;row=4910&amp;col=6&amp;number=3.6&amp;sourceID=14","3.6")</f>
        <v>3.6</v>
      </c>
      <c r="G4910" s="4" t="str">
        <f>HYPERLINK("http://141.218.60.56/~jnz1568/getInfo.php?workbook=16_08.xlsx&amp;sheet=U0&amp;row=4910&amp;col=7&amp;number=0.00213&amp;sourceID=14","0.00213")</f>
        <v>0.00213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HYPERLINK("http://141.218.60.56/~jnz1568/getInfo.php?workbook=16_08.xlsx&amp;sheet=U0&amp;row=4911&amp;col=6&amp;number=3.7&amp;sourceID=14","3.7")</f>
        <v>3.7</v>
      </c>
      <c r="G4911" s="4" t="str">
        <f>HYPERLINK("http://141.218.60.56/~jnz1568/getInfo.php?workbook=16_08.xlsx&amp;sheet=U0&amp;row=4911&amp;col=7&amp;number=0.00212&amp;sourceID=14","0.00212")</f>
        <v>0.00212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HYPERLINK("http://141.218.60.56/~jnz1568/getInfo.php?workbook=16_08.xlsx&amp;sheet=U0&amp;row=4912&amp;col=6&amp;number=3.8&amp;sourceID=14","3.8")</f>
        <v>3.8</v>
      </c>
      <c r="G4912" s="4" t="str">
        <f>HYPERLINK("http://141.218.60.56/~jnz1568/getInfo.php?workbook=16_08.xlsx&amp;sheet=U0&amp;row=4912&amp;col=7&amp;number=0.00212&amp;sourceID=14","0.00212")</f>
        <v>0.00212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HYPERLINK("http://141.218.60.56/~jnz1568/getInfo.php?workbook=16_08.xlsx&amp;sheet=U0&amp;row=4913&amp;col=6&amp;number=3.9&amp;sourceID=14","3.9")</f>
        <v>3.9</v>
      </c>
      <c r="G4913" s="4" t="str">
        <f>HYPERLINK("http://141.218.60.56/~jnz1568/getInfo.php?workbook=16_08.xlsx&amp;sheet=U0&amp;row=4913&amp;col=7&amp;number=0.00212&amp;sourceID=14","0.00212")</f>
        <v>0.00212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HYPERLINK("http://141.218.60.56/~jnz1568/getInfo.php?workbook=16_08.xlsx&amp;sheet=U0&amp;row=4914&amp;col=6&amp;number=4&amp;sourceID=14","4")</f>
        <v>4</v>
      </c>
      <c r="G4914" s="4" t="str">
        <f>HYPERLINK("http://141.218.60.56/~jnz1568/getInfo.php?workbook=16_08.xlsx&amp;sheet=U0&amp;row=4914&amp;col=7&amp;number=0.00212&amp;sourceID=14","0.00212")</f>
        <v>0.00212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HYPERLINK("http://141.218.60.56/~jnz1568/getInfo.php?workbook=16_08.xlsx&amp;sheet=U0&amp;row=4915&amp;col=6&amp;number=4.1&amp;sourceID=14","4.1")</f>
        <v>4.1</v>
      </c>
      <c r="G4915" s="4" t="str">
        <f>HYPERLINK("http://141.218.60.56/~jnz1568/getInfo.php?workbook=16_08.xlsx&amp;sheet=U0&amp;row=4915&amp;col=7&amp;number=0.00212&amp;sourceID=14","0.00212")</f>
        <v>0.00212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HYPERLINK("http://141.218.60.56/~jnz1568/getInfo.php?workbook=16_08.xlsx&amp;sheet=U0&amp;row=4916&amp;col=6&amp;number=4.2&amp;sourceID=14","4.2")</f>
        <v>4.2</v>
      </c>
      <c r="G4916" s="4" t="str">
        <f>HYPERLINK("http://141.218.60.56/~jnz1568/getInfo.php?workbook=16_08.xlsx&amp;sheet=U0&amp;row=4916&amp;col=7&amp;number=0.00212&amp;sourceID=14","0.00212")</f>
        <v>0.00212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HYPERLINK("http://141.218.60.56/~jnz1568/getInfo.php?workbook=16_08.xlsx&amp;sheet=U0&amp;row=4917&amp;col=6&amp;number=4.3&amp;sourceID=14","4.3")</f>
        <v>4.3</v>
      </c>
      <c r="G4917" s="4" t="str">
        <f>HYPERLINK("http://141.218.60.56/~jnz1568/getInfo.php?workbook=16_08.xlsx&amp;sheet=U0&amp;row=4917&amp;col=7&amp;number=0.00212&amp;sourceID=14","0.00212")</f>
        <v>0.00212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HYPERLINK("http://141.218.60.56/~jnz1568/getInfo.php?workbook=16_08.xlsx&amp;sheet=U0&amp;row=4918&amp;col=6&amp;number=4.4&amp;sourceID=14","4.4")</f>
        <v>4.4</v>
      </c>
      <c r="G4918" s="4" t="str">
        <f>HYPERLINK("http://141.218.60.56/~jnz1568/getInfo.php?workbook=16_08.xlsx&amp;sheet=U0&amp;row=4918&amp;col=7&amp;number=0.00211&amp;sourceID=14","0.00211")</f>
        <v>0.00211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HYPERLINK("http://141.218.60.56/~jnz1568/getInfo.php?workbook=16_08.xlsx&amp;sheet=U0&amp;row=4919&amp;col=6&amp;number=4.5&amp;sourceID=14","4.5")</f>
        <v>4.5</v>
      </c>
      <c r="G4919" s="4" t="str">
        <f>HYPERLINK("http://141.218.60.56/~jnz1568/getInfo.php?workbook=16_08.xlsx&amp;sheet=U0&amp;row=4919&amp;col=7&amp;number=0.00211&amp;sourceID=14","0.00211")</f>
        <v>0.00211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HYPERLINK("http://141.218.60.56/~jnz1568/getInfo.php?workbook=16_08.xlsx&amp;sheet=U0&amp;row=4920&amp;col=6&amp;number=4.6&amp;sourceID=14","4.6")</f>
        <v>4.6</v>
      </c>
      <c r="G4920" s="4" t="str">
        <f>HYPERLINK("http://141.218.60.56/~jnz1568/getInfo.php?workbook=16_08.xlsx&amp;sheet=U0&amp;row=4920&amp;col=7&amp;number=0.0021&amp;sourceID=14","0.0021")</f>
        <v>0.0021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HYPERLINK("http://141.218.60.56/~jnz1568/getInfo.php?workbook=16_08.xlsx&amp;sheet=U0&amp;row=4921&amp;col=6&amp;number=4.7&amp;sourceID=14","4.7")</f>
        <v>4.7</v>
      </c>
      <c r="G4921" s="4" t="str">
        <f>HYPERLINK("http://141.218.60.56/~jnz1568/getInfo.php?workbook=16_08.xlsx&amp;sheet=U0&amp;row=4921&amp;col=7&amp;number=0.0021&amp;sourceID=14","0.0021")</f>
        <v>0.0021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HYPERLINK("http://141.218.60.56/~jnz1568/getInfo.php?workbook=16_08.xlsx&amp;sheet=U0&amp;row=4922&amp;col=6&amp;number=4.8&amp;sourceID=14","4.8")</f>
        <v>4.8</v>
      </c>
      <c r="G4922" s="4" t="str">
        <f>HYPERLINK("http://141.218.60.56/~jnz1568/getInfo.php?workbook=16_08.xlsx&amp;sheet=U0&amp;row=4922&amp;col=7&amp;number=0.00209&amp;sourceID=14","0.00209")</f>
        <v>0.00209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HYPERLINK("http://141.218.60.56/~jnz1568/getInfo.php?workbook=16_08.xlsx&amp;sheet=U0&amp;row=4923&amp;col=6&amp;number=4.9&amp;sourceID=14","4.9")</f>
        <v>4.9</v>
      </c>
      <c r="G4923" s="4" t="str">
        <f>HYPERLINK("http://141.218.60.56/~jnz1568/getInfo.php?workbook=16_08.xlsx&amp;sheet=U0&amp;row=4923&amp;col=7&amp;number=0.00208&amp;sourceID=14","0.00208")</f>
        <v>0.00208</v>
      </c>
    </row>
    <row r="4924" spans="1:7">
      <c r="A4924" s="3">
        <v>16</v>
      </c>
      <c r="B4924" s="3">
        <v>8</v>
      </c>
      <c r="C4924" s="3">
        <v>3</v>
      </c>
      <c r="D4924" s="3">
        <v>81</v>
      </c>
      <c r="E4924" s="3">
        <v>1</v>
      </c>
      <c r="F4924" s="4" t="str">
        <f>HYPERLINK("http://141.218.60.56/~jnz1568/getInfo.php?workbook=16_08.xlsx&amp;sheet=U0&amp;row=4924&amp;col=6&amp;number=3&amp;sourceID=14","3")</f>
        <v>3</v>
      </c>
      <c r="G4924" s="4" t="str">
        <f>HYPERLINK("http://141.218.60.56/~jnz1568/getInfo.php?workbook=16_08.xlsx&amp;sheet=U0&amp;row=4924&amp;col=7&amp;number=0.00585&amp;sourceID=14","0.00585")</f>
        <v>0.00585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HYPERLINK("http://141.218.60.56/~jnz1568/getInfo.php?workbook=16_08.xlsx&amp;sheet=U0&amp;row=4925&amp;col=6&amp;number=3.1&amp;sourceID=14","3.1")</f>
        <v>3.1</v>
      </c>
      <c r="G4925" s="4" t="str">
        <f>HYPERLINK("http://141.218.60.56/~jnz1568/getInfo.php?workbook=16_08.xlsx&amp;sheet=U0&amp;row=4925&amp;col=7&amp;number=0.00585&amp;sourceID=14","0.00585")</f>
        <v>0.00585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HYPERLINK("http://141.218.60.56/~jnz1568/getInfo.php?workbook=16_08.xlsx&amp;sheet=U0&amp;row=4926&amp;col=6&amp;number=3.2&amp;sourceID=14","3.2")</f>
        <v>3.2</v>
      </c>
      <c r="G4926" s="4" t="str">
        <f>HYPERLINK("http://141.218.60.56/~jnz1568/getInfo.php?workbook=16_08.xlsx&amp;sheet=U0&amp;row=4926&amp;col=7&amp;number=0.00585&amp;sourceID=14","0.00585")</f>
        <v>0.00585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HYPERLINK("http://141.218.60.56/~jnz1568/getInfo.php?workbook=16_08.xlsx&amp;sheet=U0&amp;row=4927&amp;col=6&amp;number=3.3&amp;sourceID=14","3.3")</f>
        <v>3.3</v>
      </c>
      <c r="G4927" s="4" t="str">
        <f>HYPERLINK("http://141.218.60.56/~jnz1568/getInfo.php?workbook=16_08.xlsx&amp;sheet=U0&amp;row=4927&amp;col=7&amp;number=0.00585&amp;sourceID=14","0.00585")</f>
        <v>0.00585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HYPERLINK("http://141.218.60.56/~jnz1568/getInfo.php?workbook=16_08.xlsx&amp;sheet=U0&amp;row=4928&amp;col=6&amp;number=3.4&amp;sourceID=14","3.4")</f>
        <v>3.4</v>
      </c>
      <c r="G4928" s="4" t="str">
        <f>HYPERLINK("http://141.218.60.56/~jnz1568/getInfo.php?workbook=16_08.xlsx&amp;sheet=U0&amp;row=4928&amp;col=7&amp;number=0.00585&amp;sourceID=14","0.00585")</f>
        <v>0.00585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HYPERLINK("http://141.218.60.56/~jnz1568/getInfo.php?workbook=16_08.xlsx&amp;sheet=U0&amp;row=4929&amp;col=6&amp;number=3.5&amp;sourceID=14","3.5")</f>
        <v>3.5</v>
      </c>
      <c r="G4929" s="4" t="str">
        <f>HYPERLINK("http://141.218.60.56/~jnz1568/getInfo.php?workbook=16_08.xlsx&amp;sheet=U0&amp;row=4929&amp;col=7&amp;number=0.00584&amp;sourceID=14","0.00584")</f>
        <v>0.00584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HYPERLINK("http://141.218.60.56/~jnz1568/getInfo.php?workbook=16_08.xlsx&amp;sheet=U0&amp;row=4930&amp;col=6&amp;number=3.6&amp;sourceID=14","3.6")</f>
        <v>3.6</v>
      </c>
      <c r="G4930" s="4" t="str">
        <f>HYPERLINK("http://141.218.60.56/~jnz1568/getInfo.php?workbook=16_08.xlsx&amp;sheet=U0&amp;row=4930&amp;col=7&amp;number=0.00584&amp;sourceID=14","0.00584")</f>
        <v>0.00584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HYPERLINK("http://141.218.60.56/~jnz1568/getInfo.php?workbook=16_08.xlsx&amp;sheet=U0&amp;row=4931&amp;col=6&amp;number=3.7&amp;sourceID=14","3.7")</f>
        <v>3.7</v>
      </c>
      <c r="G4931" s="4" t="str">
        <f>HYPERLINK("http://141.218.60.56/~jnz1568/getInfo.php?workbook=16_08.xlsx&amp;sheet=U0&amp;row=4931&amp;col=7&amp;number=0.00584&amp;sourceID=14","0.00584")</f>
        <v>0.00584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HYPERLINK("http://141.218.60.56/~jnz1568/getInfo.php?workbook=16_08.xlsx&amp;sheet=U0&amp;row=4932&amp;col=6&amp;number=3.8&amp;sourceID=14","3.8")</f>
        <v>3.8</v>
      </c>
      <c r="G4932" s="4" t="str">
        <f>HYPERLINK("http://141.218.60.56/~jnz1568/getInfo.php?workbook=16_08.xlsx&amp;sheet=U0&amp;row=4932&amp;col=7&amp;number=0.00584&amp;sourceID=14","0.00584")</f>
        <v>0.00584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HYPERLINK("http://141.218.60.56/~jnz1568/getInfo.php?workbook=16_08.xlsx&amp;sheet=U0&amp;row=4933&amp;col=6&amp;number=3.9&amp;sourceID=14","3.9")</f>
        <v>3.9</v>
      </c>
      <c r="G4933" s="4" t="str">
        <f>HYPERLINK("http://141.218.60.56/~jnz1568/getInfo.php?workbook=16_08.xlsx&amp;sheet=U0&amp;row=4933&amp;col=7&amp;number=0.00583&amp;sourceID=14","0.00583")</f>
        <v>0.00583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HYPERLINK("http://141.218.60.56/~jnz1568/getInfo.php?workbook=16_08.xlsx&amp;sheet=U0&amp;row=4934&amp;col=6&amp;number=4&amp;sourceID=14","4")</f>
        <v>4</v>
      </c>
      <c r="G4934" s="4" t="str">
        <f>HYPERLINK("http://141.218.60.56/~jnz1568/getInfo.php?workbook=16_08.xlsx&amp;sheet=U0&amp;row=4934&amp;col=7&amp;number=0.00583&amp;sourceID=14","0.00583")</f>
        <v>0.00583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HYPERLINK("http://141.218.60.56/~jnz1568/getInfo.php?workbook=16_08.xlsx&amp;sheet=U0&amp;row=4935&amp;col=6&amp;number=4.1&amp;sourceID=14","4.1")</f>
        <v>4.1</v>
      </c>
      <c r="G4935" s="4" t="str">
        <f>HYPERLINK("http://141.218.60.56/~jnz1568/getInfo.php?workbook=16_08.xlsx&amp;sheet=U0&amp;row=4935&amp;col=7&amp;number=0.00582&amp;sourceID=14","0.00582")</f>
        <v>0.00582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HYPERLINK("http://141.218.60.56/~jnz1568/getInfo.php?workbook=16_08.xlsx&amp;sheet=U0&amp;row=4936&amp;col=6&amp;number=4.2&amp;sourceID=14","4.2")</f>
        <v>4.2</v>
      </c>
      <c r="G4936" s="4" t="str">
        <f>HYPERLINK("http://141.218.60.56/~jnz1568/getInfo.php?workbook=16_08.xlsx&amp;sheet=U0&amp;row=4936&amp;col=7&amp;number=0.00581&amp;sourceID=14","0.00581")</f>
        <v>0.00581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HYPERLINK("http://141.218.60.56/~jnz1568/getInfo.php?workbook=16_08.xlsx&amp;sheet=U0&amp;row=4937&amp;col=6&amp;number=4.3&amp;sourceID=14","4.3")</f>
        <v>4.3</v>
      </c>
      <c r="G4937" s="4" t="str">
        <f>HYPERLINK("http://141.218.60.56/~jnz1568/getInfo.php?workbook=16_08.xlsx&amp;sheet=U0&amp;row=4937&amp;col=7&amp;number=0.0058&amp;sourceID=14","0.0058")</f>
        <v>0.0058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HYPERLINK("http://141.218.60.56/~jnz1568/getInfo.php?workbook=16_08.xlsx&amp;sheet=U0&amp;row=4938&amp;col=6&amp;number=4.4&amp;sourceID=14","4.4")</f>
        <v>4.4</v>
      </c>
      <c r="G4938" s="4" t="str">
        <f>HYPERLINK("http://141.218.60.56/~jnz1568/getInfo.php?workbook=16_08.xlsx&amp;sheet=U0&amp;row=4938&amp;col=7&amp;number=0.00579&amp;sourceID=14","0.00579")</f>
        <v>0.00579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HYPERLINK("http://141.218.60.56/~jnz1568/getInfo.php?workbook=16_08.xlsx&amp;sheet=U0&amp;row=4939&amp;col=6&amp;number=4.5&amp;sourceID=14","4.5")</f>
        <v>4.5</v>
      </c>
      <c r="G4939" s="4" t="str">
        <f>HYPERLINK("http://141.218.60.56/~jnz1568/getInfo.php?workbook=16_08.xlsx&amp;sheet=U0&amp;row=4939&amp;col=7&amp;number=0.00577&amp;sourceID=14","0.00577")</f>
        <v>0.00577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HYPERLINK("http://141.218.60.56/~jnz1568/getInfo.php?workbook=16_08.xlsx&amp;sheet=U0&amp;row=4940&amp;col=6&amp;number=4.6&amp;sourceID=14","4.6")</f>
        <v>4.6</v>
      </c>
      <c r="G4940" s="4" t="str">
        <f>HYPERLINK("http://141.218.60.56/~jnz1568/getInfo.php?workbook=16_08.xlsx&amp;sheet=U0&amp;row=4940&amp;col=7&amp;number=0.00575&amp;sourceID=14","0.00575")</f>
        <v>0.00575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HYPERLINK("http://141.218.60.56/~jnz1568/getInfo.php?workbook=16_08.xlsx&amp;sheet=U0&amp;row=4941&amp;col=6&amp;number=4.7&amp;sourceID=14","4.7")</f>
        <v>4.7</v>
      </c>
      <c r="G4941" s="4" t="str">
        <f>HYPERLINK("http://141.218.60.56/~jnz1568/getInfo.php?workbook=16_08.xlsx&amp;sheet=U0&amp;row=4941&amp;col=7&amp;number=0.00572&amp;sourceID=14","0.00572")</f>
        <v>0.00572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HYPERLINK("http://141.218.60.56/~jnz1568/getInfo.php?workbook=16_08.xlsx&amp;sheet=U0&amp;row=4942&amp;col=6&amp;number=4.8&amp;sourceID=14","4.8")</f>
        <v>4.8</v>
      </c>
      <c r="G4942" s="4" t="str">
        <f>HYPERLINK("http://141.218.60.56/~jnz1568/getInfo.php?workbook=16_08.xlsx&amp;sheet=U0&amp;row=4942&amp;col=7&amp;number=0.00569&amp;sourceID=14","0.00569")</f>
        <v>0.00569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HYPERLINK("http://141.218.60.56/~jnz1568/getInfo.php?workbook=16_08.xlsx&amp;sheet=U0&amp;row=4943&amp;col=6&amp;number=4.9&amp;sourceID=14","4.9")</f>
        <v>4.9</v>
      </c>
      <c r="G4943" s="4" t="str">
        <f>HYPERLINK("http://141.218.60.56/~jnz1568/getInfo.php?workbook=16_08.xlsx&amp;sheet=U0&amp;row=4943&amp;col=7&amp;number=0.00565&amp;sourceID=14","0.00565")</f>
        <v>0.00565</v>
      </c>
    </row>
    <row r="4944" spans="1:7">
      <c r="A4944" s="3">
        <v>16</v>
      </c>
      <c r="B4944" s="3">
        <v>8</v>
      </c>
      <c r="C4944" s="3">
        <v>3</v>
      </c>
      <c r="D4944" s="3">
        <v>82</v>
      </c>
      <c r="E4944" s="3">
        <v>1</v>
      </c>
      <c r="F4944" s="4" t="str">
        <f>HYPERLINK("http://141.218.60.56/~jnz1568/getInfo.php?workbook=16_08.xlsx&amp;sheet=U0&amp;row=4944&amp;col=6&amp;number=3&amp;sourceID=14","3")</f>
        <v>3</v>
      </c>
      <c r="G4944" s="4" t="str">
        <f>HYPERLINK("http://141.218.60.56/~jnz1568/getInfo.php?workbook=16_08.xlsx&amp;sheet=U0&amp;row=4944&amp;col=7&amp;number=0.00168&amp;sourceID=14","0.00168")</f>
        <v>0.00168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HYPERLINK("http://141.218.60.56/~jnz1568/getInfo.php?workbook=16_08.xlsx&amp;sheet=U0&amp;row=4945&amp;col=6&amp;number=3.1&amp;sourceID=14","3.1")</f>
        <v>3.1</v>
      </c>
      <c r="G4945" s="4" t="str">
        <f>HYPERLINK("http://141.218.60.56/~jnz1568/getInfo.php?workbook=16_08.xlsx&amp;sheet=U0&amp;row=4945&amp;col=7&amp;number=0.00168&amp;sourceID=14","0.00168")</f>
        <v>0.00168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HYPERLINK("http://141.218.60.56/~jnz1568/getInfo.php?workbook=16_08.xlsx&amp;sheet=U0&amp;row=4946&amp;col=6&amp;number=3.2&amp;sourceID=14","3.2")</f>
        <v>3.2</v>
      </c>
      <c r="G4946" s="4" t="str">
        <f>HYPERLINK("http://141.218.60.56/~jnz1568/getInfo.php?workbook=16_08.xlsx&amp;sheet=U0&amp;row=4946&amp;col=7&amp;number=0.00168&amp;sourceID=14","0.00168")</f>
        <v>0.00168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HYPERLINK("http://141.218.60.56/~jnz1568/getInfo.php?workbook=16_08.xlsx&amp;sheet=U0&amp;row=4947&amp;col=6&amp;number=3.3&amp;sourceID=14","3.3")</f>
        <v>3.3</v>
      </c>
      <c r="G4947" s="4" t="str">
        <f>HYPERLINK("http://141.218.60.56/~jnz1568/getInfo.php?workbook=16_08.xlsx&amp;sheet=U0&amp;row=4947&amp;col=7&amp;number=0.00168&amp;sourceID=14","0.00168")</f>
        <v>0.00168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HYPERLINK("http://141.218.60.56/~jnz1568/getInfo.php?workbook=16_08.xlsx&amp;sheet=U0&amp;row=4948&amp;col=6&amp;number=3.4&amp;sourceID=14","3.4")</f>
        <v>3.4</v>
      </c>
      <c r="G4948" s="4" t="str">
        <f>HYPERLINK("http://141.218.60.56/~jnz1568/getInfo.php?workbook=16_08.xlsx&amp;sheet=U0&amp;row=4948&amp;col=7&amp;number=0.00168&amp;sourceID=14","0.00168")</f>
        <v>0.00168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HYPERLINK("http://141.218.60.56/~jnz1568/getInfo.php?workbook=16_08.xlsx&amp;sheet=U0&amp;row=4949&amp;col=6&amp;number=3.5&amp;sourceID=14","3.5")</f>
        <v>3.5</v>
      </c>
      <c r="G4949" s="4" t="str">
        <f>HYPERLINK("http://141.218.60.56/~jnz1568/getInfo.php?workbook=16_08.xlsx&amp;sheet=U0&amp;row=4949&amp;col=7&amp;number=0.00168&amp;sourceID=14","0.00168")</f>
        <v>0.00168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HYPERLINK("http://141.218.60.56/~jnz1568/getInfo.php?workbook=16_08.xlsx&amp;sheet=U0&amp;row=4950&amp;col=6&amp;number=3.6&amp;sourceID=14","3.6")</f>
        <v>3.6</v>
      </c>
      <c r="G4950" s="4" t="str">
        <f>HYPERLINK("http://141.218.60.56/~jnz1568/getInfo.php?workbook=16_08.xlsx&amp;sheet=U0&amp;row=4950&amp;col=7&amp;number=0.00168&amp;sourceID=14","0.00168")</f>
        <v>0.00168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HYPERLINK("http://141.218.60.56/~jnz1568/getInfo.php?workbook=16_08.xlsx&amp;sheet=U0&amp;row=4951&amp;col=6&amp;number=3.7&amp;sourceID=14","3.7")</f>
        <v>3.7</v>
      </c>
      <c r="G4951" s="4" t="str">
        <f>HYPERLINK("http://141.218.60.56/~jnz1568/getInfo.php?workbook=16_08.xlsx&amp;sheet=U0&amp;row=4951&amp;col=7&amp;number=0.00168&amp;sourceID=14","0.00168")</f>
        <v>0.00168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HYPERLINK("http://141.218.60.56/~jnz1568/getInfo.php?workbook=16_08.xlsx&amp;sheet=U0&amp;row=4952&amp;col=6&amp;number=3.8&amp;sourceID=14","3.8")</f>
        <v>3.8</v>
      </c>
      <c r="G4952" s="4" t="str">
        <f>HYPERLINK("http://141.218.60.56/~jnz1568/getInfo.php?workbook=16_08.xlsx&amp;sheet=U0&amp;row=4952&amp;col=7&amp;number=0.00168&amp;sourceID=14","0.00168")</f>
        <v>0.00168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HYPERLINK("http://141.218.60.56/~jnz1568/getInfo.php?workbook=16_08.xlsx&amp;sheet=U0&amp;row=4953&amp;col=6&amp;number=3.9&amp;sourceID=14","3.9")</f>
        <v>3.9</v>
      </c>
      <c r="G4953" s="4" t="str">
        <f>HYPERLINK("http://141.218.60.56/~jnz1568/getInfo.php?workbook=16_08.xlsx&amp;sheet=U0&amp;row=4953&amp;col=7&amp;number=0.00168&amp;sourceID=14","0.00168")</f>
        <v>0.00168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HYPERLINK("http://141.218.60.56/~jnz1568/getInfo.php?workbook=16_08.xlsx&amp;sheet=U0&amp;row=4954&amp;col=6&amp;number=4&amp;sourceID=14","4")</f>
        <v>4</v>
      </c>
      <c r="G4954" s="4" t="str">
        <f>HYPERLINK("http://141.218.60.56/~jnz1568/getInfo.php?workbook=16_08.xlsx&amp;sheet=U0&amp;row=4954&amp;col=7&amp;number=0.00168&amp;sourceID=14","0.00168")</f>
        <v>0.00168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HYPERLINK("http://141.218.60.56/~jnz1568/getInfo.php?workbook=16_08.xlsx&amp;sheet=U0&amp;row=4955&amp;col=6&amp;number=4.1&amp;sourceID=14","4.1")</f>
        <v>4.1</v>
      </c>
      <c r="G4955" s="4" t="str">
        <f>HYPERLINK("http://141.218.60.56/~jnz1568/getInfo.php?workbook=16_08.xlsx&amp;sheet=U0&amp;row=4955&amp;col=7&amp;number=0.00168&amp;sourceID=14","0.00168")</f>
        <v>0.00168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HYPERLINK("http://141.218.60.56/~jnz1568/getInfo.php?workbook=16_08.xlsx&amp;sheet=U0&amp;row=4956&amp;col=6&amp;number=4.2&amp;sourceID=14","4.2")</f>
        <v>4.2</v>
      </c>
      <c r="G4956" s="4" t="str">
        <f>HYPERLINK("http://141.218.60.56/~jnz1568/getInfo.php?workbook=16_08.xlsx&amp;sheet=U0&amp;row=4956&amp;col=7&amp;number=0.00168&amp;sourceID=14","0.00168")</f>
        <v>0.00168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HYPERLINK("http://141.218.60.56/~jnz1568/getInfo.php?workbook=16_08.xlsx&amp;sheet=U0&amp;row=4957&amp;col=6&amp;number=4.3&amp;sourceID=14","4.3")</f>
        <v>4.3</v>
      </c>
      <c r="G4957" s="4" t="str">
        <f>HYPERLINK("http://141.218.60.56/~jnz1568/getInfo.php?workbook=16_08.xlsx&amp;sheet=U0&amp;row=4957&amp;col=7&amp;number=0.00167&amp;sourceID=14","0.00167")</f>
        <v>0.00167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HYPERLINK("http://141.218.60.56/~jnz1568/getInfo.php?workbook=16_08.xlsx&amp;sheet=U0&amp;row=4958&amp;col=6&amp;number=4.4&amp;sourceID=14","4.4")</f>
        <v>4.4</v>
      </c>
      <c r="G4958" s="4" t="str">
        <f>HYPERLINK("http://141.218.60.56/~jnz1568/getInfo.php?workbook=16_08.xlsx&amp;sheet=U0&amp;row=4958&amp;col=7&amp;number=0.00167&amp;sourceID=14","0.00167")</f>
        <v>0.00167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HYPERLINK("http://141.218.60.56/~jnz1568/getInfo.php?workbook=16_08.xlsx&amp;sheet=U0&amp;row=4959&amp;col=6&amp;number=4.5&amp;sourceID=14","4.5")</f>
        <v>4.5</v>
      </c>
      <c r="G4959" s="4" t="str">
        <f>HYPERLINK("http://141.218.60.56/~jnz1568/getInfo.php?workbook=16_08.xlsx&amp;sheet=U0&amp;row=4959&amp;col=7&amp;number=0.00167&amp;sourceID=14","0.00167")</f>
        <v>0.00167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HYPERLINK("http://141.218.60.56/~jnz1568/getInfo.php?workbook=16_08.xlsx&amp;sheet=U0&amp;row=4960&amp;col=6&amp;number=4.6&amp;sourceID=14","4.6")</f>
        <v>4.6</v>
      </c>
      <c r="G4960" s="4" t="str">
        <f>HYPERLINK("http://141.218.60.56/~jnz1568/getInfo.php?workbook=16_08.xlsx&amp;sheet=U0&amp;row=4960&amp;col=7&amp;number=0.00167&amp;sourceID=14","0.00167")</f>
        <v>0.00167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HYPERLINK("http://141.218.60.56/~jnz1568/getInfo.php?workbook=16_08.xlsx&amp;sheet=U0&amp;row=4961&amp;col=6&amp;number=4.7&amp;sourceID=14","4.7")</f>
        <v>4.7</v>
      </c>
      <c r="G4961" s="4" t="str">
        <f>HYPERLINK("http://141.218.60.56/~jnz1568/getInfo.php?workbook=16_08.xlsx&amp;sheet=U0&amp;row=4961&amp;col=7&amp;number=0.00166&amp;sourceID=14","0.00166")</f>
        <v>0.00166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HYPERLINK("http://141.218.60.56/~jnz1568/getInfo.php?workbook=16_08.xlsx&amp;sheet=U0&amp;row=4962&amp;col=6&amp;number=4.8&amp;sourceID=14","4.8")</f>
        <v>4.8</v>
      </c>
      <c r="G4962" s="4" t="str">
        <f>HYPERLINK("http://141.218.60.56/~jnz1568/getInfo.php?workbook=16_08.xlsx&amp;sheet=U0&amp;row=4962&amp;col=7&amp;number=0.00166&amp;sourceID=14","0.00166")</f>
        <v>0.00166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HYPERLINK("http://141.218.60.56/~jnz1568/getInfo.php?workbook=16_08.xlsx&amp;sheet=U0&amp;row=4963&amp;col=6&amp;number=4.9&amp;sourceID=14","4.9")</f>
        <v>4.9</v>
      </c>
      <c r="G4963" s="4" t="str">
        <f>HYPERLINK("http://141.218.60.56/~jnz1568/getInfo.php?workbook=16_08.xlsx&amp;sheet=U0&amp;row=4963&amp;col=7&amp;number=0.00166&amp;sourceID=14","0.00166")</f>
        <v>0.00166</v>
      </c>
    </row>
    <row r="4964" spans="1:7">
      <c r="A4964" s="3">
        <v>16</v>
      </c>
      <c r="B4964" s="3">
        <v>8</v>
      </c>
      <c r="C4964" s="3">
        <v>3</v>
      </c>
      <c r="D4964" s="3">
        <v>83</v>
      </c>
      <c r="E4964" s="3">
        <v>1</v>
      </c>
      <c r="F4964" s="4" t="str">
        <f>HYPERLINK("http://141.218.60.56/~jnz1568/getInfo.php?workbook=16_08.xlsx&amp;sheet=U0&amp;row=4964&amp;col=6&amp;number=3&amp;sourceID=14","3")</f>
        <v>3</v>
      </c>
      <c r="G4964" s="4" t="str">
        <f>HYPERLINK("http://141.218.60.56/~jnz1568/getInfo.php?workbook=16_08.xlsx&amp;sheet=U0&amp;row=4964&amp;col=7&amp;number=0.047&amp;sourceID=14","0.047")</f>
        <v>0.047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HYPERLINK("http://141.218.60.56/~jnz1568/getInfo.php?workbook=16_08.xlsx&amp;sheet=U0&amp;row=4965&amp;col=6&amp;number=3.1&amp;sourceID=14","3.1")</f>
        <v>3.1</v>
      </c>
      <c r="G4965" s="4" t="str">
        <f>HYPERLINK("http://141.218.60.56/~jnz1568/getInfo.php?workbook=16_08.xlsx&amp;sheet=U0&amp;row=4965&amp;col=7&amp;number=0.047&amp;sourceID=14","0.047")</f>
        <v>0.047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HYPERLINK("http://141.218.60.56/~jnz1568/getInfo.php?workbook=16_08.xlsx&amp;sheet=U0&amp;row=4966&amp;col=6&amp;number=3.2&amp;sourceID=14","3.2")</f>
        <v>3.2</v>
      </c>
      <c r="G4966" s="4" t="str">
        <f>HYPERLINK("http://141.218.60.56/~jnz1568/getInfo.php?workbook=16_08.xlsx&amp;sheet=U0&amp;row=4966&amp;col=7&amp;number=0.047&amp;sourceID=14","0.047")</f>
        <v>0.047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HYPERLINK("http://141.218.60.56/~jnz1568/getInfo.php?workbook=16_08.xlsx&amp;sheet=U0&amp;row=4967&amp;col=6&amp;number=3.3&amp;sourceID=14","3.3")</f>
        <v>3.3</v>
      </c>
      <c r="G4967" s="4" t="str">
        <f>HYPERLINK("http://141.218.60.56/~jnz1568/getInfo.php?workbook=16_08.xlsx&amp;sheet=U0&amp;row=4967&amp;col=7&amp;number=0.047&amp;sourceID=14","0.047")</f>
        <v>0.047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HYPERLINK("http://141.218.60.56/~jnz1568/getInfo.php?workbook=16_08.xlsx&amp;sheet=U0&amp;row=4968&amp;col=6&amp;number=3.4&amp;sourceID=14","3.4")</f>
        <v>3.4</v>
      </c>
      <c r="G4968" s="4" t="str">
        <f>HYPERLINK("http://141.218.60.56/~jnz1568/getInfo.php?workbook=16_08.xlsx&amp;sheet=U0&amp;row=4968&amp;col=7&amp;number=0.047&amp;sourceID=14","0.047")</f>
        <v>0.047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HYPERLINK("http://141.218.60.56/~jnz1568/getInfo.php?workbook=16_08.xlsx&amp;sheet=U0&amp;row=4969&amp;col=6&amp;number=3.5&amp;sourceID=14","3.5")</f>
        <v>3.5</v>
      </c>
      <c r="G4969" s="4" t="str">
        <f>HYPERLINK("http://141.218.60.56/~jnz1568/getInfo.php?workbook=16_08.xlsx&amp;sheet=U0&amp;row=4969&amp;col=7&amp;number=0.047&amp;sourceID=14","0.047")</f>
        <v>0.047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HYPERLINK("http://141.218.60.56/~jnz1568/getInfo.php?workbook=16_08.xlsx&amp;sheet=U0&amp;row=4970&amp;col=6&amp;number=3.6&amp;sourceID=14","3.6")</f>
        <v>3.6</v>
      </c>
      <c r="G4970" s="4" t="str">
        <f>HYPERLINK("http://141.218.60.56/~jnz1568/getInfo.php?workbook=16_08.xlsx&amp;sheet=U0&amp;row=4970&amp;col=7&amp;number=0.047&amp;sourceID=14","0.047")</f>
        <v>0.047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HYPERLINK("http://141.218.60.56/~jnz1568/getInfo.php?workbook=16_08.xlsx&amp;sheet=U0&amp;row=4971&amp;col=6&amp;number=3.7&amp;sourceID=14","3.7")</f>
        <v>3.7</v>
      </c>
      <c r="G4971" s="4" t="str">
        <f>HYPERLINK("http://141.218.60.56/~jnz1568/getInfo.php?workbook=16_08.xlsx&amp;sheet=U0&amp;row=4971&amp;col=7&amp;number=0.0471&amp;sourceID=14","0.0471")</f>
        <v>0.0471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HYPERLINK("http://141.218.60.56/~jnz1568/getInfo.php?workbook=16_08.xlsx&amp;sheet=U0&amp;row=4972&amp;col=6&amp;number=3.8&amp;sourceID=14","3.8")</f>
        <v>3.8</v>
      </c>
      <c r="G4972" s="4" t="str">
        <f>HYPERLINK("http://141.218.60.56/~jnz1568/getInfo.php?workbook=16_08.xlsx&amp;sheet=U0&amp;row=4972&amp;col=7&amp;number=0.0471&amp;sourceID=14","0.0471")</f>
        <v>0.0471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HYPERLINK("http://141.218.60.56/~jnz1568/getInfo.php?workbook=16_08.xlsx&amp;sheet=U0&amp;row=4973&amp;col=6&amp;number=3.9&amp;sourceID=14","3.9")</f>
        <v>3.9</v>
      </c>
      <c r="G4973" s="4" t="str">
        <f>HYPERLINK("http://141.218.60.56/~jnz1568/getInfo.php?workbook=16_08.xlsx&amp;sheet=U0&amp;row=4973&amp;col=7&amp;number=0.0471&amp;sourceID=14","0.0471")</f>
        <v>0.0471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HYPERLINK("http://141.218.60.56/~jnz1568/getInfo.php?workbook=16_08.xlsx&amp;sheet=U0&amp;row=4974&amp;col=6&amp;number=4&amp;sourceID=14","4")</f>
        <v>4</v>
      </c>
      <c r="G4974" s="4" t="str">
        <f>HYPERLINK("http://141.218.60.56/~jnz1568/getInfo.php?workbook=16_08.xlsx&amp;sheet=U0&amp;row=4974&amp;col=7&amp;number=0.0472&amp;sourceID=14","0.0472")</f>
        <v>0.0472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HYPERLINK("http://141.218.60.56/~jnz1568/getInfo.php?workbook=16_08.xlsx&amp;sheet=U0&amp;row=4975&amp;col=6&amp;number=4.1&amp;sourceID=14","4.1")</f>
        <v>4.1</v>
      </c>
      <c r="G4975" s="4" t="str">
        <f>HYPERLINK("http://141.218.60.56/~jnz1568/getInfo.php?workbook=16_08.xlsx&amp;sheet=U0&amp;row=4975&amp;col=7&amp;number=0.0472&amp;sourceID=14","0.0472")</f>
        <v>0.0472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HYPERLINK("http://141.218.60.56/~jnz1568/getInfo.php?workbook=16_08.xlsx&amp;sheet=U0&amp;row=4976&amp;col=6&amp;number=4.2&amp;sourceID=14","4.2")</f>
        <v>4.2</v>
      </c>
      <c r="G4976" s="4" t="str">
        <f>HYPERLINK("http://141.218.60.56/~jnz1568/getInfo.php?workbook=16_08.xlsx&amp;sheet=U0&amp;row=4976&amp;col=7&amp;number=0.0473&amp;sourceID=14","0.0473")</f>
        <v>0.0473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HYPERLINK("http://141.218.60.56/~jnz1568/getInfo.php?workbook=16_08.xlsx&amp;sheet=U0&amp;row=4977&amp;col=6&amp;number=4.3&amp;sourceID=14","4.3")</f>
        <v>4.3</v>
      </c>
      <c r="G4977" s="4" t="str">
        <f>HYPERLINK("http://141.218.60.56/~jnz1568/getInfo.php?workbook=16_08.xlsx&amp;sheet=U0&amp;row=4977&amp;col=7&amp;number=0.0474&amp;sourceID=14","0.0474")</f>
        <v>0.0474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HYPERLINK("http://141.218.60.56/~jnz1568/getInfo.php?workbook=16_08.xlsx&amp;sheet=U0&amp;row=4978&amp;col=6&amp;number=4.4&amp;sourceID=14","4.4")</f>
        <v>4.4</v>
      </c>
      <c r="G4978" s="4" t="str">
        <f>HYPERLINK("http://141.218.60.56/~jnz1568/getInfo.php?workbook=16_08.xlsx&amp;sheet=U0&amp;row=4978&amp;col=7&amp;number=0.0475&amp;sourceID=14","0.0475")</f>
        <v>0.0475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HYPERLINK("http://141.218.60.56/~jnz1568/getInfo.php?workbook=16_08.xlsx&amp;sheet=U0&amp;row=4979&amp;col=6&amp;number=4.5&amp;sourceID=14","4.5")</f>
        <v>4.5</v>
      </c>
      <c r="G4979" s="4" t="str">
        <f>HYPERLINK("http://141.218.60.56/~jnz1568/getInfo.php?workbook=16_08.xlsx&amp;sheet=U0&amp;row=4979&amp;col=7&amp;number=0.0476&amp;sourceID=14","0.0476")</f>
        <v>0.0476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HYPERLINK("http://141.218.60.56/~jnz1568/getInfo.php?workbook=16_08.xlsx&amp;sheet=U0&amp;row=4980&amp;col=6&amp;number=4.6&amp;sourceID=14","4.6")</f>
        <v>4.6</v>
      </c>
      <c r="G4980" s="4" t="str">
        <f>HYPERLINK("http://141.218.60.56/~jnz1568/getInfo.php?workbook=16_08.xlsx&amp;sheet=U0&amp;row=4980&amp;col=7&amp;number=0.0478&amp;sourceID=14","0.0478")</f>
        <v>0.0478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HYPERLINK("http://141.218.60.56/~jnz1568/getInfo.php?workbook=16_08.xlsx&amp;sheet=U0&amp;row=4981&amp;col=6&amp;number=4.7&amp;sourceID=14","4.7")</f>
        <v>4.7</v>
      </c>
      <c r="G4981" s="4" t="str">
        <f>HYPERLINK("http://141.218.60.56/~jnz1568/getInfo.php?workbook=16_08.xlsx&amp;sheet=U0&amp;row=4981&amp;col=7&amp;number=0.048&amp;sourceID=14","0.048")</f>
        <v>0.048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HYPERLINK("http://141.218.60.56/~jnz1568/getInfo.php?workbook=16_08.xlsx&amp;sheet=U0&amp;row=4982&amp;col=6&amp;number=4.8&amp;sourceID=14","4.8")</f>
        <v>4.8</v>
      </c>
      <c r="G4982" s="4" t="str">
        <f>HYPERLINK("http://141.218.60.56/~jnz1568/getInfo.php?workbook=16_08.xlsx&amp;sheet=U0&amp;row=4982&amp;col=7&amp;number=0.0483&amp;sourceID=14","0.0483")</f>
        <v>0.0483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HYPERLINK("http://141.218.60.56/~jnz1568/getInfo.php?workbook=16_08.xlsx&amp;sheet=U0&amp;row=4983&amp;col=6&amp;number=4.9&amp;sourceID=14","4.9")</f>
        <v>4.9</v>
      </c>
      <c r="G4983" s="4" t="str">
        <f>HYPERLINK("http://141.218.60.56/~jnz1568/getInfo.php?workbook=16_08.xlsx&amp;sheet=U0&amp;row=4983&amp;col=7&amp;number=0.0486&amp;sourceID=14","0.0486")</f>
        <v>0.0486</v>
      </c>
    </row>
    <row r="4984" spans="1:7">
      <c r="A4984" s="3">
        <v>16</v>
      </c>
      <c r="B4984" s="3">
        <v>8</v>
      </c>
      <c r="C4984" s="3">
        <v>3</v>
      </c>
      <c r="D4984" s="3">
        <v>84</v>
      </c>
      <c r="E4984" s="3">
        <v>1</v>
      </c>
      <c r="F4984" s="4" t="str">
        <f>HYPERLINK("http://141.218.60.56/~jnz1568/getInfo.php?workbook=16_08.xlsx&amp;sheet=U0&amp;row=4984&amp;col=6&amp;number=3&amp;sourceID=14","3")</f>
        <v>3</v>
      </c>
      <c r="G4984" s="4" t="str">
        <f>HYPERLINK("http://141.218.60.56/~jnz1568/getInfo.php?workbook=16_08.xlsx&amp;sheet=U0&amp;row=4984&amp;col=7&amp;number=0.00222&amp;sourceID=14","0.00222")</f>
        <v>0.00222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HYPERLINK("http://141.218.60.56/~jnz1568/getInfo.php?workbook=16_08.xlsx&amp;sheet=U0&amp;row=4985&amp;col=6&amp;number=3.1&amp;sourceID=14","3.1")</f>
        <v>3.1</v>
      </c>
      <c r="G4985" s="4" t="str">
        <f>HYPERLINK("http://141.218.60.56/~jnz1568/getInfo.php?workbook=16_08.xlsx&amp;sheet=U0&amp;row=4985&amp;col=7&amp;number=0.00222&amp;sourceID=14","0.00222")</f>
        <v>0.00222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HYPERLINK("http://141.218.60.56/~jnz1568/getInfo.php?workbook=16_08.xlsx&amp;sheet=U0&amp;row=4986&amp;col=6&amp;number=3.2&amp;sourceID=14","3.2")</f>
        <v>3.2</v>
      </c>
      <c r="G4986" s="4" t="str">
        <f>HYPERLINK("http://141.218.60.56/~jnz1568/getInfo.php?workbook=16_08.xlsx&amp;sheet=U0&amp;row=4986&amp;col=7&amp;number=0.00222&amp;sourceID=14","0.00222")</f>
        <v>0.00222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HYPERLINK("http://141.218.60.56/~jnz1568/getInfo.php?workbook=16_08.xlsx&amp;sheet=U0&amp;row=4987&amp;col=6&amp;number=3.3&amp;sourceID=14","3.3")</f>
        <v>3.3</v>
      </c>
      <c r="G4987" s="4" t="str">
        <f>HYPERLINK("http://141.218.60.56/~jnz1568/getInfo.php?workbook=16_08.xlsx&amp;sheet=U0&amp;row=4987&amp;col=7&amp;number=0.00222&amp;sourceID=14","0.00222")</f>
        <v>0.00222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HYPERLINK("http://141.218.60.56/~jnz1568/getInfo.php?workbook=16_08.xlsx&amp;sheet=U0&amp;row=4988&amp;col=6&amp;number=3.4&amp;sourceID=14","3.4")</f>
        <v>3.4</v>
      </c>
      <c r="G4988" s="4" t="str">
        <f>HYPERLINK("http://141.218.60.56/~jnz1568/getInfo.php?workbook=16_08.xlsx&amp;sheet=U0&amp;row=4988&amp;col=7&amp;number=0.00222&amp;sourceID=14","0.00222")</f>
        <v>0.00222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HYPERLINK("http://141.218.60.56/~jnz1568/getInfo.php?workbook=16_08.xlsx&amp;sheet=U0&amp;row=4989&amp;col=6&amp;number=3.5&amp;sourceID=14","3.5")</f>
        <v>3.5</v>
      </c>
      <c r="G4989" s="4" t="str">
        <f>HYPERLINK("http://141.218.60.56/~jnz1568/getInfo.php?workbook=16_08.xlsx&amp;sheet=U0&amp;row=4989&amp;col=7&amp;number=0.00222&amp;sourceID=14","0.00222")</f>
        <v>0.00222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HYPERLINK("http://141.218.60.56/~jnz1568/getInfo.php?workbook=16_08.xlsx&amp;sheet=U0&amp;row=4990&amp;col=6&amp;number=3.6&amp;sourceID=14","3.6")</f>
        <v>3.6</v>
      </c>
      <c r="G4990" s="4" t="str">
        <f>HYPERLINK("http://141.218.60.56/~jnz1568/getInfo.php?workbook=16_08.xlsx&amp;sheet=U0&amp;row=4990&amp;col=7&amp;number=0.00222&amp;sourceID=14","0.00222")</f>
        <v>0.00222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HYPERLINK("http://141.218.60.56/~jnz1568/getInfo.php?workbook=16_08.xlsx&amp;sheet=U0&amp;row=4991&amp;col=6&amp;number=3.7&amp;sourceID=14","3.7")</f>
        <v>3.7</v>
      </c>
      <c r="G4991" s="4" t="str">
        <f>HYPERLINK("http://141.218.60.56/~jnz1568/getInfo.php?workbook=16_08.xlsx&amp;sheet=U0&amp;row=4991&amp;col=7&amp;number=0.00222&amp;sourceID=14","0.00222")</f>
        <v>0.00222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HYPERLINK("http://141.218.60.56/~jnz1568/getInfo.php?workbook=16_08.xlsx&amp;sheet=U0&amp;row=4992&amp;col=6&amp;number=3.8&amp;sourceID=14","3.8")</f>
        <v>3.8</v>
      </c>
      <c r="G4992" s="4" t="str">
        <f>HYPERLINK("http://141.218.60.56/~jnz1568/getInfo.php?workbook=16_08.xlsx&amp;sheet=U0&amp;row=4992&amp;col=7&amp;number=0.00222&amp;sourceID=14","0.00222")</f>
        <v>0.00222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HYPERLINK("http://141.218.60.56/~jnz1568/getInfo.php?workbook=16_08.xlsx&amp;sheet=U0&amp;row=4993&amp;col=6&amp;number=3.9&amp;sourceID=14","3.9")</f>
        <v>3.9</v>
      </c>
      <c r="G4993" s="4" t="str">
        <f>HYPERLINK("http://141.218.60.56/~jnz1568/getInfo.php?workbook=16_08.xlsx&amp;sheet=U0&amp;row=4993&amp;col=7&amp;number=0.00222&amp;sourceID=14","0.00222")</f>
        <v>0.00222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HYPERLINK("http://141.218.60.56/~jnz1568/getInfo.php?workbook=16_08.xlsx&amp;sheet=U0&amp;row=4994&amp;col=6&amp;number=4&amp;sourceID=14","4")</f>
        <v>4</v>
      </c>
      <c r="G4994" s="4" t="str">
        <f>HYPERLINK("http://141.218.60.56/~jnz1568/getInfo.php?workbook=16_08.xlsx&amp;sheet=U0&amp;row=4994&amp;col=7&amp;number=0.00222&amp;sourceID=14","0.00222")</f>
        <v>0.00222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HYPERLINK("http://141.218.60.56/~jnz1568/getInfo.php?workbook=16_08.xlsx&amp;sheet=U0&amp;row=4995&amp;col=6&amp;number=4.1&amp;sourceID=14","4.1")</f>
        <v>4.1</v>
      </c>
      <c r="G4995" s="4" t="str">
        <f>HYPERLINK("http://141.218.60.56/~jnz1568/getInfo.php?workbook=16_08.xlsx&amp;sheet=U0&amp;row=4995&amp;col=7&amp;number=0.00221&amp;sourceID=14","0.00221")</f>
        <v>0.00221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HYPERLINK("http://141.218.60.56/~jnz1568/getInfo.php?workbook=16_08.xlsx&amp;sheet=U0&amp;row=4996&amp;col=6&amp;number=4.2&amp;sourceID=14","4.2")</f>
        <v>4.2</v>
      </c>
      <c r="G4996" s="4" t="str">
        <f>HYPERLINK("http://141.218.60.56/~jnz1568/getInfo.php?workbook=16_08.xlsx&amp;sheet=U0&amp;row=4996&amp;col=7&amp;number=0.00221&amp;sourceID=14","0.00221")</f>
        <v>0.00221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HYPERLINK("http://141.218.60.56/~jnz1568/getInfo.php?workbook=16_08.xlsx&amp;sheet=U0&amp;row=4997&amp;col=6&amp;number=4.3&amp;sourceID=14","4.3")</f>
        <v>4.3</v>
      </c>
      <c r="G4997" s="4" t="str">
        <f>HYPERLINK("http://141.218.60.56/~jnz1568/getInfo.php?workbook=16_08.xlsx&amp;sheet=U0&amp;row=4997&amp;col=7&amp;number=0.00221&amp;sourceID=14","0.00221")</f>
        <v>0.00221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HYPERLINK("http://141.218.60.56/~jnz1568/getInfo.php?workbook=16_08.xlsx&amp;sheet=U0&amp;row=4998&amp;col=6&amp;number=4.4&amp;sourceID=14","4.4")</f>
        <v>4.4</v>
      </c>
      <c r="G4998" s="4" t="str">
        <f>HYPERLINK("http://141.218.60.56/~jnz1568/getInfo.php?workbook=16_08.xlsx&amp;sheet=U0&amp;row=4998&amp;col=7&amp;number=0.00221&amp;sourceID=14","0.00221")</f>
        <v>0.00221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HYPERLINK("http://141.218.60.56/~jnz1568/getInfo.php?workbook=16_08.xlsx&amp;sheet=U0&amp;row=4999&amp;col=6&amp;number=4.5&amp;sourceID=14","4.5")</f>
        <v>4.5</v>
      </c>
      <c r="G4999" s="4" t="str">
        <f>HYPERLINK("http://141.218.60.56/~jnz1568/getInfo.php?workbook=16_08.xlsx&amp;sheet=U0&amp;row=4999&amp;col=7&amp;number=0.0022&amp;sourceID=14","0.0022")</f>
        <v>0.0022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HYPERLINK("http://141.218.60.56/~jnz1568/getInfo.php?workbook=16_08.xlsx&amp;sheet=U0&amp;row=5000&amp;col=6&amp;number=4.6&amp;sourceID=14","4.6")</f>
        <v>4.6</v>
      </c>
      <c r="G5000" s="4" t="str">
        <f>HYPERLINK("http://141.218.60.56/~jnz1568/getInfo.php?workbook=16_08.xlsx&amp;sheet=U0&amp;row=5000&amp;col=7&amp;number=0.0022&amp;sourceID=14","0.0022")</f>
        <v>0.0022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HYPERLINK("http://141.218.60.56/~jnz1568/getInfo.php?workbook=16_08.xlsx&amp;sheet=U0&amp;row=5001&amp;col=6&amp;number=4.7&amp;sourceID=14","4.7")</f>
        <v>4.7</v>
      </c>
      <c r="G5001" s="4" t="str">
        <f>HYPERLINK("http://141.218.60.56/~jnz1568/getInfo.php?workbook=16_08.xlsx&amp;sheet=U0&amp;row=5001&amp;col=7&amp;number=0.00219&amp;sourceID=14","0.00219")</f>
        <v>0.00219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HYPERLINK("http://141.218.60.56/~jnz1568/getInfo.php?workbook=16_08.xlsx&amp;sheet=U0&amp;row=5002&amp;col=6&amp;number=4.8&amp;sourceID=14","4.8")</f>
        <v>4.8</v>
      </c>
      <c r="G5002" s="4" t="str">
        <f>HYPERLINK("http://141.218.60.56/~jnz1568/getInfo.php?workbook=16_08.xlsx&amp;sheet=U0&amp;row=5002&amp;col=7&amp;number=0.00219&amp;sourceID=14","0.00219")</f>
        <v>0.00219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HYPERLINK("http://141.218.60.56/~jnz1568/getInfo.php?workbook=16_08.xlsx&amp;sheet=U0&amp;row=5003&amp;col=6&amp;number=4.9&amp;sourceID=14","4.9")</f>
        <v>4.9</v>
      </c>
      <c r="G5003" s="4" t="str">
        <f>HYPERLINK("http://141.218.60.56/~jnz1568/getInfo.php?workbook=16_08.xlsx&amp;sheet=U0&amp;row=5003&amp;col=7&amp;number=0.00218&amp;sourceID=14","0.00218")</f>
        <v>0.00218</v>
      </c>
    </row>
    <row r="5004" spans="1:7">
      <c r="A5004" s="3">
        <v>16</v>
      </c>
      <c r="B5004" s="3">
        <v>8</v>
      </c>
      <c r="C5004" s="3">
        <v>3</v>
      </c>
      <c r="D5004" s="3">
        <v>85</v>
      </c>
      <c r="E5004" s="3">
        <v>1</v>
      </c>
      <c r="F5004" s="4" t="str">
        <f>HYPERLINK("http://141.218.60.56/~jnz1568/getInfo.php?workbook=16_08.xlsx&amp;sheet=U0&amp;row=5004&amp;col=6&amp;number=3&amp;sourceID=14","3")</f>
        <v>3</v>
      </c>
      <c r="G5004" s="4" t="str">
        <f>HYPERLINK("http://141.218.60.56/~jnz1568/getInfo.php?workbook=16_08.xlsx&amp;sheet=U0&amp;row=5004&amp;col=7&amp;number=0.00442&amp;sourceID=14","0.00442")</f>
        <v>0.00442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HYPERLINK("http://141.218.60.56/~jnz1568/getInfo.php?workbook=16_08.xlsx&amp;sheet=U0&amp;row=5005&amp;col=6&amp;number=3.1&amp;sourceID=14","3.1")</f>
        <v>3.1</v>
      </c>
      <c r="G5005" s="4" t="str">
        <f>HYPERLINK("http://141.218.60.56/~jnz1568/getInfo.php?workbook=16_08.xlsx&amp;sheet=U0&amp;row=5005&amp;col=7&amp;number=0.00442&amp;sourceID=14","0.00442")</f>
        <v>0.00442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HYPERLINK("http://141.218.60.56/~jnz1568/getInfo.php?workbook=16_08.xlsx&amp;sheet=U0&amp;row=5006&amp;col=6&amp;number=3.2&amp;sourceID=14","3.2")</f>
        <v>3.2</v>
      </c>
      <c r="G5006" s="4" t="str">
        <f>HYPERLINK("http://141.218.60.56/~jnz1568/getInfo.php?workbook=16_08.xlsx&amp;sheet=U0&amp;row=5006&amp;col=7&amp;number=0.00442&amp;sourceID=14","0.00442")</f>
        <v>0.00442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HYPERLINK("http://141.218.60.56/~jnz1568/getInfo.php?workbook=16_08.xlsx&amp;sheet=U0&amp;row=5007&amp;col=6&amp;number=3.3&amp;sourceID=14","3.3")</f>
        <v>3.3</v>
      </c>
      <c r="G5007" s="4" t="str">
        <f>HYPERLINK("http://141.218.60.56/~jnz1568/getInfo.php?workbook=16_08.xlsx&amp;sheet=U0&amp;row=5007&amp;col=7&amp;number=0.00442&amp;sourceID=14","0.00442")</f>
        <v>0.00442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HYPERLINK("http://141.218.60.56/~jnz1568/getInfo.php?workbook=16_08.xlsx&amp;sheet=U0&amp;row=5008&amp;col=6&amp;number=3.4&amp;sourceID=14","3.4")</f>
        <v>3.4</v>
      </c>
      <c r="G5008" s="4" t="str">
        <f>HYPERLINK("http://141.218.60.56/~jnz1568/getInfo.php?workbook=16_08.xlsx&amp;sheet=U0&amp;row=5008&amp;col=7&amp;number=0.00442&amp;sourceID=14","0.00442")</f>
        <v>0.00442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HYPERLINK("http://141.218.60.56/~jnz1568/getInfo.php?workbook=16_08.xlsx&amp;sheet=U0&amp;row=5009&amp;col=6&amp;number=3.5&amp;sourceID=14","3.5")</f>
        <v>3.5</v>
      </c>
      <c r="G5009" s="4" t="str">
        <f>HYPERLINK("http://141.218.60.56/~jnz1568/getInfo.php?workbook=16_08.xlsx&amp;sheet=U0&amp;row=5009&amp;col=7&amp;number=0.00442&amp;sourceID=14","0.00442")</f>
        <v>0.00442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HYPERLINK("http://141.218.60.56/~jnz1568/getInfo.php?workbook=16_08.xlsx&amp;sheet=U0&amp;row=5010&amp;col=6&amp;number=3.6&amp;sourceID=14","3.6")</f>
        <v>3.6</v>
      </c>
      <c r="G5010" s="4" t="str">
        <f>HYPERLINK("http://141.218.60.56/~jnz1568/getInfo.php?workbook=16_08.xlsx&amp;sheet=U0&amp;row=5010&amp;col=7&amp;number=0.00441&amp;sourceID=14","0.00441")</f>
        <v>0.00441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HYPERLINK("http://141.218.60.56/~jnz1568/getInfo.php?workbook=16_08.xlsx&amp;sheet=U0&amp;row=5011&amp;col=6&amp;number=3.7&amp;sourceID=14","3.7")</f>
        <v>3.7</v>
      </c>
      <c r="G5011" s="4" t="str">
        <f>HYPERLINK("http://141.218.60.56/~jnz1568/getInfo.php?workbook=16_08.xlsx&amp;sheet=U0&amp;row=5011&amp;col=7&amp;number=0.00441&amp;sourceID=14","0.00441")</f>
        <v>0.00441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HYPERLINK("http://141.218.60.56/~jnz1568/getInfo.php?workbook=16_08.xlsx&amp;sheet=U0&amp;row=5012&amp;col=6&amp;number=3.8&amp;sourceID=14","3.8")</f>
        <v>3.8</v>
      </c>
      <c r="G5012" s="4" t="str">
        <f>HYPERLINK("http://141.218.60.56/~jnz1568/getInfo.php?workbook=16_08.xlsx&amp;sheet=U0&amp;row=5012&amp;col=7&amp;number=0.00441&amp;sourceID=14","0.00441")</f>
        <v>0.00441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HYPERLINK("http://141.218.60.56/~jnz1568/getInfo.php?workbook=16_08.xlsx&amp;sheet=U0&amp;row=5013&amp;col=6&amp;number=3.9&amp;sourceID=14","3.9")</f>
        <v>3.9</v>
      </c>
      <c r="G5013" s="4" t="str">
        <f>HYPERLINK("http://141.218.60.56/~jnz1568/getInfo.php?workbook=16_08.xlsx&amp;sheet=U0&amp;row=5013&amp;col=7&amp;number=0.00441&amp;sourceID=14","0.00441")</f>
        <v>0.00441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HYPERLINK("http://141.218.60.56/~jnz1568/getInfo.php?workbook=16_08.xlsx&amp;sheet=U0&amp;row=5014&amp;col=6&amp;number=4&amp;sourceID=14","4")</f>
        <v>4</v>
      </c>
      <c r="G5014" s="4" t="str">
        <f>HYPERLINK("http://141.218.60.56/~jnz1568/getInfo.php?workbook=16_08.xlsx&amp;sheet=U0&amp;row=5014&amp;col=7&amp;number=0.0044&amp;sourceID=14","0.0044")</f>
        <v>0.0044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HYPERLINK("http://141.218.60.56/~jnz1568/getInfo.php?workbook=16_08.xlsx&amp;sheet=U0&amp;row=5015&amp;col=6&amp;number=4.1&amp;sourceID=14","4.1")</f>
        <v>4.1</v>
      </c>
      <c r="G5015" s="4" t="str">
        <f>HYPERLINK("http://141.218.60.56/~jnz1568/getInfo.php?workbook=16_08.xlsx&amp;sheet=U0&amp;row=5015&amp;col=7&amp;number=0.0044&amp;sourceID=14","0.0044")</f>
        <v>0.0044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HYPERLINK("http://141.218.60.56/~jnz1568/getInfo.php?workbook=16_08.xlsx&amp;sheet=U0&amp;row=5016&amp;col=6&amp;number=4.2&amp;sourceID=14","4.2")</f>
        <v>4.2</v>
      </c>
      <c r="G5016" s="4" t="str">
        <f>HYPERLINK("http://141.218.60.56/~jnz1568/getInfo.php?workbook=16_08.xlsx&amp;sheet=U0&amp;row=5016&amp;col=7&amp;number=0.00439&amp;sourceID=14","0.00439")</f>
        <v>0.00439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HYPERLINK("http://141.218.60.56/~jnz1568/getInfo.php?workbook=16_08.xlsx&amp;sheet=U0&amp;row=5017&amp;col=6&amp;number=4.3&amp;sourceID=14","4.3")</f>
        <v>4.3</v>
      </c>
      <c r="G5017" s="4" t="str">
        <f>HYPERLINK("http://141.218.60.56/~jnz1568/getInfo.php?workbook=16_08.xlsx&amp;sheet=U0&amp;row=5017&amp;col=7&amp;number=0.00438&amp;sourceID=14","0.00438")</f>
        <v>0.00438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HYPERLINK("http://141.218.60.56/~jnz1568/getInfo.php?workbook=16_08.xlsx&amp;sheet=U0&amp;row=5018&amp;col=6&amp;number=4.4&amp;sourceID=14","4.4")</f>
        <v>4.4</v>
      </c>
      <c r="G5018" s="4" t="str">
        <f>HYPERLINK("http://141.218.60.56/~jnz1568/getInfo.php?workbook=16_08.xlsx&amp;sheet=U0&amp;row=5018&amp;col=7&amp;number=0.00437&amp;sourceID=14","0.00437")</f>
        <v>0.00437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HYPERLINK("http://141.218.60.56/~jnz1568/getInfo.php?workbook=16_08.xlsx&amp;sheet=U0&amp;row=5019&amp;col=6&amp;number=4.5&amp;sourceID=14","4.5")</f>
        <v>4.5</v>
      </c>
      <c r="G5019" s="4" t="str">
        <f>HYPERLINK("http://141.218.60.56/~jnz1568/getInfo.php?workbook=16_08.xlsx&amp;sheet=U0&amp;row=5019&amp;col=7&amp;number=0.00436&amp;sourceID=14","0.00436")</f>
        <v>0.00436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HYPERLINK("http://141.218.60.56/~jnz1568/getInfo.php?workbook=16_08.xlsx&amp;sheet=U0&amp;row=5020&amp;col=6&amp;number=4.6&amp;sourceID=14","4.6")</f>
        <v>4.6</v>
      </c>
      <c r="G5020" s="4" t="str">
        <f>HYPERLINK("http://141.218.60.56/~jnz1568/getInfo.php?workbook=16_08.xlsx&amp;sheet=U0&amp;row=5020&amp;col=7&amp;number=0.00434&amp;sourceID=14","0.00434")</f>
        <v>0.00434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HYPERLINK("http://141.218.60.56/~jnz1568/getInfo.php?workbook=16_08.xlsx&amp;sheet=U0&amp;row=5021&amp;col=6&amp;number=4.7&amp;sourceID=14","4.7")</f>
        <v>4.7</v>
      </c>
      <c r="G5021" s="4" t="str">
        <f>HYPERLINK("http://141.218.60.56/~jnz1568/getInfo.php?workbook=16_08.xlsx&amp;sheet=U0&amp;row=5021&amp;col=7&amp;number=0.00432&amp;sourceID=14","0.00432")</f>
        <v>0.00432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HYPERLINK("http://141.218.60.56/~jnz1568/getInfo.php?workbook=16_08.xlsx&amp;sheet=U0&amp;row=5022&amp;col=6&amp;number=4.8&amp;sourceID=14","4.8")</f>
        <v>4.8</v>
      </c>
      <c r="G5022" s="4" t="str">
        <f>HYPERLINK("http://141.218.60.56/~jnz1568/getInfo.php?workbook=16_08.xlsx&amp;sheet=U0&amp;row=5022&amp;col=7&amp;number=0.00429&amp;sourceID=14","0.00429")</f>
        <v>0.00429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HYPERLINK("http://141.218.60.56/~jnz1568/getInfo.php?workbook=16_08.xlsx&amp;sheet=U0&amp;row=5023&amp;col=6&amp;number=4.9&amp;sourceID=14","4.9")</f>
        <v>4.9</v>
      </c>
      <c r="G5023" s="4" t="str">
        <f>HYPERLINK("http://141.218.60.56/~jnz1568/getInfo.php?workbook=16_08.xlsx&amp;sheet=U0&amp;row=5023&amp;col=7&amp;number=0.00426&amp;sourceID=14","0.00426")</f>
        <v>0.00426</v>
      </c>
    </row>
    <row r="5024" spans="1:7">
      <c r="A5024" s="3">
        <v>16</v>
      </c>
      <c r="B5024" s="3">
        <v>8</v>
      </c>
      <c r="C5024" s="3">
        <v>3</v>
      </c>
      <c r="D5024" s="3">
        <v>86</v>
      </c>
      <c r="E5024" s="3">
        <v>1</v>
      </c>
      <c r="F5024" s="4" t="str">
        <f>HYPERLINK("http://141.218.60.56/~jnz1568/getInfo.php?workbook=16_08.xlsx&amp;sheet=U0&amp;row=5024&amp;col=6&amp;number=3&amp;sourceID=14","3")</f>
        <v>3</v>
      </c>
      <c r="G5024" s="4" t="str">
        <f>HYPERLINK("http://141.218.60.56/~jnz1568/getInfo.php?workbook=16_08.xlsx&amp;sheet=U0&amp;row=5024&amp;col=7&amp;number=0.00142&amp;sourceID=14","0.00142")</f>
        <v>0.00142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HYPERLINK("http://141.218.60.56/~jnz1568/getInfo.php?workbook=16_08.xlsx&amp;sheet=U0&amp;row=5025&amp;col=6&amp;number=3.1&amp;sourceID=14","3.1")</f>
        <v>3.1</v>
      </c>
      <c r="G5025" s="4" t="str">
        <f>HYPERLINK("http://141.218.60.56/~jnz1568/getInfo.php?workbook=16_08.xlsx&amp;sheet=U0&amp;row=5025&amp;col=7&amp;number=0.00142&amp;sourceID=14","0.00142")</f>
        <v>0.00142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HYPERLINK("http://141.218.60.56/~jnz1568/getInfo.php?workbook=16_08.xlsx&amp;sheet=U0&amp;row=5026&amp;col=6&amp;number=3.2&amp;sourceID=14","3.2")</f>
        <v>3.2</v>
      </c>
      <c r="G5026" s="4" t="str">
        <f>HYPERLINK("http://141.218.60.56/~jnz1568/getInfo.php?workbook=16_08.xlsx&amp;sheet=U0&amp;row=5026&amp;col=7&amp;number=0.00142&amp;sourceID=14","0.00142")</f>
        <v>0.00142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HYPERLINK("http://141.218.60.56/~jnz1568/getInfo.php?workbook=16_08.xlsx&amp;sheet=U0&amp;row=5027&amp;col=6&amp;number=3.3&amp;sourceID=14","3.3")</f>
        <v>3.3</v>
      </c>
      <c r="G5027" s="4" t="str">
        <f>HYPERLINK("http://141.218.60.56/~jnz1568/getInfo.php?workbook=16_08.xlsx&amp;sheet=U0&amp;row=5027&amp;col=7&amp;number=0.00142&amp;sourceID=14","0.00142")</f>
        <v>0.00142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HYPERLINK("http://141.218.60.56/~jnz1568/getInfo.php?workbook=16_08.xlsx&amp;sheet=U0&amp;row=5028&amp;col=6&amp;number=3.4&amp;sourceID=14","3.4")</f>
        <v>3.4</v>
      </c>
      <c r="G5028" s="4" t="str">
        <f>HYPERLINK("http://141.218.60.56/~jnz1568/getInfo.php?workbook=16_08.xlsx&amp;sheet=U0&amp;row=5028&amp;col=7&amp;number=0.00142&amp;sourceID=14","0.00142")</f>
        <v>0.00142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HYPERLINK("http://141.218.60.56/~jnz1568/getInfo.php?workbook=16_08.xlsx&amp;sheet=U0&amp;row=5029&amp;col=6&amp;number=3.5&amp;sourceID=14","3.5")</f>
        <v>3.5</v>
      </c>
      <c r="G5029" s="4" t="str">
        <f>HYPERLINK("http://141.218.60.56/~jnz1568/getInfo.php?workbook=16_08.xlsx&amp;sheet=U0&amp;row=5029&amp;col=7&amp;number=0.00142&amp;sourceID=14","0.00142")</f>
        <v>0.00142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HYPERLINK("http://141.218.60.56/~jnz1568/getInfo.php?workbook=16_08.xlsx&amp;sheet=U0&amp;row=5030&amp;col=6&amp;number=3.6&amp;sourceID=14","3.6")</f>
        <v>3.6</v>
      </c>
      <c r="G5030" s="4" t="str">
        <f>HYPERLINK("http://141.218.60.56/~jnz1568/getInfo.php?workbook=16_08.xlsx&amp;sheet=U0&amp;row=5030&amp;col=7&amp;number=0.00142&amp;sourceID=14","0.00142")</f>
        <v>0.00142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HYPERLINK("http://141.218.60.56/~jnz1568/getInfo.php?workbook=16_08.xlsx&amp;sheet=U0&amp;row=5031&amp;col=6&amp;number=3.7&amp;sourceID=14","3.7")</f>
        <v>3.7</v>
      </c>
      <c r="G5031" s="4" t="str">
        <f>HYPERLINK("http://141.218.60.56/~jnz1568/getInfo.php?workbook=16_08.xlsx&amp;sheet=U0&amp;row=5031&amp;col=7&amp;number=0.00141&amp;sourceID=14","0.00141")</f>
        <v>0.00141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HYPERLINK("http://141.218.60.56/~jnz1568/getInfo.php?workbook=16_08.xlsx&amp;sheet=U0&amp;row=5032&amp;col=6&amp;number=3.8&amp;sourceID=14","3.8")</f>
        <v>3.8</v>
      </c>
      <c r="G5032" s="4" t="str">
        <f>HYPERLINK("http://141.218.60.56/~jnz1568/getInfo.php?workbook=16_08.xlsx&amp;sheet=U0&amp;row=5032&amp;col=7&amp;number=0.00141&amp;sourceID=14","0.00141")</f>
        <v>0.00141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HYPERLINK("http://141.218.60.56/~jnz1568/getInfo.php?workbook=16_08.xlsx&amp;sheet=U0&amp;row=5033&amp;col=6&amp;number=3.9&amp;sourceID=14","3.9")</f>
        <v>3.9</v>
      </c>
      <c r="G5033" s="4" t="str">
        <f>HYPERLINK("http://141.218.60.56/~jnz1568/getInfo.php?workbook=16_08.xlsx&amp;sheet=U0&amp;row=5033&amp;col=7&amp;number=0.00141&amp;sourceID=14","0.00141")</f>
        <v>0.00141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HYPERLINK("http://141.218.60.56/~jnz1568/getInfo.php?workbook=16_08.xlsx&amp;sheet=U0&amp;row=5034&amp;col=6&amp;number=4&amp;sourceID=14","4")</f>
        <v>4</v>
      </c>
      <c r="G5034" s="4" t="str">
        <f>HYPERLINK("http://141.218.60.56/~jnz1568/getInfo.php?workbook=16_08.xlsx&amp;sheet=U0&amp;row=5034&amp;col=7&amp;number=0.00141&amp;sourceID=14","0.00141")</f>
        <v>0.00141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HYPERLINK("http://141.218.60.56/~jnz1568/getInfo.php?workbook=16_08.xlsx&amp;sheet=U0&amp;row=5035&amp;col=6&amp;number=4.1&amp;sourceID=14","4.1")</f>
        <v>4.1</v>
      </c>
      <c r="G5035" s="4" t="str">
        <f>HYPERLINK("http://141.218.60.56/~jnz1568/getInfo.php?workbook=16_08.xlsx&amp;sheet=U0&amp;row=5035&amp;col=7&amp;number=0.00141&amp;sourceID=14","0.00141")</f>
        <v>0.00141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HYPERLINK("http://141.218.60.56/~jnz1568/getInfo.php?workbook=16_08.xlsx&amp;sheet=U0&amp;row=5036&amp;col=6&amp;number=4.2&amp;sourceID=14","4.2")</f>
        <v>4.2</v>
      </c>
      <c r="G5036" s="4" t="str">
        <f>HYPERLINK("http://141.218.60.56/~jnz1568/getInfo.php?workbook=16_08.xlsx&amp;sheet=U0&amp;row=5036&amp;col=7&amp;number=0.00141&amp;sourceID=14","0.00141")</f>
        <v>0.00141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HYPERLINK("http://141.218.60.56/~jnz1568/getInfo.php?workbook=16_08.xlsx&amp;sheet=U0&amp;row=5037&amp;col=6&amp;number=4.3&amp;sourceID=14","4.3")</f>
        <v>4.3</v>
      </c>
      <c r="G5037" s="4" t="str">
        <f>HYPERLINK("http://141.218.60.56/~jnz1568/getInfo.php?workbook=16_08.xlsx&amp;sheet=U0&amp;row=5037&amp;col=7&amp;number=0.0014&amp;sourceID=14","0.0014")</f>
        <v>0.0014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HYPERLINK("http://141.218.60.56/~jnz1568/getInfo.php?workbook=16_08.xlsx&amp;sheet=U0&amp;row=5038&amp;col=6&amp;number=4.4&amp;sourceID=14","4.4")</f>
        <v>4.4</v>
      </c>
      <c r="G5038" s="4" t="str">
        <f>HYPERLINK("http://141.218.60.56/~jnz1568/getInfo.php?workbook=16_08.xlsx&amp;sheet=U0&amp;row=5038&amp;col=7&amp;number=0.0014&amp;sourceID=14","0.0014")</f>
        <v>0.0014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HYPERLINK("http://141.218.60.56/~jnz1568/getInfo.php?workbook=16_08.xlsx&amp;sheet=U0&amp;row=5039&amp;col=6&amp;number=4.5&amp;sourceID=14","4.5")</f>
        <v>4.5</v>
      </c>
      <c r="G5039" s="4" t="str">
        <f>HYPERLINK("http://141.218.60.56/~jnz1568/getInfo.php?workbook=16_08.xlsx&amp;sheet=U0&amp;row=5039&amp;col=7&amp;number=0.00139&amp;sourceID=14","0.00139")</f>
        <v>0.00139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HYPERLINK("http://141.218.60.56/~jnz1568/getInfo.php?workbook=16_08.xlsx&amp;sheet=U0&amp;row=5040&amp;col=6&amp;number=4.6&amp;sourceID=14","4.6")</f>
        <v>4.6</v>
      </c>
      <c r="G5040" s="4" t="str">
        <f>HYPERLINK("http://141.218.60.56/~jnz1568/getInfo.php?workbook=16_08.xlsx&amp;sheet=U0&amp;row=5040&amp;col=7&amp;number=0.00139&amp;sourceID=14","0.00139")</f>
        <v>0.00139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HYPERLINK("http://141.218.60.56/~jnz1568/getInfo.php?workbook=16_08.xlsx&amp;sheet=U0&amp;row=5041&amp;col=6&amp;number=4.7&amp;sourceID=14","4.7")</f>
        <v>4.7</v>
      </c>
      <c r="G5041" s="4" t="str">
        <f>HYPERLINK("http://141.218.60.56/~jnz1568/getInfo.php?workbook=16_08.xlsx&amp;sheet=U0&amp;row=5041&amp;col=7&amp;number=0.00138&amp;sourceID=14","0.00138")</f>
        <v>0.00138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HYPERLINK("http://141.218.60.56/~jnz1568/getInfo.php?workbook=16_08.xlsx&amp;sheet=U0&amp;row=5042&amp;col=6&amp;number=4.8&amp;sourceID=14","4.8")</f>
        <v>4.8</v>
      </c>
      <c r="G5042" s="4" t="str">
        <f>HYPERLINK("http://141.218.60.56/~jnz1568/getInfo.php?workbook=16_08.xlsx&amp;sheet=U0&amp;row=5042&amp;col=7&amp;number=0.00137&amp;sourceID=14","0.00137")</f>
        <v>0.00137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HYPERLINK("http://141.218.60.56/~jnz1568/getInfo.php?workbook=16_08.xlsx&amp;sheet=U0&amp;row=5043&amp;col=6&amp;number=4.9&amp;sourceID=14","4.9")</f>
        <v>4.9</v>
      </c>
      <c r="G5043" s="4" t="str">
        <f>HYPERLINK("http://141.218.60.56/~jnz1568/getInfo.php?workbook=16_08.xlsx&amp;sheet=U0&amp;row=5043&amp;col=7&amp;number=0.00136&amp;sourceID=14","0.00136")</f>
        <v>0.00136</v>
      </c>
    </row>
    <row r="5044" spans="1:7">
      <c r="A5044" s="3">
        <v>16</v>
      </c>
      <c r="B5044" s="3">
        <v>8</v>
      </c>
      <c r="C5044" s="3">
        <v>4</v>
      </c>
      <c r="D5044" s="3">
        <v>5</v>
      </c>
      <c r="E5044" s="3">
        <v>1</v>
      </c>
      <c r="F5044" s="4" t="str">
        <f>HYPERLINK("http://141.218.60.56/~jnz1568/getInfo.php?workbook=16_08.xlsx&amp;sheet=U0&amp;row=5044&amp;col=6&amp;number=3&amp;sourceID=14","3")</f>
        <v>3</v>
      </c>
      <c r="G5044" s="4" t="str">
        <f>HYPERLINK("http://141.218.60.56/~jnz1568/getInfo.php?workbook=16_08.xlsx&amp;sheet=U0&amp;row=5044&amp;col=7&amp;number=0.0595&amp;sourceID=14","0.0595")</f>
        <v>0.0595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HYPERLINK("http://141.218.60.56/~jnz1568/getInfo.php?workbook=16_08.xlsx&amp;sheet=U0&amp;row=5045&amp;col=6&amp;number=3.1&amp;sourceID=14","3.1")</f>
        <v>3.1</v>
      </c>
      <c r="G5045" s="4" t="str">
        <f>HYPERLINK("http://141.218.60.56/~jnz1568/getInfo.php?workbook=16_08.xlsx&amp;sheet=U0&amp;row=5045&amp;col=7&amp;number=0.0595&amp;sourceID=14","0.0595")</f>
        <v>0.0595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HYPERLINK("http://141.218.60.56/~jnz1568/getInfo.php?workbook=16_08.xlsx&amp;sheet=U0&amp;row=5046&amp;col=6&amp;number=3.2&amp;sourceID=14","3.2")</f>
        <v>3.2</v>
      </c>
      <c r="G5046" s="4" t="str">
        <f>HYPERLINK("http://141.218.60.56/~jnz1568/getInfo.php?workbook=16_08.xlsx&amp;sheet=U0&amp;row=5046&amp;col=7&amp;number=0.0595&amp;sourceID=14","0.0595")</f>
        <v>0.0595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HYPERLINK("http://141.218.60.56/~jnz1568/getInfo.php?workbook=16_08.xlsx&amp;sheet=U0&amp;row=5047&amp;col=6&amp;number=3.3&amp;sourceID=14","3.3")</f>
        <v>3.3</v>
      </c>
      <c r="G5047" s="4" t="str">
        <f>HYPERLINK("http://141.218.60.56/~jnz1568/getInfo.php?workbook=16_08.xlsx&amp;sheet=U0&amp;row=5047&amp;col=7&amp;number=0.0595&amp;sourceID=14","0.0595")</f>
        <v>0.0595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HYPERLINK("http://141.218.60.56/~jnz1568/getInfo.php?workbook=16_08.xlsx&amp;sheet=U0&amp;row=5048&amp;col=6&amp;number=3.4&amp;sourceID=14","3.4")</f>
        <v>3.4</v>
      </c>
      <c r="G5048" s="4" t="str">
        <f>HYPERLINK("http://141.218.60.56/~jnz1568/getInfo.php?workbook=16_08.xlsx&amp;sheet=U0&amp;row=5048&amp;col=7&amp;number=0.0595&amp;sourceID=14","0.0595")</f>
        <v>0.0595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HYPERLINK("http://141.218.60.56/~jnz1568/getInfo.php?workbook=16_08.xlsx&amp;sheet=U0&amp;row=5049&amp;col=6&amp;number=3.5&amp;sourceID=14","3.5")</f>
        <v>3.5</v>
      </c>
      <c r="G5049" s="4" t="str">
        <f>HYPERLINK("http://141.218.60.56/~jnz1568/getInfo.php?workbook=16_08.xlsx&amp;sheet=U0&amp;row=5049&amp;col=7&amp;number=0.0595&amp;sourceID=14","0.0595")</f>
        <v>0.0595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HYPERLINK("http://141.218.60.56/~jnz1568/getInfo.php?workbook=16_08.xlsx&amp;sheet=U0&amp;row=5050&amp;col=6&amp;number=3.6&amp;sourceID=14","3.6")</f>
        <v>3.6</v>
      </c>
      <c r="G5050" s="4" t="str">
        <f>HYPERLINK("http://141.218.60.56/~jnz1568/getInfo.php?workbook=16_08.xlsx&amp;sheet=U0&amp;row=5050&amp;col=7&amp;number=0.0595&amp;sourceID=14","0.0595")</f>
        <v>0.0595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HYPERLINK("http://141.218.60.56/~jnz1568/getInfo.php?workbook=16_08.xlsx&amp;sheet=U0&amp;row=5051&amp;col=6&amp;number=3.7&amp;sourceID=14","3.7")</f>
        <v>3.7</v>
      </c>
      <c r="G5051" s="4" t="str">
        <f>HYPERLINK("http://141.218.60.56/~jnz1568/getInfo.php?workbook=16_08.xlsx&amp;sheet=U0&amp;row=5051&amp;col=7&amp;number=0.0595&amp;sourceID=14","0.0595")</f>
        <v>0.0595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HYPERLINK("http://141.218.60.56/~jnz1568/getInfo.php?workbook=16_08.xlsx&amp;sheet=U0&amp;row=5052&amp;col=6&amp;number=3.8&amp;sourceID=14","3.8")</f>
        <v>3.8</v>
      </c>
      <c r="G5052" s="4" t="str">
        <f>HYPERLINK("http://141.218.60.56/~jnz1568/getInfo.php?workbook=16_08.xlsx&amp;sheet=U0&amp;row=5052&amp;col=7&amp;number=0.0595&amp;sourceID=14","0.0595")</f>
        <v>0.0595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HYPERLINK("http://141.218.60.56/~jnz1568/getInfo.php?workbook=16_08.xlsx&amp;sheet=U0&amp;row=5053&amp;col=6&amp;number=3.9&amp;sourceID=14","3.9")</f>
        <v>3.9</v>
      </c>
      <c r="G5053" s="4" t="str">
        <f>HYPERLINK("http://141.218.60.56/~jnz1568/getInfo.php?workbook=16_08.xlsx&amp;sheet=U0&amp;row=5053&amp;col=7&amp;number=0.0596&amp;sourceID=14","0.0596")</f>
        <v>0.0596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HYPERLINK("http://141.218.60.56/~jnz1568/getInfo.php?workbook=16_08.xlsx&amp;sheet=U0&amp;row=5054&amp;col=6&amp;number=4&amp;sourceID=14","4")</f>
        <v>4</v>
      </c>
      <c r="G5054" s="4" t="str">
        <f>HYPERLINK("http://141.218.60.56/~jnz1568/getInfo.php?workbook=16_08.xlsx&amp;sheet=U0&amp;row=5054&amp;col=7&amp;number=0.0596&amp;sourceID=14","0.0596")</f>
        <v>0.0596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HYPERLINK("http://141.218.60.56/~jnz1568/getInfo.php?workbook=16_08.xlsx&amp;sheet=U0&amp;row=5055&amp;col=6&amp;number=4.1&amp;sourceID=14","4.1")</f>
        <v>4.1</v>
      </c>
      <c r="G5055" s="4" t="str">
        <f>HYPERLINK("http://141.218.60.56/~jnz1568/getInfo.php?workbook=16_08.xlsx&amp;sheet=U0&amp;row=5055&amp;col=7&amp;number=0.0596&amp;sourceID=14","0.0596")</f>
        <v>0.0596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HYPERLINK("http://141.218.60.56/~jnz1568/getInfo.php?workbook=16_08.xlsx&amp;sheet=U0&amp;row=5056&amp;col=6&amp;number=4.2&amp;sourceID=14","4.2")</f>
        <v>4.2</v>
      </c>
      <c r="G5056" s="4" t="str">
        <f>HYPERLINK("http://141.218.60.56/~jnz1568/getInfo.php?workbook=16_08.xlsx&amp;sheet=U0&amp;row=5056&amp;col=7&amp;number=0.0596&amp;sourceID=14","0.0596")</f>
        <v>0.0596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HYPERLINK("http://141.218.60.56/~jnz1568/getInfo.php?workbook=16_08.xlsx&amp;sheet=U0&amp;row=5057&amp;col=6&amp;number=4.3&amp;sourceID=14","4.3")</f>
        <v>4.3</v>
      </c>
      <c r="G5057" s="4" t="str">
        <f>HYPERLINK("http://141.218.60.56/~jnz1568/getInfo.php?workbook=16_08.xlsx&amp;sheet=U0&amp;row=5057&amp;col=7&amp;number=0.0596&amp;sourceID=14","0.0596")</f>
        <v>0.0596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HYPERLINK("http://141.218.60.56/~jnz1568/getInfo.php?workbook=16_08.xlsx&amp;sheet=U0&amp;row=5058&amp;col=6&amp;number=4.4&amp;sourceID=14","4.4")</f>
        <v>4.4</v>
      </c>
      <c r="G5058" s="4" t="str">
        <f>HYPERLINK("http://141.218.60.56/~jnz1568/getInfo.php?workbook=16_08.xlsx&amp;sheet=U0&amp;row=5058&amp;col=7&amp;number=0.0597&amp;sourceID=14","0.0597")</f>
        <v>0.0597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HYPERLINK("http://141.218.60.56/~jnz1568/getInfo.php?workbook=16_08.xlsx&amp;sheet=U0&amp;row=5059&amp;col=6&amp;number=4.5&amp;sourceID=14","4.5")</f>
        <v>4.5</v>
      </c>
      <c r="G5059" s="4" t="str">
        <f>HYPERLINK("http://141.218.60.56/~jnz1568/getInfo.php?workbook=16_08.xlsx&amp;sheet=U0&amp;row=5059&amp;col=7&amp;number=0.0597&amp;sourceID=14","0.0597")</f>
        <v>0.0597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HYPERLINK("http://141.218.60.56/~jnz1568/getInfo.php?workbook=16_08.xlsx&amp;sheet=U0&amp;row=5060&amp;col=6&amp;number=4.6&amp;sourceID=14","4.6")</f>
        <v>4.6</v>
      </c>
      <c r="G5060" s="4" t="str">
        <f>HYPERLINK("http://141.218.60.56/~jnz1568/getInfo.php?workbook=16_08.xlsx&amp;sheet=U0&amp;row=5060&amp;col=7&amp;number=0.0597&amp;sourceID=14","0.0597")</f>
        <v>0.0597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HYPERLINK("http://141.218.60.56/~jnz1568/getInfo.php?workbook=16_08.xlsx&amp;sheet=U0&amp;row=5061&amp;col=6&amp;number=4.7&amp;sourceID=14","4.7")</f>
        <v>4.7</v>
      </c>
      <c r="G5061" s="4" t="str">
        <f>HYPERLINK("http://141.218.60.56/~jnz1568/getInfo.php?workbook=16_08.xlsx&amp;sheet=U0&amp;row=5061&amp;col=7&amp;number=0.0598&amp;sourceID=14","0.0598")</f>
        <v>0.0598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HYPERLINK("http://141.218.60.56/~jnz1568/getInfo.php?workbook=16_08.xlsx&amp;sheet=U0&amp;row=5062&amp;col=6&amp;number=4.8&amp;sourceID=14","4.8")</f>
        <v>4.8</v>
      </c>
      <c r="G5062" s="4" t="str">
        <f>HYPERLINK("http://141.218.60.56/~jnz1568/getInfo.php?workbook=16_08.xlsx&amp;sheet=U0&amp;row=5062&amp;col=7&amp;number=0.0599&amp;sourceID=14","0.0599")</f>
        <v>0.0599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HYPERLINK("http://141.218.60.56/~jnz1568/getInfo.php?workbook=16_08.xlsx&amp;sheet=U0&amp;row=5063&amp;col=6&amp;number=4.9&amp;sourceID=14","4.9")</f>
        <v>4.9</v>
      </c>
      <c r="G5063" s="4" t="str">
        <f>HYPERLINK("http://141.218.60.56/~jnz1568/getInfo.php?workbook=16_08.xlsx&amp;sheet=U0&amp;row=5063&amp;col=7&amp;number=0.06&amp;sourceID=14","0.06")</f>
        <v>0.06</v>
      </c>
    </row>
    <row r="5064" spans="1:7">
      <c r="A5064" s="3">
        <v>16</v>
      </c>
      <c r="B5064" s="3">
        <v>8</v>
      </c>
      <c r="C5064" s="3">
        <v>4</v>
      </c>
      <c r="D5064" s="3">
        <v>6</v>
      </c>
      <c r="E5064" s="3">
        <v>1</v>
      </c>
      <c r="F5064" s="4" t="str">
        <f>HYPERLINK("http://141.218.60.56/~jnz1568/getInfo.php?workbook=16_08.xlsx&amp;sheet=U0&amp;row=5064&amp;col=6&amp;number=3&amp;sourceID=14","3")</f>
        <v>3</v>
      </c>
      <c r="G5064" s="4" t="str">
        <f>HYPERLINK("http://141.218.60.56/~jnz1568/getInfo.php?workbook=16_08.xlsx&amp;sheet=U0&amp;row=5064&amp;col=7&amp;number=0.0547&amp;sourceID=14","0.0547")</f>
        <v>0.0547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HYPERLINK("http://141.218.60.56/~jnz1568/getInfo.php?workbook=16_08.xlsx&amp;sheet=U0&amp;row=5065&amp;col=6&amp;number=3.1&amp;sourceID=14","3.1")</f>
        <v>3.1</v>
      </c>
      <c r="G5065" s="4" t="str">
        <f>HYPERLINK("http://141.218.60.56/~jnz1568/getInfo.php?workbook=16_08.xlsx&amp;sheet=U0&amp;row=5065&amp;col=7&amp;number=0.0547&amp;sourceID=14","0.0547")</f>
        <v>0.0547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HYPERLINK("http://141.218.60.56/~jnz1568/getInfo.php?workbook=16_08.xlsx&amp;sheet=U0&amp;row=5066&amp;col=6&amp;number=3.2&amp;sourceID=14","3.2")</f>
        <v>3.2</v>
      </c>
      <c r="G5066" s="4" t="str">
        <f>HYPERLINK("http://141.218.60.56/~jnz1568/getInfo.php?workbook=16_08.xlsx&amp;sheet=U0&amp;row=5066&amp;col=7&amp;number=0.0547&amp;sourceID=14","0.0547")</f>
        <v>0.0547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HYPERLINK("http://141.218.60.56/~jnz1568/getInfo.php?workbook=16_08.xlsx&amp;sheet=U0&amp;row=5067&amp;col=6&amp;number=3.3&amp;sourceID=14","3.3")</f>
        <v>3.3</v>
      </c>
      <c r="G5067" s="4" t="str">
        <f>HYPERLINK("http://141.218.60.56/~jnz1568/getInfo.php?workbook=16_08.xlsx&amp;sheet=U0&amp;row=5067&amp;col=7&amp;number=0.0547&amp;sourceID=14","0.0547")</f>
        <v>0.0547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HYPERLINK("http://141.218.60.56/~jnz1568/getInfo.php?workbook=16_08.xlsx&amp;sheet=U0&amp;row=5068&amp;col=6&amp;number=3.4&amp;sourceID=14","3.4")</f>
        <v>3.4</v>
      </c>
      <c r="G5068" s="4" t="str">
        <f>HYPERLINK("http://141.218.60.56/~jnz1568/getInfo.php?workbook=16_08.xlsx&amp;sheet=U0&amp;row=5068&amp;col=7&amp;number=0.0547&amp;sourceID=14","0.0547")</f>
        <v>0.0547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HYPERLINK("http://141.218.60.56/~jnz1568/getInfo.php?workbook=16_08.xlsx&amp;sheet=U0&amp;row=5069&amp;col=6&amp;number=3.5&amp;sourceID=14","3.5")</f>
        <v>3.5</v>
      </c>
      <c r="G5069" s="4" t="str">
        <f>HYPERLINK("http://141.218.60.56/~jnz1568/getInfo.php?workbook=16_08.xlsx&amp;sheet=U0&amp;row=5069&amp;col=7&amp;number=0.0547&amp;sourceID=14","0.0547")</f>
        <v>0.0547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HYPERLINK("http://141.218.60.56/~jnz1568/getInfo.php?workbook=16_08.xlsx&amp;sheet=U0&amp;row=5070&amp;col=6&amp;number=3.6&amp;sourceID=14","3.6")</f>
        <v>3.6</v>
      </c>
      <c r="G5070" s="4" t="str">
        <f>HYPERLINK("http://141.218.60.56/~jnz1568/getInfo.php?workbook=16_08.xlsx&amp;sheet=U0&amp;row=5070&amp;col=7&amp;number=0.0547&amp;sourceID=14","0.0547")</f>
        <v>0.0547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HYPERLINK("http://141.218.60.56/~jnz1568/getInfo.php?workbook=16_08.xlsx&amp;sheet=U0&amp;row=5071&amp;col=6&amp;number=3.7&amp;sourceID=14","3.7")</f>
        <v>3.7</v>
      </c>
      <c r="G5071" s="4" t="str">
        <f>HYPERLINK("http://141.218.60.56/~jnz1568/getInfo.php?workbook=16_08.xlsx&amp;sheet=U0&amp;row=5071&amp;col=7&amp;number=0.0547&amp;sourceID=14","0.0547")</f>
        <v>0.0547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HYPERLINK("http://141.218.60.56/~jnz1568/getInfo.php?workbook=16_08.xlsx&amp;sheet=U0&amp;row=5072&amp;col=6&amp;number=3.8&amp;sourceID=14","3.8")</f>
        <v>3.8</v>
      </c>
      <c r="G5072" s="4" t="str">
        <f>HYPERLINK("http://141.218.60.56/~jnz1568/getInfo.php?workbook=16_08.xlsx&amp;sheet=U0&amp;row=5072&amp;col=7&amp;number=0.0547&amp;sourceID=14","0.0547")</f>
        <v>0.0547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HYPERLINK("http://141.218.60.56/~jnz1568/getInfo.php?workbook=16_08.xlsx&amp;sheet=U0&amp;row=5073&amp;col=6&amp;number=3.9&amp;sourceID=14","3.9")</f>
        <v>3.9</v>
      </c>
      <c r="G5073" s="4" t="str">
        <f>HYPERLINK("http://141.218.60.56/~jnz1568/getInfo.php?workbook=16_08.xlsx&amp;sheet=U0&amp;row=5073&amp;col=7&amp;number=0.0547&amp;sourceID=14","0.0547")</f>
        <v>0.0547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HYPERLINK("http://141.218.60.56/~jnz1568/getInfo.php?workbook=16_08.xlsx&amp;sheet=U0&amp;row=5074&amp;col=6&amp;number=4&amp;sourceID=14","4")</f>
        <v>4</v>
      </c>
      <c r="G5074" s="4" t="str">
        <f>HYPERLINK("http://141.218.60.56/~jnz1568/getInfo.php?workbook=16_08.xlsx&amp;sheet=U0&amp;row=5074&amp;col=7&amp;number=0.0547&amp;sourceID=14","0.0547")</f>
        <v>0.0547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HYPERLINK("http://141.218.60.56/~jnz1568/getInfo.php?workbook=16_08.xlsx&amp;sheet=U0&amp;row=5075&amp;col=6&amp;number=4.1&amp;sourceID=14","4.1")</f>
        <v>4.1</v>
      </c>
      <c r="G5075" s="4" t="str">
        <f>HYPERLINK("http://141.218.60.56/~jnz1568/getInfo.php?workbook=16_08.xlsx&amp;sheet=U0&amp;row=5075&amp;col=7&amp;number=0.0547&amp;sourceID=14","0.0547")</f>
        <v>0.0547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HYPERLINK("http://141.218.60.56/~jnz1568/getInfo.php?workbook=16_08.xlsx&amp;sheet=U0&amp;row=5076&amp;col=6&amp;number=4.2&amp;sourceID=14","4.2")</f>
        <v>4.2</v>
      </c>
      <c r="G5076" s="4" t="str">
        <f>HYPERLINK("http://141.218.60.56/~jnz1568/getInfo.php?workbook=16_08.xlsx&amp;sheet=U0&amp;row=5076&amp;col=7&amp;number=0.0547&amp;sourceID=14","0.0547")</f>
        <v>0.0547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HYPERLINK("http://141.218.60.56/~jnz1568/getInfo.php?workbook=16_08.xlsx&amp;sheet=U0&amp;row=5077&amp;col=6&amp;number=4.3&amp;sourceID=14","4.3")</f>
        <v>4.3</v>
      </c>
      <c r="G5077" s="4" t="str">
        <f>HYPERLINK("http://141.218.60.56/~jnz1568/getInfo.php?workbook=16_08.xlsx&amp;sheet=U0&amp;row=5077&amp;col=7&amp;number=0.0546&amp;sourceID=14","0.0546")</f>
        <v>0.0546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HYPERLINK("http://141.218.60.56/~jnz1568/getInfo.php?workbook=16_08.xlsx&amp;sheet=U0&amp;row=5078&amp;col=6&amp;number=4.4&amp;sourceID=14","4.4")</f>
        <v>4.4</v>
      </c>
      <c r="G5078" s="4" t="str">
        <f>HYPERLINK("http://141.218.60.56/~jnz1568/getInfo.php?workbook=16_08.xlsx&amp;sheet=U0&amp;row=5078&amp;col=7&amp;number=0.0546&amp;sourceID=14","0.0546")</f>
        <v>0.0546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HYPERLINK("http://141.218.60.56/~jnz1568/getInfo.php?workbook=16_08.xlsx&amp;sheet=U0&amp;row=5079&amp;col=6&amp;number=4.5&amp;sourceID=14","4.5")</f>
        <v>4.5</v>
      </c>
      <c r="G5079" s="4" t="str">
        <f>HYPERLINK("http://141.218.60.56/~jnz1568/getInfo.php?workbook=16_08.xlsx&amp;sheet=U0&amp;row=5079&amp;col=7&amp;number=0.0546&amp;sourceID=14","0.0546")</f>
        <v>0.0546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HYPERLINK("http://141.218.60.56/~jnz1568/getInfo.php?workbook=16_08.xlsx&amp;sheet=U0&amp;row=5080&amp;col=6&amp;number=4.6&amp;sourceID=14","4.6")</f>
        <v>4.6</v>
      </c>
      <c r="G5080" s="4" t="str">
        <f>HYPERLINK("http://141.218.60.56/~jnz1568/getInfo.php?workbook=16_08.xlsx&amp;sheet=U0&amp;row=5080&amp;col=7&amp;number=0.0545&amp;sourceID=14","0.0545")</f>
        <v>0.0545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HYPERLINK("http://141.218.60.56/~jnz1568/getInfo.php?workbook=16_08.xlsx&amp;sheet=U0&amp;row=5081&amp;col=6&amp;number=4.7&amp;sourceID=14","4.7")</f>
        <v>4.7</v>
      </c>
      <c r="G5081" s="4" t="str">
        <f>HYPERLINK("http://141.218.60.56/~jnz1568/getInfo.php?workbook=16_08.xlsx&amp;sheet=U0&amp;row=5081&amp;col=7&amp;number=0.0545&amp;sourceID=14","0.0545")</f>
        <v>0.0545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HYPERLINK("http://141.218.60.56/~jnz1568/getInfo.php?workbook=16_08.xlsx&amp;sheet=U0&amp;row=5082&amp;col=6&amp;number=4.8&amp;sourceID=14","4.8")</f>
        <v>4.8</v>
      </c>
      <c r="G5082" s="4" t="str">
        <f>HYPERLINK("http://141.218.60.56/~jnz1568/getInfo.php?workbook=16_08.xlsx&amp;sheet=U0&amp;row=5082&amp;col=7&amp;number=0.0544&amp;sourceID=14","0.0544")</f>
        <v>0.0544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HYPERLINK("http://141.218.60.56/~jnz1568/getInfo.php?workbook=16_08.xlsx&amp;sheet=U0&amp;row=5083&amp;col=6&amp;number=4.9&amp;sourceID=14","4.9")</f>
        <v>4.9</v>
      </c>
      <c r="G5083" s="4" t="str">
        <f>HYPERLINK("http://141.218.60.56/~jnz1568/getInfo.php?workbook=16_08.xlsx&amp;sheet=U0&amp;row=5083&amp;col=7&amp;number=0.0543&amp;sourceID=14","0.0543")</f>
        <v>0.0543</v>
      </c>
    </row>
    <row r="5084" spans="1:7">
      <c r="A5084" s="3">
        <v>16</v>
      </c>
      <c r="B5084" s="3">
        <v>8</v>
      </c>
      <c r="C5084" s="3">
        <v>4</v>
      </c>
      <c r="D5084" s="3">
        <v>7</v>
      </c>
      <c r="E5084" s="3">
        <v>1</v>
      </c>
      <c r="F5084" s="4" t="str">
        <f>HYPERLINK("http://141.218.60.56/~jnz1568/getInfo.php?workbook=16_08.xlsx&amp;sheet=U0&amp;row=5084&amp;col=6&amp;number=3&amp;sourceID=14","3")</f>
        <v>3</v>
      </c>
      <c r="G5084" s="4" t="str">
        <f>HYPERLINK("http://141.218.60.56/~jnz1568/getInfo.php?workbook=16_08.xlsx&amp;sheet=U0&amp;row=5084&amp;col=7&amp;number=0.0112&amp;sourceID=14","0.0112")</f>
        <v>0.0112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HYPERLINK("http://141.218.60.56/~jnz1568/getInfo.php?workbook=16_08.xlsx&amp;sheet=U0&amp;row=5085&amp;col=6&amp;number=3.1&amp;sourceID=14","3.1")</f>
        <v>3.1</v>
      </c>
      <c r="G5085" s="4" t="str">
        <f>HYPERLINK("http://141.218.60.56/~jnz1568/getInfo.php?workbook=16_08.xlsx&amp;sheet=U0&amp;row=5085&amp;col=7&amp;number=0.0112&amp;sourceID=14","0.0112")</f>
        <v>0.0112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HYPERLINK("http://141.218.60.56/~jnz1568/getInfo.php?workbook=16_08.xlsx&amp;sheet=U0&amp;row=5086&amp;col=6&amp;number=3.2&amp;sourceID=14","3.2")</f>
        <v>3.2</v>
      </c>
      <c r="G5086" s="4" t="str">
        <f>HYPERLINK("http://141.218.60.56/~jnz1568/getInfo.php?workbook=16_08.xlsx&amp;sheet=U0&amp;row=5086&amp;col=7&amp;number=0.0112&amp;sourceID=14","0.0112")</f>
        <v>0.0112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HYPERLINK("http://141.218.60.56/~jnz1568/getInfo.php?workbook=16_08.xlsx&amp;sheet=U0&amp;row=5087&amp;col=6&amp;number=3.3&amp;sourceID=14","3.3")</f>
        <v>3.3</v>
      </c>
      <c r="G5087" s="4" t="str">
        <f>HYPERLINK("http://141.218.60.56/~jnz1568/getInfo.php?workbook=16_08.xlsx&amp;sheet=U0&amp;row=5087&amp;col=7&amp;number=0.0113&amp;sourceID=14","0.0113")</f>
        <v>0.0113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HYPERLINK("http://141.218.60.56/~jnz1568/getInfo.php?workbook=16_08.xlsx&amp;sheet=U0&amp;row=5088&amp;col=6&amp;number=3.4&amp;sourceID=14","3.4")</f>
        <v>3.4</v>
      </c>
      <c r="G5088" s="4" t="str">
        <f>HYPERLINK("http://141.218.60.56/~jnz1568/getInfo.php?workbook=16_08.xlsx&amp;sheet=U0&amp;row=5088&amp;col=7&amp;number=0.0113&amp;sourceID=14","0.0113")</f>
        <v>0.0113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HYPERLINK("http://141.218.60.56/~jnz1568/getInfo.php?workbook=16_08.xlsx&amp;sheet=U0&amp;row=5089&amp;col=6&amp;number=3.5&amp;sourceID=14","3.5")</f>
        <v>3.5</v>
      </c>
      <c r="G5089" s="4" t="str">
        <f>HYPERLINK("http://141.218.60.56/~jnz1568/getInfo.php?workbook=16_08.xlsx&amp;sheet=U0&amp;row=5089&amp;col=7&amp;number=0.0113&amp;sourceID=14","0.0113")</f>
        <v>0.0113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HYPERLINK("http://141.218.60.56/~jnz1568/getInfo.php?workbook=16_08.xlsx&amp;sheet=U0&amp;row=5090&amp;col=6&amp;number=3.6&amp;sourceID=14","3.6")</f>
        <v>3.6</v>
      </c>
      <c r="G5090" s="4" t="str">
        <f>HYPERLINK("http://141.218.60.56/~jnz1568/getInfo.php?workbook=16_08.xlsx&amp;sheet=U0&amp;row=5090&amp;col=7&amp;number=0.0114&amp;sourceID=14","0.0114")</f>
        <v>0.0114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HYPERLINK("http://141.218.60.56/~jnz1568/getInfo.php?workbook=16_08.xlsx&amp;sheet=U0&amp;row=5091&amp;col=6&amp;number=3.7&amp;sourceID=14","3.7")</f>
        <v>3.7</v>
      </c>
      <c r="G5091" s="4" t="str">
        <f>HYPERLINK("http://141.218.60.56/~jnz1568/getInfo.php?workbook=16_08.xlsx&amp;sheet=U0&amp;row=5091&amp;col=7&amp;number=0.0115&amp;sourceID=14","0.0115")</f>
        <v>0.0115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HYPERLINK("http://141.218.60.56/~jnz1568/getInfo.php?workbook=16_08.xlsx&amp;sheet=U0&amp;row=5092&amp;col=6&amp;number=3.8&amp;sourceID=14","3.8")</f>
        <v>3.8</v>
      </c>
      <c r="G5092" s="4" t="str">
        <f>HYPERLINK("http://141.218.60.56/~jnz1568/getInfo.php?workbook=16_08.xlsx&amp;sheet=U0&amp;row=5092&amp;col=7&amp;number=0.0116&amp;sourceID=14","0.0116")</f>
        <v>0.0116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HYPERLINK("http://141.218.60.56/~jnz1568/getInfo.php?workbook=16_08.xlsx&amp;sheet=U0&amp;row=5093&amp;col=6&amp;number=3.9&amp;sourceID=14","3.9")</f>
        <v>3.9</v>
      </c>
      <c r="G5093" s="4" t="str">
        <f>HYPERLINK("http://141.218.60.56/~jnz1568/getInfo.php?workbook=16_08.xlsx&amp;sheet=U0&amp;row=5093&amp;col=7&amp;number=0.0117&amp;sourceID=14","0.0117")</f>
        <v>0.0117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HYPERLINK("http://141.218.60.56/~jnz1568/getInfo.php?workbook=16_08.xlsx&amp;sheet=U0&amp;row=5094&amp;col=6&amp;number=4&amp;sourceID=14","4")</f>
        <v>4</v>
      </c>
      <c r="G5094" s="4" t="str">
        <f>HYPERLINK("http://141.218.60.56/~jnz1568/getInfo.php?workbook=16_08.xlsx&amp;sheet=U0&amp;row=5094&amp;col=7&amp;number=0.0118&amp;sourceID=14","0.0118")</f>
        <v>0.0118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HYPERLINK("http://141.218.60.56/~jnz1568/getInfo.php?workbook=16_08.xlsx&amp;sheet=U0&amp;row=5095&amp;col=6&amp;number=4.1&amp;sourceID=14","4.1")</f>
        <v>4.1</v>
      </c>
      <c r="G5095" s="4" t="str">
        <f>HYPERLINK("http://141.218.60.56/~jnz1568/getInfo.php?workbook=16_08.xlsx&amp;sheet=U0&amp;row=5095&amp;col=7&amp;number=0.012&amp;sourceID=14","0.012")</f>
        <v>0.012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HYPERLINK("http://141.218.60.56/~jnz1568/getInfo.php?workbook=16_08.xlsx&amp;sheet=U0&amp;row=5096&amp;col=6&amp;number=4.2&amp;sourceID=14","4.2")</f>
        <v>4.2</v>
      </c>
      <c r="G5096" s="4" t="str">
        <f>HYPERLINK("http://141.218.60.56/~jnz1568/getInfo.php?workbook=16_08.xlsx&amp;sheet=U0&amp;row=5096&amp;col=7&amp;number=0.0122&amp;sourceID=14","0.0122")</f>
        <v>0.0122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HYPERLINK("http://141.218.60.56/~jnz1568/getInfo.php?workbook=16_08.xlsx&amp;sheet=U0&amp;row=5097&amp;col=6&amp;number=4.3&amp;sourceID=14","4.3")</f>
        <v>4.3</v>
      </c>
      <c r="G5097" s="4" t="str">
        <f>HYPERLINK("http://141.218.60.56/~jnz1568/getInfo.php?workbook=16_08.xlsx&amp;sheet=U0&amp;row=5097&amp;col=7&amp;number=0.0125&amp;sourceID=14","0.0125")</f>
        <v>0.0125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HYPERLINK("http://141.218.60.56/~jnz1568/getInfo.php?workbook=16_08.xlsx&amp;sheet=U0&amp;row=5098&amp;col=6&amp;number=4.4&amp;sourceID=14","4.4")</f>
        <v>4.4</v>
      </c>
      <c r="G5098" s="4" t="str">
        <f>HYPERLINK("http://141.218.60.56/~jnz1568/getInfo.php?workbook=16_08.xlsx&amp;sheet=U0&amp;row=5098&amp;col=7&amp;number=0.0128&amp;sourceID=14","0.0128")</f>
        <v>0.0128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HYPERLINK("http://141.218.60.56/~jnz1568/getInfo.php?workbook=16_08.xlsx&amp;sheet=U0&amp;row=5099&amp;col=6&amp;number=4.5&amp;sourceID=14","4.5")</f>
        <v>4.5</v>
      </c>
      <c r="G5099" s="4" t="str">
        <f>HYPERLINK("http://141.218.60.56/~jnz1568/getInfo.php?workbook=16_08.xlsx&amp;sheet=U0&amp;row=5099&amp;col=7&amp;number=0.0132&amp;sourceID=14","0.0132")</f>
        <v>0.0132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HYPERLINK("http://141.218.60.56/~jnz1568/getInfo.php?workbook=16_08.xlsx&amp;sheet=U0&amp;row=5100&amp;col=6&amp;number=4.6&amp;sourceID=14","4.6")</f>
        <v>4.6</v>
      </c>
      <c r="G5100" s="4" t="str">
        <f>HYPERLINK("http://141.218.60.56/~jnz1568/getInfo.php?workbook=16_08.xlsx&amp;sheet=U0&amp;row=5100&amp;col=7&amp;number=0.0137&amp;sourceID=14","0.0137")</f>
        <v>0.0137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HYPERLINK("http://141.218.60.56/~jnz1568/getInfo.php?workbook=16_08.xlsx&amp;sheet=U0&amp;row=5101&amp;col=6&amp;number=4.7&amp;sourceID=14","4.7")</f>
        <v>4.7</v>
      </c>
      <c r="G5101" s="4" t="str">
        <f>HYPERLINK("http://141.218.60.56/~jnz1568/getInfo.php?workbook=16_08.xlsx&amp;sheet=U0&amp;row=5101&amp;col=7&amp;number=0.0143&amp;sourceID=14","0.0143")</f>
        <v>0.0143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HYPERLINK("http://141.218.60.56/~jnz1568/getInfo.php?workbook=16_08.xlsx&amp;sheet=U0&amp;row=5102&amp;col=6&amp;number=4.8&amp;sourceID=14","4.8")</f>
        <v>4.8</v>
      </c>
      <c r="G5102" s="4" t="str">
        <f>HYPERLINK("http://141.218.60.56/~jnz1568/getInfo.php?workbook=16_08.xlsx&amp;sheet=U0&amp;row=5102&amp;col=7&amp;number=0.0151&amp;sourceID=14","0.0151")</f>
        <v>0.0151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HYPERLINK("http://141.218.60.56/~jnz1568/getInfo.php?workbook=16_08.xlsx&amp;sheet=U0&amp;row=5103&amp;col=6&amp;number=4.9&amp;sourceID=14","4.9")</f>
        <v>4.9</v>
      </c>
      <c r="G5103" s="4" t="str">
        <f>HYPERLINK("http://141.218.60.56/~jnz1568/getInfo.php?workbook=16_08.xlsx&amp;sheet=U0&amp;row=5103&amp;col=7&amp;number=0.016&amp;sourceID=14","0.016")</f>
        <v>0.016</v>
      </c>
    </row>
    <row r="5104" spans="1:7">
      <c r="A5104" s="3">
        <v>16</v>
      </c>
      <c r="B5104" s="3">
        <v>8</v>
      </c>
      <c r="C5104" s="3">
        <v>4</v>
      </c>
      <c r="D5104" s="3">
        <v>8</v>
      </c>
      <c r="E5104" s="3">
        <v>1</v>
      </c>
      <c r="F5104" s="4" t="str">
        <f>HYPERLINK("http://141.218.60.56/~jnz1568/getInfo.php?workbook=16_08.xlsx&amp;sheet=U0&amp;row=5104&amp;col=6&amp;number=3&amp;sourceID=14","3")</f>
        <v>3</v>
      </c>
      <c r="G5104" s="4" t="str">
        <f>HYPERLINK("http://141.218.60.56/~jnz1568/getInfo.php?workbook=16_08.xlsx&amp;sheet=U0&amp;row=5104&amp;col=7&amp;number=0.0107&amp;sourceID=14","0.0107")</f>
        <v>0.0107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HYPERLINK("http://141.218.60.56/~jnz1568/getInfo.php?workbook=16_08.xlsx&amp;sheet=U0&amp;row=5105&amp;col=6&amp;number=3.1&amp;sourceID=14","3.1")</f>
        <v>3.1</v>
      </c>
      <c r="G5105" s="4" t="str">
        <f>HYPERLINK("http://141.218.60.56/~jnz1568/getInfo.php?workbook=16_08.xlsx&amp;sheet=U0&amp;row=5105&amp;col=7&amp;number=0.0107&amp;sourceID=14","0.0107")</f>
        <v>0.0107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HYPERLINK("http://141.218.60.56/~jnz1568/getInfo.php?workbook=16_08.xlsx&amp;sheet=U0&amp;row=5106&amp;col=6&amp;number=3.2&amp;sourceID=14","3.2")</f>
        <v>3.2</v>
      </c>
      <c r="G5106" s="4" t="str">
        <f>HYPERLINK("http://141.218.60.56/~jnz1568/getInfo.php?workbook=16_08.xlsx&amp;sheet=U0&amp;row=5106&amp;col=7&amp;number=0.0107&amp;sourceID=14","0.0107")</f>
        <v>0.0107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HYPERLINK("http://141.218.60.56/~jnz1568/getInfo.php?workbook=16_08.xlsx&amp;sheet=U0&amp;row=5107&amp;col=6&amp;number=3.3&amp;sourceID=14","3.3")</f>
        <v>3.3</v>
      </c>
      <c r="G5107" s="4" t="str">
        <f>HYPERLINK("http://141.218.60.56/~jnz1568/getInfo.php?workbook=16_08.xlsx&amp;sheet=U0&amp;row=5107&amp;col=7&amp;number=0.0107&amp;sourceID=14","0.0107")</f>
        <v>0.0107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HYPERLINK("http://141.218.60.56/~jnz1568/getInfo.php?workbook=16_08.xlsx&amp;sheet=U0&amp;row=5108&amp;col=6&amp;number=3.4&amp;sourceID=14","3.4")</f>
        <v>3.4</v>
      </c>
      <c r="G5108" s="4" t="str">
        <f>HYPERLINK("http://141.218.60.56/~jnz1568/getInfo.php?workbook=16_08.xlsx&amp;sheet=U0&amp;row=5108&amp;col=7&amp;number=0.0107&amp;sourceID=14","0.0107")</f>
        <v>0.0107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HYPERLINK("http://141.218.60.56/~jnz1568/getInfo.php?workbook=16_08.xlsx&amp;sheet=U0&amp;row=5109&amp;col=6&amp;number=3.5&amp;sourceID=14","3.5")</f>
        <v>3.5</v>
      </c>
      <c r="G5109" s="4" t="str">
        <f>HYPERLINK("http://141.218.60.56/~jnz1568/getInfo.php?workbook=16_08.xlsx&amp;sheet=U0&amp;row=5109&amp;col=7&amp;number=0.0107&amp;sourceID=14","0.0107")</f>
        <v>0.0107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HYPERLINK("http://141.218.60.56/~jnz1568/getInfo.php?workbook=16_08.xlsx&amp;sheet=U0&amp;row=5110&amp;col=6&amp;number=3.6&amp;sourceID=14","3.6")</f>
        <v>3.6</v>
      </c>
      <c r="G5110" s="4" t="str">
        <f>HYPERLINK("http://141.218.60.56/~jnz1568/getInfo.php?workbook=16_08.xlsx&amp;sheet=U0&amp;row=5110&amp;col=7&amp;number=0.0107&amp;sourceID=14","0.0107")</f>
        <v>0.0107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HYPERLINK("http://141.218.60.56/~jnz1568/getInfo.php?workbook=16_08.xlsx&amp;sheet=U0&amp;row=5111&amp;col=6&amp;number=3.7&amp;sourceID=14","3.7")</f>
        <v>3.7</v>
      </c>
      <c r="G5111" s="4" t="str">
        <f>HYPERLINK("http://141.218.60.56/~jnz1568/getInfo.php?workbook=16_08.xlsx&amp;sheet=U0&amp;row=5111&amp;col=7&amp;number=0.0107&amp;sourceID=14","0.0107")</f>
        <v>0.0107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HYPERLINK("http://141.218.60.56/~jnz1568/getInfo.php?workbook=16_08.xlsx&amp;sheet=U0&amp;row=5112&amp;col=6&amp;number=3.8&amp;sourceID=14","3.8")</f>
        <v>3.8</v>
      </c>
      <c r="G5112" s="4" t="str">
        <f>HYPERLINK("http://141.218.60.56/~jnz1568/getInfo.php?workbook=16_08.xlsx&amp;sheet=U0&amp;row=5112&amp;col=7&amp;number=0.0107&amp;sourceID=14","0.0107")</f>
        <v>0.0107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HYPERLINK("http://141.218.60.56/~jnz1568/getInfo.php?workbook=16_08.xlsx&amp;sheet=U0&amp;row=5113&amp;col=6&amp;number=3.9&amp;sourceID=14","3.9")</f>
        <v>3.9</v>
      </c>
      <c r="G5113" s="4" t="str">
        <f>HYPERLINK("http://141.218.60.56/~jnz1568/getInfo.php?workbook=16_08.xlsx&amp;sheet=U0&amp;row=5113&amp;col=7&amp;number=0.0107&amp;sourceID=14","0.0107")</f>
        <v>0.0107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HYPERLINK("http://141.218.60.56/~jnz1568/getInfo.php?workbook=16_08.xlsx&amp;sheet=U0&amp;row=5114&amp;col=6&amp;number=4&amp;sourceID=14","4")</f>
        <v>4</v>
      </c>
      <c r="G5114" s="4" t="str">
        <f>HYPERLINK("http://141.218.60.56/~jnz1568/getInfo.php?workbook=16_08.xlsx&amp;sheet=U0&amp;row=5114&amp;col=7&amp;number=0.0107&amp;sourceID=14","0.0107")</f>
        <v>0.0107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HYPERLINK("http://141.218.60.56/~jnz1568/getInfo.php?workbook=16_08.xlsx&amp;sheet=U0&amp;row=5115&amp;col=6&amp;number=4.1&amp;sourceID=14","4.1")</f>
        <v>4.1</v>
      </c>
      <c r="G5115" s="4" t="str">
        <f>HYPERLINK("http://141.218.60.56/~jnz1568/getInfo.php?workbook=16_08.xlsx&amp;sheet=U0&amp;row=5115&amp;col=7&amp;number=0.0107&amp;sourceID=14","0.0107")</f>
        <v>0.0107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HYPERLINK("http://141.218.60.56/~jnz1568/getInfo.php?workbook=16_08.xlsx&amp;sheet=U0&amp;row=5116&amp;col=6&amp;number=4.2&amp;sourceID=14","4.2")</f>
        <v>4.2</v>
      </c>
      <c r="G5116" s="4" t="str">
        <f>HYPERLINK("http://141.218.60.56/~jnz1568/getInfo.php?workbook=16_08.xlsx&amp;sheet=U0&amp;row=5116&amp;col=7&amp;number=0.0107&amp;sourceID=14","0.0107")</f>
        <v>0.0107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HYPERLINK("http://141.218.60.56/~jnz1568/getInfo.php?workbook=16_08.xlsx&amp;sheet=U0&amp;row=5117&amp;col=6&amp;number=4.3&amp;sourceID=14","4.3")</f>
        <v>4.3</v>
      </c>
      <c r="G5117" s="4" t="str">
        <f>HYPERLINK("http://141.218.60.56/~jnz1568/getInfo.php?workbook=16_08.xlsx&amp;sheet=U0&amp;row=5117&amp;col=7&amp;number=0.0107&amp;sourceID=14","0.0107")</f>
        <v>0.0107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HYPERLINK("http://141.218.60.56/~jnz1568/getInfo.php?workbook=16_08.xlsx&amp;sheet=U0&amp;row=5118&amp;col=6&amp;number=4.4&amp;sourceID=14","4.4")</f>
        <v>4.4</v>
      </c>
      <c r="G5118" s="4" t="str">
        <f>HYPERLINK("http://141.218.60.56/~jnz1568/getInfo.php?workbook=16_08.xlsx&amp;sheet=U0&amp;row=5118&amp;col=7&amp;number=0.0107&amp;sourceID=14","0.0107")</f>
        <v>0.0107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HYPERLINK("http://141.218.60.56/~jnz1568/getInfo.php?workbook=16_08.xlsx&amp;sheet=U0&amp;row=5119&amp;col=6&amp;number=4.5&amp;sourceID=14","4.5")</f>
        <v>4.5</v>
      </c>
      <c r="G5119" s="4" t="str">
        <f>HYPERLINK("http://141.218.60.56/~jnz1568/getInfo.php?workbook=16_08.xlsx&amp;sheet=U0&amp;row=5119&amp;col=7&amp;number=0.0107&amp;sourceID=14","0.0107")</f>
        <v>0.0107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HYPERLINK("http://141.218.60.56/~jnz1568/getInfo.php?workbook=16_08.xlsx&amp;sheet=U0&amp;row=5120&amp;col=6&amp;number=4.6&amp;sourceID=14","4.6")</f>
        <v>4.6</v>
      </c>
      <c r="G5120" s="4" t="str">
        <f>HYPERLINK("http://141.218.60.56/~jnz1568/getInfo.php?workbook=16_08.xlsx&amp;sheet=U0&amp;row=5120&amp;col=7&amp;number=0.0107&amp;sourceID=14","0.0107")</f>
        <v>0.0107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HYPERLINK("http://141.218.60.56/~jnz1568/getInfo.php?workbook=16_08.xlsx&amp;sheet=U0&amp;row=5121&amp;col=6&amp;number=4.7&amp;sourceID=14","4.7")</f>
        <v>4.7</v>
      </c>
      <c r="G5121" s="4" t="str">
        <f>HYPERLINK("http://141.218.60.56/~jnz1568/getInfo.php?workbook=16_08.xlsx&amp;sheet=U0&amp;row=5121&amp;col=7&amp;number=0.0107&amp;sourceID=14","0.0107")</f>
        <v>0.0107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HYPERLINK("http://141.218.60.56/~jnz1568/getInfo.php?workbook=16_08.xlsx&amp;sheet=U0&amp;row=5122&amp;col=6&amp;number=4.8&amp;sourceID=14","4.8")</f>
        <v>4.8</v>
      </c>
      <c r="G5122" s="4" t="str">
        <f>HYPERLINK("http://141.218.60.56/~jnz1568/getInfo.php?workbook=16_08.xlsx&amp;sheet=U0&amp;row=5122&amp;col=7&amp;number=0.0106&amp;sourceID=14","0.0106")</f>
        <v>0.0106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HYPERLINK("http://141.218.60.56/~jnz1568/getInfo.php?workbook=16_08.xlsx&amp;sheet=U0&amp;row=5123&amp;col=6&amp;number=4.9&amp;sourceID=14","4.9")</f>
        <v>4.9</v>
      </c>
      <c r="G5123" s="4" t="str">
        <f>HYPERLINK("http://141.218.60.56/~jnz1568/getInfo.php?workbook=16_08.xlsx&amp;sheet=U0&amp;row=5123&amp;col=7&amp;number=0.0106&amp;sourceID=14","0.0106")</f>
        <v>0.0106</v>
      </c>
    </row>
    <row r="5124" spans="1:7">
      <c r="A5124" s="3">
        <v>16</v>
      </c>
      <c r="B5124" s="3">
        <v>8</v>
      </c>
      <c r="C5124" s="3">
        <v>4</v>
      </c>
      <c r="D5124" s="3">
        <v>9</v>
      </c>
      <c r="E5124" s="3">
        <v>1</v>
      </c>
      <c r="F5124" s="4" t="str">
        <f>HYPERLINK("http://141.218.60.56/~jnz1568/getInfo.php?workbook=16_08.xlsx&amp;sheet=U0&amp;row=5124&amp;col=6&amp;number=3&amp;sourceID=14","3")</f>
        <v>3</v>
      </c>
      <c r="G5124" s="4" t="str">
        <f>HYPERLINK("http://141.218.60.56/~jnz1568/getInfo.php?workbook=16_08.xlsx&amp;sheet=U0&amp;row=5124&amp;col=7&amp;number=1.4&amp;sourceID=14","1.4")</f>
        <v>1.4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HYPERLINK("http://141.218.60.56/~jnz1568/getInfo.php?workbook=16_08.xlsx&amp;sheet=U0&amp;row=5125&amp;col=6&amp;number=3.1&amp;sourceID=14","3.1")</f>
        <v>3.1</v>
      </c>
      <c r="G5125" s="4" t="str">
        <f>HYPERLINK("http://141.218.60.56/~jnz1568/getInfo.php?workbook=16_08.xlsx&amp;sheet=U0&amp;row=5125&amp;col=7&amp;number=1.4&amp;sourceID=14","1.4")</f>
        <v>1.4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HYPERLINK("http://141.218.60.56/~jnz1568/getInfo.php?workbook=16_08.xlsx&amp;sheet=U0&amp;row=5126&amp;col=6&amp;number=3.2&amp;sourceID=14","3.2")</f>
        <v>3.2</v>
      </c>
      <c r="G5126" s="4" t="str">
        <f>HYPERLINK("http://141.218.60.56/~jnz1568/getInfo.php?workbook=16_08.xlsx&amp;sheet=U0&amp;row=5126&amp;col=7&amp;number=1.4&amp;sourceID=14","1.4")</f>
        <v>1.4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HYPERLINK("http://141.218.60.56/~jnz1568/getInfo.php?workbook=16_08.xlsx&amp;sheet=U0&amp;row=5127&amp;col=6&amp;number=3.3&amp;sourceID=14","3.3")</f>
        <v>3.3</v>
      </c>
      <c r="G5127" s="4" t="str">
        <f>HYPERLINK("http://141.218.60.56/~jnz1568/getInfo.php?workbook=16_08.xlsx&amp;sheet=U0&amp;row=5127&amp;col=7&amp;number=1.4&amp;sourceID=14","1.4")</f>
        <v>1.4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HYPERLINK("http://141.218.60.56/~jnz1568/getInfo.php?workbook=16_08.xlsx&amp;sheet=U0&amp;row=5128&amp;col=6&amp;number=3.4&amp;sourceID=14","3.4")</f>
        <v>3.4</v>
      </c>
      <c r="G5128" s="4" t="str">
        <f>HYPERLINK("http://141.218.60.56/~jnz1568/getInfo.php?workbook=16_08.xlsx&amp;sheet=U0&amp;row=5128&amp;col=7&amp;number=1.4&amp;sourceID=14","1.4")</f>
        <v>1.4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HYPERLINK("http://141.218.60.56/~jnz1568/getInfo.php?workbook=16_08.xlsx&amp;sheet=U0&amp;row=5129&amp;col=6&amp;number=3.5&amp;sourceID=14","3.5")</f>
        <v>3.5</v>
      </c>
      <c r="G5129" s="4" t="str">
        <f>HYPERLINK("http://141.218.60.56/~jnz1568/getInfo.php?workbook=16_08.xlsx&amp;sheet=U0&amp;row=5129&amp;col=7&amp;number=1.4&amp;sourceID=14","1.4")</f>
        <v>1.4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HYPERLINK("http://141.218.60.56/~jnz1568/getInfo.php?workbook=16_08.xlsx&amp;sheet=U0&amp;row=5130&amp;col=6&amp;number=3.6&amp;sourceID=14","3.6")</f>
        <v>3.6</v>
      </c>
      <c r="G5130" s="4" t="str">
        <f>HYPERLINK("http://141.218.60.56/~jnz1568/getInfo.php?workbook=16_08.xlsx&amp;sheet=U0&amp;row=5130&amp;col=7&amp;number=1.4&amp;sourceID=14","1.4")</f>
        <v>1.4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HYPERLINK("http://141.218.60.56/~jnz1568/getInfo.php?workbook=16_08.xlsx&amp;sheet=U0&amp;row=5131&amp;col=6&amp;number=3.7&amp;sourceID=14","3.7")</f>
        <v>3.7</v>
      </c>
      <c r="G5131" s="4" t="str">
        <f>HYPERLINK("http://141.218.60.56/~jnz1568/getInfo.php?workbook=16_08.xlsx&amp;sheet=U0&amp;row=5131&amp;col=7&amp;number=1.4&amp;sourceID=14","1.4")</f>
        <v>1.4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HYPERLINK("http://141.218.60.56/~jnz1568/getInfo.php?workbook=16_08.xlsx&amp;sheet=U0&amp;row=5132&amp;col=6&amp;number=3.8&amp;sourceID=14","3.8")</f>
        <v>3.8</v>
      </c>
      <c r="G5132" s="4" t="str">
        <f>HYPERLINK("http://141.218.60.56/~jnz1568/getInfo.php?workbook=16_08.xlsx&amp;sheet=U0&amp;row=5132&amp;col=7&amp;number=1.4&amp;sourceID=14","1.4")</f>
        <v>1.4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HYPERLINK("http://141.218.60.56/~jnz1568/getInfo.php?workbook=16_08.xlsx&amp;sheet=U0&amp;row=5133&amp;col=6&amp;number=3.9&amp;sourceID=14","3.9")</f>
        <v>3.9</v>
      </c>
      <c r="G5133" s="4" t="str">
        <f>HYPERLINK("http://141.218.60.56/~jnz1568/getInfo.php?workbook=16_08.xlsx&amp;sheet=U0&amp;row=5133&amp;col=7&amp;number=1.4&amp;sourceID=14","1.4")</f>
        <v>1.4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HYPERLINK("http://141.218.60.56/~jnz1568/getInfo.php?workbook=16_08.xlsx&amp;sheet=U0&amp;row=5134&amp;col=6&amp;number=4&amp;sourceID=14","4")</f>
        <v>4</v>
      </c>
      <c r="G5134" s="4" t="str">
        <f>HYPERLINK("http://141.218.60.56/~jnz1568/getInfo.php?workbook=16_08.xlsx&amp;sheet=U0&amp;row=5134&amp;col=7&amp;number=1.4&amp;sourceID=14","1.4")</f>
        <v>1.4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HYPERLINK("http://141.218.60.56/~jnz1568/getInfo.php?workbook=16_08.xlsx&amp;sheet=U0&amp;row=5135&amp;col=6&amp;number=4.1&amp;sourceID=14","4.1")</f>
        <v>4.1</v>
      </c>
      <c r="G5135" s="4" t="str">
        <f>HYPERLINK("http://141.218.60.56/~jnz1568/getInfo.php?workbook=16_08.xlsx&amp;sheet=U0&amp;row=5135&amp;col=7&amp;number=1.4&amp;sourceID=14","1.4")</f>
        <v>1.4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HYPERLINK("http://141.218.60.56/~jnz1568/getInfo.php?workbook=16_08.xlsx&amp;sheet=U0&amp;row=5136&amp;col=6&amp;number=4.2&amp;sourceID=14","4.2")</f>
        <v>4.2</v>
      </c>
      <c r="G5136" s="4" t="str">
        <f>HYPERLINK("http://141.218.60.56/~jnz1568/getInfo.php?workbook=16_08.xlsx&amp;sheet=U0&amp;row=5136&amp;col=7&amp;number=1.4&amp;sourceID=14","1.4")</f>
        <v>1.4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HYPERLINK("http://141.218.60.56/~jnz1568/getInfo.php?workbook=16_08.xlsx&amp;sheet=U0&amp;row=5137&amp;col=6&amp;number=4.3&amp;sourceID=14","4.3")</f>
        <v>4.3</v>
      </c>
      <c r="G5137" s="4" t="str">
        <f>HYPERLINK("http://141.218.60.56/~jnz1568/getInfo.php?workbook=16_08.xlsx&amp;sheet=U0&amp;row=5137&amp;col=7&amp;number=1.4&amp;sourceID=14","1.4")</f>
        <v>1.4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HYPERLINK("http://141.218.60.56/~jnz1568/getInfo.php?workbook=16_08.xlsx&amp;sheet=U0&amp;row=5138&amp;col=6&amp;number=4.4&amp;sourceID=14","4.4")</f>
        <v>4.4</v>
      </c>
      <c r="G5138" s="4" t="str">
        <f>HYPERLINK("http://141.218.60.56/~jnz1568/getInfo.php?workbook=16_08.xlsx&amp;sheet=U0&amp;row=5138&amp;col=7&amp;number=1.41&amp;sourceID=14","1.41")</f>
        <v>1.41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HYPERLINK("http://141.218.60.56/~jnz1568/getInfo.php?workbook=16_08.xlsx&amp;sheet=U0&amp;row=5139&amp;col=6&amp;number=4.5&amp;sourceID=14","4.5")</f>
        <v>4.5</v>
      </c>
      <c r="G5139" s="4" t="str">
        <f>HYPERLINK("http://141.218.60.56/~jnz1568/getInfo.php?workbook=16_08.xlsx&amp;sheet=U0&amp;row=5139&amp;col=7&amp;number=1.41&amp;sourceID=14","1.41")</f>
        <v>1.41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HYPERLINK("http://141.218.60.56/~jnz1568/getInfo.php?workbook=16_08.xlsx&amp;sheet=U0&amp;row=5140&amp;col=6&amp;number=4.6&amp;sourceID=14","4.6")</f>
        <v>4.6</v>
      </c>
      <c r="G5140" s="4" t="str">
        <f>HYPERLINK("http://141.218.60.56/~jnz1568/getInfo.php?workbook=16_08.xlsx&amp;sheet=U0&amp;row=5140&amp;col=7&amp;number=1.41&amp;sourceID=14","1.41")</f>
        <v>1.41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HYPERLINK("http://141.218.60.56/~jnz1568/getInfo.php?workbook=16_08.xlsx&amp;sheet=U0&amp;row=5141&amp;col=6&amp;number=4.7&amp;sourceID=14","4.7")</f>
        <v>4.7</v>
      </c>
      <c r="G5141" s="4" t="str">
        <f>HYPERLINK("http://141.218.60.56/~jnz1568/getInfo.php?workbook=16_08.xlsx&amp;sheet=U0&amp;row=5141&amp;col=7&amp;number=1.42&amp;sourceID=14","1.42")</f>
        <v>1.42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HYPERLINK("http://141.218.60.56/~jnz1568/getInfo.php?workbook=16_08.xlsx&amp;sheet=U0&amp;row=5142&amp;col=6&amp;number=4.8&amp;sourceID=14","4.8")</f>
        <v>4.8</v>
      </c>
      <c r="G5142" s="4" t="str">
        <f>HYPERLINK("http://141.218.60.56/~jnz1568/getInfo.php?workbook=16_08.xlsx&amp;sheet=U0&amp;row=5142&amp;col=7&amp;number=1.42&amp;sourceID=14","1.42")</f>
        <v>1.42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HYPERLINK("http://141.218.60.56/~jnz1568/getInfo.php?workbook=16_08.xlsx&amp;sheet=U0&amp;row=5143&amp;col=6&amp;number=4.9&amp;sourceID=14","4.9")</f>
        <v>4.9</v>
      </c>
      <c r="G5143" s="4" t="str">
        <f>HYPERLINK("http://141.218.60.56/~jnz1568/getInfo.php?workbook=16_08.xlsx&amp;sheet=U0&amp;row=5143&amp;col=7&amp;number=1.43&amp;sourceID=14","1.43")</f>
        <v>1.43</v>
      </c>
    </row>
    <row r="5144" spans="1:7">
      <c r="A5144" s="3">
        <v>16</v>
      </c>
      <c r="B5144" s="3">
        <v>8</v>
      </c>
      <c r="C5144" s="3">
        <v>4</v>
      </c>
      <c r="D5144" s="3">
        <v>10</v>
      </c>
      <c r="E5144" s="3">
        <v>1</v>
      </c>
      <c r="F5144" s="4" t="str">
        <f>HYPERLINK("http://141.218.60.56/~jnz1568/getInfo.php?workbook=16_08.xlsx&amp;sheet=U0&amp;row=5144&amp;col=6&amp;number=3&amp;sourceID=14","3")</f>
        <v>3</v>
      </c>
      <c r="G5144" s="4" t="str">
        <f>HYPERLINK("http://141.218.60.56/~jnz1568/getInfo.php?workbook=16_08.xlsx&amp;sheet=U0&amp;row=5144&amp;col=7&amp;number=0.00686&amp;sourceID=14","0.00686")</f>
        <v>0.00686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HYPERLINK("http://141.218.60.56/~jnz1568/getInfo.php?workbook=16_08.xlsx&amp;sheet=U0&amp;row=5145&amp;col=6&amp;number=3.1&amp;sourceID=14","3.1")</f>
        <v>3.1</v>
      </c>
      <c r="G5145" s="4" t="str">
        <f>HYPERLINK("http://141.218.60.56/~jnz1568/getInfo.php?workbook=16_08.xlsx&amp;sheet=U0&amp;row=5145&amp;col=7&amp;number=0.00686&amp;sourceID=14","0.00686")</f>
        <v>0.00686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HYPERLINK("http://141.218.60.56/~jnz1568/getInfo.php?workbook=16_08.xlsx&amp;sheet=U0&amp;row=5146&amp;col=6&amp;number=3.2&amp;sourceID=14","3.2")</f>
        <v>3.2</v>
      </c>
      <c r="G5146" s="4" t="str">
        <f>HYPERLINK("http://141.218.60.56/~jnz1568/getInfo.php?workbook=16_08.xlsx&amp;sheet=U0&amp;row=5146&amp;col=7&amp;number=0.00686&amp;sourceID=14","0.00686")</f>
        <v>0.00686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HYPERLINK("http://141.218.60.56/~jnz1568/getInfo.php?workbook=16_08.xlsx&amp;sheet=U0&amp;row=5147&amp;col=6&amp;number=3.3&amp;sourceID=14","3.3")</f>
        <v>3.3</v>
      </c>
      <c r="G5147" s="4" t="str">
        <f>HYPERLINK("http://141.218.60.56/~jnz1568/getInfo.php?workbook=16_08.xlsx&amp;sheet=U0&amp;row=5147&amp;col=7&amp;number=0.00686&amp;sourceID=14","0.00686")</f>
        <v>0.00686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HYPERLINK("http://141.218.60.56/~jnz1568/getInfo.php?workbook=16_08.xlsx&amp;sheet=U0&amp;row=5148&amp;col=6&amp;number=3.4&amp;sourceID=14","3.4")</f>
        <v>3.4</v>
      </c>
      <c r="G5148" s="4" t="str">
        <f>HYPERLINK("http://141.218.60.56/~jnz1568/getInfo.php?workbook=16_08.xlsx&amp;sheet=U0&amp;row=5148&amp;col=7&amp;number=0.00686&amp;sourceID=14","0.00686")</f>
        <v>0.00686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HYPERLINK("http://141.218.60.56/~jnz1568/getInfo.php?workbook=16_08.xlsx&amp;sheet=U0&amp;row=5149&amp;col=6&amp;number=3.5&amp;sourceID=14","3.5")</f>
        <v>3.5</v>
      </c>
      <c r="G5149" s="4" t="str">
        <f>HYPERLINK("http://141.218.60.56/~jnz1568/getInfo.php?workbook=16_08.xlsx&amp;sheet=U0&amp;row=5149&amp;col=7&amp;number=0.00686&amp;sourceID=14","0.00686")</f>
        <v>0.00686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HYPERLINK("http://141.218.60.56/~jnz1568/getInfo.php?workbook=16_08.xlsx&amp;sheet=U0&amp;row=5150&amp;col=6&amp;number=3.6&amp;sourceID=14","3.6")</f>
        <v>3.6</v>
      </c>
      <c r="G5150" s="4" t="str">
        <f>HYPERLINK("http://141.218.60.56/~jnz1568/getInfo.php?workbook=16_08.xlsx&amp;sheet=U0&amp;row=5150&amp;col=7&amp;number=0.00686&amp;sourceID=14","0.00686")</f>
        <v>0.00686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HYPERLINK("http://141.218.60.56/~jnz1568/getInfo.php?workbook=16_08.xlsx&amp;sheet=U0&amp;row=5151&amp;col=6&amp;number=3.7&amp;sourceID=14","3.7")</f>
        <v>3.7</v>
      </c>
      <c r="G5151" s="4" t="str">
        <f>HYPERLINK("http://141.218.60.56/~jnz1568/getInfo.php?workbook=16_08.xlsx&amp;sheet=U0&amp;row=5151&amp;col=7&amp;number=0.00686&amp;sourceID=14","0.00686")</f>
        <v>0.00686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HYPERLINK("http://141.218.60.56/~jnz1568/getInfo.php?workbook=16_08.xlsx&amp;sheet=U0&amp;row=5152&amp;col=6&amp;number=3.8&amp;sourceID=14","3.8")</f>
        <v>3.8</v>
      </c>
      <c r="G5152" s="4" t="str">
        <f>HYPERLINK("http://141.218.60.56/~jnz1568/getInfo.php?workbook=16_08.xlsx&amp;sheet=U0&amp;row=5152&amp;col=7&amp;number=0.00686&amp;sourceID=14","0.00686")</f>
        <v>0.00686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HYPERLINK("http://141.218.60.56/~jnz1568/getInfo.php?workbook=16_08.xlsx&amp;sheet=U0&amp;row=5153&amp;col=6&amp;number=3.9&amp;sourceID=14","3.9")</f>
        <v>3.9</v>
      </c>
      <c r="G5153" s="4" t="str">
        <f>HYPERLINK("http://141.218.60.56/~jnz1568/getInfo.php?workbook=16_08.xlsx&amp;sheet=U0&amp;row=5153&amp;col=7&amp;number=0.00686&amp;sourceID=14","0.00686")</f>
        <v>0.00686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HYPERLINK("http://141.218.60.56/~jnz1568/getInfo.php?workbook=16_08.xlsx&amp;sheet=U0&amp;row=5154&amp;col=6&amp;number=4&amp;sourceID=14","4")</f>
        <v>4</v>
      </c>
      <c r="G5154" s="4" t="str">
        <f>HYPERLINK("http://141.218.60.56/~jnz1568/getInfo.php?workbook=16_08.xlsx&amp;sheet=U0&amp;row=5154&amp;col=7&amp;number=0.00686&amp;sourceID=14","0.00686")</f>
        <v>0.00686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HYPERLINK("http://141.218.60.56/~jnz1568/getInfo.php?workbook=16_08.xlsx&amp;sheet=U0&amp;row=5155&amp;col=6&amp;number=4.1&amp;sourceID=14","4.1")</f>
        <v>4.1</v>
      </c>
      <c r="G5155" s="4" t="str">
        <f>HYPERLINK("http://141.218.60.56/~jnz1568/getInfo.php?workbook=16_08.xlsx&amp;sheet=U0&amp;row=5155&amp;col=7&amp;number=0.00686&amp;sourceID=14","0.00686")</f>
        <v>0.00686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HYPERLINK("http://141.218.60.56/~jnz1568/getInfo.php?workbook=16_08.xlsx&amp;sheet=U0&amp;row=5156&amp;col=6&amp;number=4.2&amp;sourceID=14","4.2")</f>
        <v>4.2</v>
      </c>
      <c r="G5156" s="4" t="str">
        <f>HYPERLINK("http://141.218.60.56/~jnz1568/getInfo.php?workbook=16_08.xlsx&amp;sheet=U0&amp;row=5156&amp;col=7&amp;number=0.00686&amp;sourceID=14","0.00686")</f>
        <v>0.00686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HYPERLINK("http://141.218.60.56/~jnz1568/getInfo.php?workbook=16_08.xlsx&amp;sheet=U0&amp;row=5157&amp;col=6&amp;number=4.3&amp;sourceID=14","4.3")</f>
        <v>4.3</v>
      </c>
      <c r="G5157" s="4" t="str">
        <f>HYPERLINK("http://141.218.60.56/~jnz1568/getInfo.php?workbook=16_08.xlsx&amp;sheet=U0&amp;row=5157&amp;col=7&amp;number=0.00686&amp;sourceID=14","0.00686")</f>
        <v>0.00686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HYPERLINK("http://141.218.60.56/~jnz1568/getInfo.php?workbook=16_08.xlsx&amp;sheet=U0&amp;row=5158&amp;col=6&amp;number=4.4&amp;sourceID=14","4.4")</f>
        <v>4.4</v>
      </c>
      <c r="G5158" s="4" t="str">
        <f>HYPERLINK("http://141.218.60.56/~jnz1568/getInfo.php?workbook=16_08.xlsx&amp;sheet=U0&amp;row=5158&amp;col=7&amp;number=0.00685&amp;sourceID=14","0.00685")</f>
        <v>0.00685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HYPERLINK("http://141.218.60.56/~jnz1568/getInfo.php?workbook=16_08.xlsx&amp;sheet=U0&amp;row=5159&amp;col=6&amp;number=4.5&amp;sourceID=14","4.5")</f>
        <v>4.5</v>
      </c>
      <c r="G5159" s="4" t="str">
        <f>HYPERLINK("http://141.218.60.56/~jnz1568/getInfo.php?workbook=16_08.xlsx&amp;sheet=U0&amp;row=5159&amp;col=7&amp;number=0.00685&amp;sourceID=14","0.00685")</f>
        <v>0.00685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HYPERLINK("http://141.218.60.56/~jnz1568/getInfo.php?workbook=16_08.xlsx&amp;sheet=U0&amp;row=5160&amp;col=6&amp;number=4.6&amp;sourceID=14","4.6")</f>
        <v>4.6</v>
      </c>
      <c r="G5160" s="4" t="str">
        <f>HYPERLINK("http://141.218.60.56/~jnz1568/getInfo.php?workbook=16_08.xlsx&amp;sheet=U0&amp;row=5160&amp;col=7&amp;number=0.00685&amp;sourceID=14","0.00685")</f>
        <v>0.00685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HYPERLINK("http://141.218.60.56/~jnz1568/getInfo.php?workbook=16_08.xlsx&amp;sheet=U0&amp;row=5161&amp;col=6&amp;number=4.7&amp;sourceID=14","4.7")</f>
        <v>4.7</v>
      </c>
      <c r="G5161" s="4" t="str">
        <f>HYPERLINK("http://141.218.60.56/~jnz1568/getInfo.php?workbook=16_08.xlsx&amp;sheet=U0&amp;row=5161&amp;col=7&amp;number=0.00684&amp;sourceID=14","0.00684")</f>
        <v>0.00684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HYPERLINK("http://141.218.60.56/~jnz1568/getInfo.php?workbook=16_08.xlsx&amp;sheet=U0&amp;row=5162&amp;col=6&amp;number=4.8&amp;sourceID=14","4.8")</f>
        <v>4.8</v>
      </c>
      <c r="G5162" s="4" t="str">
        <f>HYPERLINK("http://141.218.60.56/~jnz1568/getInfo.php?workbook=16_08.xlsx&amp;sheet=U0&amp;row=5162&amp;col=7&amp;number=0.00684&amp;sourceID=14","0.00684")</f>
        <v>0.00684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HYPERLINK("http://141.218.60.56/~jnz1568/getInfo.php?workbook=16_08.xlsx&amp;sheet=U0&amp;row=5163&amp;col=6&amp;number=4.9&amp;sourceID=14","4.9")</f>
        <v>4.9</v>
      </c>
      <c r="G5163" s="4" t="str">
        <f>HYPERLINK("http://141.218.60.56/~jnz1568/getInfo.php?workbook=16_08.xlsx&amp;sheet=U0&amp;row=5163&amp;col=7&amp;number=0.00683&amp;sourceID=14","0.00683")</f>
        <v>0.00683</v>
      </c>
    </row>
    <row r="5164" spans="1:7">
      <c r="A5164" s="3">
        <v>16</v>
      </c>
      <c r="B5164" s="3">
        <v>8</v>
      </c>
      <c r="C5164" s="3">
        <v>4</v>
      </c>
      <c r="D5164" s="3">
        <v>11</v>
      </c>
      <c r="E5164" s="3">
        <v>1</v>
      </c>
      <c r="F5164" s="4" t="str">
        <f>HYPERLINK("http://141.218.60.56/~jnz1568/getInfo.php?workbook=16_08.xlsx&amp;sheet=U0&amp;row=5164&amp;col=6&amp;number=3&amp;sourceID=14","3")</f>
        <v>3</v>
      </c>
      <c r="G5164" s="4" t="str">
        <f>HYPERLINK("http://141.218.60.56/~jnz1568/getInfo.php?workbook=16_08.xlsx&amp;sheet=U0&amp;row=5164&amp;col=7&amp;number=2.6e-05&amp;sourceID=14","2.6e-05")</f>
        <v>2.6e-05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HYPERLINK("http://141.218.60.56/~jnz1568/getInfo.php?workbook=16_08.xlsx&amp;sheet=U0&amp;row=5165&amp;col=6&amp;number=3.1&amp;sourceID=14","3.1")</f>
        <v>3.1</v>
      </c>
      <c r="G5165" s="4" t="str">
        <f>HYPERLINK("http://141.218.60.56/~jnz1568/getInfo.php?workbook=16_08.xlsx&amp;sheet=U0&amp;row=5165&amp;col=7&amp;number=2.6e-05&amp;sourceID=14","2.6e-05")</f>
        <v>2.6e-05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HYPERLINK("http://141.218.60.56/~jnz1568/getInfo.php?workbook=16_08.xlsx&amp;sheet=U0&amp;row=5166&amp;col=6&amp;number=3.2&amp;sourceID=14","3.2")</f>
        <v>3.2</v>
      </c>
      <c r="G5166" s="4" t="str">
        <f>HYPERLINK("http://141.218.60.56/~jnz1568/getInfo.php?workbook=16_08.xlsx&amp;sheet=U0&amp;row=5166&amp;col=7&amp;number=2.6e-05&amp;sourceID=14","2.6e-05")</f>
        <v>2.6e-05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HYPERLINK("http://141.218.60.56/~jnz1568/getInfo.php?workbook=16_08.xlsx&amp;sheet=U0&amp;row=5167&amp;col=6&amp;number=3.3&amp;sourceID=14","3.3")</f>
        <v>3.3</v>
      </c>
      <c r="G5167" s="4" t="str">
        <f>HYPERLINK("http://141.218.60.56/~jnz1568/getInfo.php?workbook=16_08.xlsx&amp;sheet=U0&amp;row=5167&amp;col=7&amp;number=2.6e-05&amp;sourceID=14","2.6e-05")</f>
        <v>2.6e-05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HYPERLINK("http://141.218.60.56/~jnz1568/getInfo.php?workbook=16_08.xlsx&amp;sheet=U0&amp;row=5168&amp;col=6&amp;number=3.4&amp;sourceID=14","3.4")</f>
        <v>3.4</v>
      </c>
      <c r="G5168" s="4" t="str">
        <f>HYPERLINK("http://141.218.60.56/~jnz1568/getInfo.php?workbook=16_08.xlsx&amp;sheet=U0&amp;row=5168&amp;col=7&amp;number=2.6e-05&amp;sourceID=14","2.6e-05")</f>
        <v>2.6e-05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HYPERLINK("http://141.218.60.56/~jnz1568/getInfo.php?workbook=16_08.xlsx&amp;sheet=U0&amp;row=5169&amp;col=6&amp;number=3.5&amp;sourceID=14","3.5")</f>
        <v>3.5</v>
      </c>
      <c r="G5169" s="4" t="str">
        <f>HYPERLINK("http://141.218.60.56/~jnz1568/getInfo.php?workbook=16_08.xlsx&amp;sheet=U0&amp;row=5169&amp;col=7&amp;number=2.6e-05&amp;sourceID=14","2.6e-05")</f>
        <v>2.6e-05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HYPERLINK("http://141.218.60.56/~jnz1568/getInfo.php?workbook=16_08.xlsx&amp;sheet=U0&amp;row=5170&amp;col=6&amp;number=3.6&amp;sourceID=14","3.6")</f>
        <v>3.6</v>
      </c>
      <c r="G5170" s="4" t="str">
        <f>HYPERLINK("http://141.218.60.56/~jnz1568/getInfo.php?workbook=16_08.xlsx&amp;sheet=U0&amp;row=5170&amp;col=7&amp;number=2.6e-05&amp;sourceID=14","2.6e-05")</f>
        <v>2.6e-05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HYPERLINK("http://141.218.60.56/~jnz1568/getInfo.php?workbook=16_08.xlsx&amp;sheet=U0&amp;row=5171&amp;col=6&amp;number=3.7&amp;sourceID=14","3.7")</f>
        <v>3.7</v>
      </c>
      <c r="G5171" s="4" t="str">
        <f>HYPERLINK("http://141.218.60.56/~jnz1568/getInfo.php?workbook=16_08.xlsx&amp;sheet=U0&amp;row=5171&amp;col=7&amp;number=2.6e-05&amp;sourceID=14","2.6e-05")</f>
        <v>2.6e-05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HYPERLINK("http://141.218.60.56/~jnz1568/getInfo.php?workbook=16_08.xlsx&amp;sheet=U0&amp;row=5172&amp;col=6&amp;number=3.8&amp;sourceID=14","3.8")</f>
        <v>3.8</v>
      </c>
      <c r="G5172" s="4" t="str">
        <f>HYPERLINK("http://141.218.60.56/~jnz1568/getInfo.php?workbook=16_08.xlsx&amp;sheet=U0&amp;row=5172&amp;col=7&amp;number=2.6e-05&amp;sourceID=14","2.6e-05")</f>
        <v>2.6e-05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HYPERLINK("http://141.218.60.56/~jnz1568/getInfo.php?workbook=16_08.xlsx&amp;sheet=U0&amp;row=5173&amp;col=6&amp;number=3.9&amp;sourceID=14","3.9")</f>
        <v>3.9</v>
      </c>
      <c r="G5173" s="4" t="str">
        <f>HYPERLINK("http://141.218.60.56/~jnz1568/getInfo.php?workbook=16_08.xlsx&amp;sheet=U0&amp;row=5173&amp;col=7&amp;number=2.59e-05&amp;sourceID=14","2.59e-05")</f>
        <v>2.59e-05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HYPERLINK("http://141.218.60.56/~jnz1568/getInfo.php?workbook=16_08.xlsx&amp;sheet=U0&amp;row=5174&amp;col=6&amp;number=4&amp;sourceID=14","4")</f>
        <v>4</v>
      </c>
      <c r="G5174" s="4" t="str">
        <f>HYPERLINK("http://141.218.60.56/~jnz1568/getInfo.php?workbook=16_08.xlsx&amp;sheet=U0&amp;row=5174&amp;col=7&amp;number=2.59e-05&amp;sourceID=14","2.59e-05")</f>
        <v>2.59e-05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HYPERLINK("http://141.218.60.56/~jnz1568/getInfo.php?workbook=16_08.xlsx&amp;sheet=U0&amp;row=5175&amp;col=6&amp;number=4.1&amp;sourceID=14","4.1")</f>
        <v>4.1</v>
      </c>
      <c r="G5175" s="4" t="str">
        <f>HYPERLINK("http://141.218.60.56/~jnz1568/getInfo.php?workbook=16_08.xlsx&amp;sheet=U0&amp;row=5175&amp;col=7&amp;number=2.59e-05&amp;sourceID=14","2.59e-05")</f>
        <v>2.59e-05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HYPERLINK("http://141.218.60.56/~jnz1568/getInfo.php?workbook=16_08.xlsx&amp;sheet=U0&amp;row=5176&amp;col=6&amp;number=4.2&amp;sourceID=14","4.2")</f>
        <v>4.2</v>
      </c>
      <c r="G5176" s="4" t="str">
        <f>HYPERLINK("http://141.218.60.56/~jnz1568/getInfo.php?workbook=16_08.xlsx&amp;sheet=U0&amp;row=5176&amp;col=7&amp;number=2.59e-05&amp;sourceID=14","2.59e-05")</f>
        <v>2.59e-05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HYPERLINK("http://141.218.60.56/~jnz1568/getInfo.php?workbook=16_08.xlsx&amp;sheet=U0&amp;row=5177&amp;col=6&amp;number=4.3&amp;sourceID=14","4.3")</f>
        <v>4.3</v>
      </c>
      <c r="G5177" s="4" t="str">
        <f>HYPERLINK("http://141.218.60.56/~jnz1568/getInfo.php?workbook=16_08.xlsx&amp;sheet=U0&amp;row=5177&amp;col=7&amp;number=2.59e-05&amp;sourceID=14","2.59e-05")</f>
        <v>2.59e-05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HYPERLINK("http://141.218.60.56/~jnz1568/getInfo.php?workbook=16_08.xlsx&amp;sheet=U0&amp;row=5178&amp;col=6&amp;number=4.4&amp;sourceID=14","4.4")</f>
        <v>4.4</v>
      </c>
      <c r="G5178" s="4" t="str">
        <f>HYPERLINK("http://141.218.60.56/~jnz1568/getInfo.php?workbook=16_08.xlsx&amp;sheet=U0&amp;row=5178&amp;col=7&amp;number=2.59e-05&amp;sourceID=14","2.59e-05")</f>
        <v>2.59e-05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HYPERLINK("http://141.218.60.56/~jnz1568/getInfo.php?workbook=16_08.xlsx&amp;sheet=U0&amp;row=5179&amp;col=6&amp;number=4.5&amp;sourceID=14","4.5")</f>
        <v>4.5</v>
      </c>
      <c r="G5179" s="4" t="str">
        <f>HYPERLINK("http://141.218.60.56/~jnz1568/getInfo.php?workbook=16_08.xlsx&amp;sheet=U0&amp;row=5179&amp;col=7&amp;number=2.58e-05&amp;sourceID=14","2.58e-05")</f>
        <v>2.58e-05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HYPERLINK("http://141.218.60.56/~jnz1568/getInfo.php?workbook=16_08.xlsx&amp;sheet=U0&amp;row=5180&amp;col=6&amp;number=4.6&amp;sourceID=14","4.6")</f>
        <v>4.6</v>
      </c>
      <c r="G5180" s="4" t="str">
        <f>HYPERLINK("http://141.218.60.56/~jnz1568/getInfo.php?workbook=16_08.xlsx&amp;sheet=U0&amp;row=5180&amp;col=7&amp;number=2.58e-05&amp;sourceID=14","2.58e-05")</f>
        <v>2.58e-05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HYPERLINK("http://141.218.60.56/~jnz1568/getInfo.php?workbook=16_08.xlsx&amp;sheet=U0&amp;row=5181&amp;col=6&amp;number=4.7&amp;sourceID=14","4.7")</f>
        <v>4.7</v>
      </c>
      <c r="G5181" s="4" t="str">
        <f>HYPERLINK("http://141.218.60.56/~jnz1568/getInfo.php?workbook=16_08.xlsx&amp;sheet=U0&amp;row=5181&amp;col=7&amp;number=2.57e-05&amp;sourceID=14","2.57e-05")</f>
        <v>2.57e-05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HYPERLINK("http://141.218.60.56/~jnz1568/getInfo.php?workbook=16_08.xlsx&amp;sheet=U0&amp;row=5182&amp;col=6&amp;number=4.8&amp;sourceID=14","4.8")</f>
        <v>4.8</v>
      </c>
      <c r="G5182" s="4" t="str">
        <f>HYPERLINK("http://141.218.60.56/~jnz1568/getInfo.php?workbook=16_08.xlsx&amp;sheet=U0&amp;row=5182&amp;col=7&amp;number=2.57e-05&amp;sourceID=14","2.57e-05")</f>
        <v>2.57e-05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HYPERLINK("http://141.218.60.56/~jnz1568/getInfo.php?workbook=16_08.xlsx&amp;sheet=U0&amp;row=5183&amp;col=6&amp;number=4.9&amp;sourceID=14","4.9")</f>
        <v>4.9</v>
      </c>
      <c r="G5183" s="4" t="str">
        <f>HYPERLINK("http://141.218.60.56/~jnz1568/getInfo.php?workbook=16_08.xlsx&amp;sheet=U0&amp;row=5183&amp;col=7&amp;number=2.56e-05&amp;sourceID=14","2.56e-05")</f>
        <v>2.56e-05</v>
      </c>
    </row>
    <row r="5184" spans="1:7">
      <c r="A5184" s="3">
        <v>16</v>
      </c>
      <c r="B5184" s="3">
        <v>8</v>
      </c>
      <c r="C5184" s="3">
        <v>4</v>
      </c>
      <c r="D5184" s="3">
        <v>12</v>
      </c>
      <c r="E5184" s="3">
        <v>1</v>
      </c>
      <c r="F5184" s="4" t="str">
        <f>HYPERLINK("http://141.218.60.56/~jnz1568/getInfo.php?workbook=16_08.xlsx&amp;sheet=U0&amp;row=5184&amp;col=6&amp;number=3&amp;sourceID=14","3")</f>
        <v>3</v>
      </c>
      <c r="G5184" s="4" t="str">
        <f>HYPERLINK("http://141.218.60.56/~jnz1568/getInfo.php?workbook=16_08.xlsx&amp;sheet=U0&amp;row=5184&amp;col=7&amp;number=4.27e-05&amp;sourceID=14","4.27e-05")</f>
        <v>4.27e-05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HYPERLINK("http://141.218.60.56/~jnz1568/getInfo.php?workbook=16_08.xlsx&amp;sheet=U0&amp;row=5185&amp;col=6&amp;number=3.1&amp;sourceID=14","3.1")</f>
        <v>3.1</v>
      </c>
      <c r="G5185" s="4" t="str">
        <f>HYPERLINK("http://141.218.60.56/~jnz1568/getInfo.php?workbook=16_08.xlsx&amp;sheet=U0&amp;row=5185&amp;col=7&amp;number=4.27e-05&amp;sourceID=14","4.27e-05")</f>
        <v>4.27e-05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HYPERLINK("http://141.218.60.56/~jnz1568/getInfo.php?workbook=16_08.xlsx&amp;sheet=U0&amp;row=5186&amp;col=6&amp;number=3.2&amp;sourceID=14","3.2")</f>
        <v>3.2</v>
      </c>
      <c r="G5186" s="4" t="str">
        <f>HYPERLINK("http://141.218.60.56/~jnz1568/getInfo.php?workbook=16_08.xlsx&amp;sheet=U0&amp;row=5186&amp;col=7&amp;number=4.27e-05&amp;sourceID=14","4.27e-05")</f>
        <v>4.27e-05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HYPERLINK("http://141.218.60.56/~jnz1568/getInfo.php?workbook=16_08.xlsx&amp;sheet=U0&amp;row=5187&amp;col=6&amp;number=3.3&amp;sourceID=14","3.3")</f>
        <v>3.3</v>
      </c>
      <c r="G5187" s="4" t="str">
        <f>HYPERLINK("http://141.218.60.56/~jnz1568/getInfo.php?workbook=16_08.xlsx&amp;sheet=U0&amp;row=5187&amp;col=7&amp;number=4.27e-05&amp;sourceID=14","4.27e-05")</f>
        <v>4.27e-05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HYPERLINK("http://141.218.60.56/~jnz1568/getInfo.php?workbook=16_08.xlsx&amp;sheet=U0&amp;row=5188&amp;col=6&amp;number=3.4&amp;sourceID=14","3.4")</f>
        <v>3.4</v>
      </c>
      <c r="G5188" s="4" t="str">
        <f>HYPERLINK("http://141.218.60.56/~jnz1568/getInfo.php?workbook=16_08.xlsx&amp;sheet=U0&amp;row=5188&amp;col=7&amp;number=4.27e-05&amp;sourceID=14","4.27e-05")</f>
        <v>4.27e-05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HYPERLINK("http://141.218.60.56/~jnz1568/getInfo.php?workbook=16_08.xlsx&amp;sheet=U0&amp;row=5189&amp;col=6&amp;number=3.5&amp;sourceID=14","3.5")</f>
        <v>3.5</v>
      </c>
      <c r="G5189" s="4" t="str">
        <f>HYPERLINK("http://141.218.60.56/~jnz1568/getInfo.php?workbook=16_08.xlsx&amp;sheet=U0&amp;row=5189&amp;col=7&amp;number=4.28e-05&amp;sourceID=14","4.28e-05")</f>
        <v>4.28e-05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HYPERLINK("http://141.218.60.56/~jnz1568/getInfo.php?workbook=16_08.xlsx&amp;sheet=U0&amp;row=5190&amp;col=6&amp;number=3.6&amp;sourceID=14","3.6")</f>
        <v>3.6</v>
      </c>
      <c r="G5190" s="4" t="str">
        <f>HYPERLINK("http://141.218.60.56/~jnz1568/getInfo.php?workbook=16_08.xlsx&amp;sheet=U0&amp;row=5190&amp;col=7&amp;number=4.28e-05&amp;sourceID=14","4.28e-05")</f>
        <v>4.28e-05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HYPERLINK("http://141.218.60.56/~jnz1568/getInfo.php?workbook=16_08.xlsx&amp;sheet=U0&amp;row=5191&amp;col=6&amp;number=3.7&amp;sourceID=14","3.7")</f>
        <v>3.7</v>
      </c>
      <c r="G5191" s="4" t="str">
        <f>HYPERLINK("http://141.218.60.56/~jnz1568/getInfo.php?workbook=16_08.xlsx&amp;sheet=U0&amp;row=5191&amp;col=7&amp;number=4.28e-05&amp;sourceID=14","4.28e-05")</f>
        <v>4.28e-05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HYPERLINK("http://141.218.60.56/~jnz1568/getInfo.php?workbook=16_08.xlsx&amp;sheet=U0&amp;row=5192&amp;col=6&amp;number=3.8&amp;sourceID=14","3.8")</f>
        <v>3.8</v>
      </c>
      <c r="G5192" s="4" t="str">
        <f>HYPERLINK("http://141.218.60.56/~jnz1568/getInfo.php?workbook=16_08.xlsx&amp;sheet=U0&amp;row=5192&amp;col=7&amp;number=4.28e-05&amp;sourceID=14","4.28e-05")</f>
        <v>4.28e-05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HYPERLINK("http://141.218.60.56/~jnz1568/getInfo.php?workbook=16_08.xlsx&amp;sheet=U0&amp;row=5193&amp;col=6&amp;number=3.9&amp;sourceID=14","3.9")</f>
        <v>3.9</v>
      </c>
      <c r="G5193" s="4" t="str">
        <f>HYPERLINK("http://141.218.60.56/~jnz1568/getInfo.php?workbook=16_08.xlsx&amp;sheet=U0&amp;row=5193&amp;col=7&amp;number=4.29e-05&amp;sourceID=14","4.29e-05")</f>
        <v>4.29e-05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HYPERLINK("http://141.218.60.56/~jnz1568/getInfo.php?workbook=16_08.xlsx&amp;sheet=U0&amp;row=5194&amp;col=6&amp;number=4&amp;sourceID=14","4")</f>
        <v>4</v>
      </c>
      <c r="G5194" s="4" t="str">
        <f>HYPERLINK("http://141.218.60.56/~jnz1568/getInfo.php?workbook=16_08.xlsx&amp;sheet=U0&amp;row=5194&amp;col=7&amp;number=4.29e-05&amp;sourceID=14","4.29e-05")</f>
        <v>4.29e-05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HYPERLINK("http://141.218.60.56/~jnz1568/getInfo.php?workbook=16_08.xlsx&amp;sheet=U0&amp;row=5195&amp;col=6&amp;number=4.1&amp;sourceID=14","4.1")</f>
        <v>4.1</v>
      </c>
      <c r="G5195" s="4" t="str">
        <f>HYPERLINK("http://141.218.60.56/~jnz1568/getInfo.php?workbook=16_08.xlsx&amp;sheet=U0&amp;row=5195&amp;col=7&amp;number=4.3e-05&amp;sourceID=14","4.3e-05")</f>
        <v>4.3e-05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HYPERLINK("http://141.218.60.56/~jnz1568/getInfo.php?workbook=16_08.xlsx&amp;sheet=U0&amp;row=5196&amp;col=6&amp;number=4.2&amp;sourceID=14","4.2")</f>
        <v>4.2</v>
      </c>
      <c r="G5196" s="4" t="str">
        <f>HYPERLINK("http://141.218.60.56/~jnz1568/getInfo.php?workbook=16_08.xlsx&amp;sheet=U0&amp;row=5196&amp;col=7&amp;number=4.3e-05&amp;sourceID=14","4.3e-05")</f>
        <v>4.3e-05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HYPERLINK("http://141.218.60.56/~jnz1568/getInfo.php?workbook=16_08.xlsx&amp;sheet=U0&amp;row=5197&amp;col=6&amp;number=4.3&amp;sourceID=14","4.3")</f>
        <v>4.3</v>
      </c>
      <c r="G5197" s="4" t="str">
        <f>HYPERLINK("http://141.218.60.56/~jnz1568/getInfo.php?workbook=16_08.xlsx&amp;sheet=U0&amp;row=5197&amp;col=7&amp;number=4.31e-05&amp;sourceID=14","4.31e-05")</f>
        <v>4.31e-05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HYPERLINK("http://141.218.60.56/~jnz1568/getInfo.php?workbook=16_08.xlsx&amp;sheet=U0&amp;row=5198&amp;col=6&amp;number=4.4&amp;sourceID=14","4.4")</f>
        <v>4.4</v>
      </c>
      <c r="G5198" s="4" t="str">
        <f>HYPERLINK("http://141.218.60.56/~jnz1568/getInfo.php?workbook=16_08.xlsx&amp;sheet=U0&amp;row=5198&amp;col=7&amp;number=4.32e-05&amp;sourceID=14","4.32e-05")</f>
        <v>4.32e-05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HYPERLINK("http://141.218.60.56/~jnz1568/getInfo.php?workbook=16_08.xlsx&amp;sheet=U0&amp;row=5199&amp;col=6&amp;number=4.5&amp;sourceID=14","4.5")</f>
        <v>4.5</v>
      </c>
      <c r="G5199" s="4" t="str">
        <f>HYPERLINK("http://141.218.60.56/~jnz1568/getInfo.php?workbook=16_08.xlsx&amp;sheet=U0&amp;row=5199&amp;col=7&amp;number=4.33e-05&amp;sourceID=14","4.33e-05")</f>
        <v>4.33e-05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HYPERLINK("http://141.218.60.56/~jnz1568/getInfo.php?workbook=16_08.xlsx&amp;sheet=U0&amp;row=5200&amp;col=6&amp;number=4.6&amp;sourceID=14","4.6")</f>
        <v>4.6</v>
      </c>
      <c r="G5200" s="4" t="str">
        <f>HYPERLINK("http://141.218.60.56/~jnz1568/getInfo.php?workbook=16_08.xlsx&amp;sheet=U0&amp;row=5200&amp;col=7&amp;number=4.35e-05&amp;sourceID=14","4.35e-05")</f>
        <v>4.35e-05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HYPERLINK("http://141.218.60.56/~jnz1568/getInfo.php?workbook=16_08.xlsx&amp;sheet=U0&amp;row=5201&amp;col=6&amp;number=4.7&amp;sourceID=14","4.7")</f>
        <v>4.7</v>
      </c>
      <c r="G5201" s="4" t="str">
        <f>HYPERLINK("http://141.218.60.56/~jnz1568/getInfo.php?workbook=16_08.xlsx&amp;sheet=U0&amp;row=5201&amp;col=7&amp;number=4.37e-05&amp;sourceID=14","4.37e-05")</f>
        <v>4.37e-05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HYPERLINK("http://141.218.60.56/~jnz1568/getInfo.php?workbook=16_08.xlsx&amp;sheet=U0&amp;row=5202&amp;col=6&amp;number=4.8&amp;sourceID=14","4.8")</f>
        <v>4.8</v>
      </c>
      <c r="G5202" s="4" t="str">
        <f>HYPERLINK("http://141.218.60.56/~jnz1568/getInfo.php?workbook=16_08.xlsx&amp;sheet=U0&amp;row=5202&amp;col=7&amp;number=4.4e-05&amp;sourceID=14","4.4e-05")</f>
        <v>4.4e-05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HYPERLINK("http://141.218.60.56/~jnz1568/getInfo.php?workbook=16_08.xlsx&amp;sheet=U0&amp;row=5203&amp;col=6&amp;number=4.9&amp;sourceID=14","4.9")</f>
        <v>4.9</v>
      </c>
      <c r="G5203" s="4" t="str">
        <f>HYPERLINK("http://141.218.60.56/~jnz1568/getInfo.php?workbook=16_08.xlsx&amp;sheet=U0&amp;row=5203&amp;col=7&amp;number=4.43e-05&amp;sourceID=14","4.43e-05")</f>
        <v>4.43e-05</v>
      </c>
    </row>
    <row r="5204" spans="1:7">
      <c r="A5204" s="3">
        <v>16</v>
      </c>
      <c r="B5204" s="3">
        <v>8</v>
      </c>
      <c r="C5204" s="3">
        <v>4</v>
      </c>
      <c r="D5204" s="3">
        <v>13</v>
      </c>
      <c r="E5204" s="3">
        <v>1</v>
      </c>
      <c r="F5204" s="4" t="str">
        <f>HYPERLINK("http://141.218.60.56/~jnz1568/getInfo.php?workbook=16_08.xlsx&amp;sheet=U0&amp;row=5204&amp;col=6&amp;number=3&amp;sourceID=14","3")</f>
        <v>3</v>
      </c>
      <c r="G5204" s="4" t="str">
        <f>HYPERLINK("http://141.218.60.56/~jnz1568/getInfo.php?workbook=16_08.xlsx&amp;sheet=U0&amp;row=5204&amp;col=7&amp;number=0.00486&amp;sourceID=14","0.00486")</f>
        <v>0.00486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HYPERLINK("http://141.218.60.56/~jnz1568/getInfo.php?workbook=16_08.xlsx&amp;sheet=U0&amp;row=5205&amp;col=6&amp;number=3.1&amp;sourceID=14","3.1")</f>
        <v>3.1</v>
      </c>
      <c r="G5205" s="4" t="str">
        <f>HYPERLINK("http://141.218.60.56/~jnz1568/getInfo.php?workbook=16_08.xlsx&amp;sheet=U0&amp;row=5205&amp;col=7&amp;number=0.00486&amp;sourceID=14","0.00486")</f>
        <v>0.00486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HYPERLINK("http://141.218.60.56/~jnz1568/getInfo.php?workbook=16_08.xlsx&amp;sheet=U0&amp;row=5206&amp;col=6&amp;number=3.2&amp;sourceID=14","3.2")</f>
        <v>3.2</v>
      </c>
      <c r="G5206" s="4" t="str">
        <f>HYPERLINK("http://141.218.60.56/~jnz1568/getInfo.php?workbook=16_08.xlsx&amp;sheet=U0&amp;row=5206&amp;col=7&amp;number=0.00486&amp;sourceID=14","0.00486")</f>
        <v>0.00486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HYPERLINK("http://141.218.60.56/~jnz1568/getInfo.php?workbook=16_08.xlsx&amp;sheet=U0&amp;row=5207&amp;col=6&amp;number=3.3&amp;sourceID=14","3.3")</f>
        <v>3.3</v>
      </c>
      <c r="G5207" s="4" t="str">
        <f>HYPERLINK("http://141.218.60.56/~jnz1568/getInfo.php?workbook=16_08.xlsx&amp;sheet=U0&amp;row=5207&amp;col=7&amp;number=0.00486&amp;sourceID=14","0.00486")</f>
        <v>0.00486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HYPERLINK("http://141.218.60.56/~jnz1568/getInfo.php?workbook=16_08.xlsx&amp;sheet=U0&amp;row=5208&amp;col=6&amp;number=3.4&amp;sourceID=14","3.4")</f>
        <v>3.4</v>
      </c>
      <c r="G5208" s="4" t="str">
        <f>HYPERLINK("http://141.218.60.56/~jnz1568/getInfo.php?workbook=16_08.xlsx&amp;sheet=U0&amp;row=5208&amp;col=7&amp;number=0.00486&amp;sourceID=14","0.00486")</f>
        <v>0.00486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HYPERLINK("http://141.218.60.56/~jnz1568/getInfo.php?workbook=16_08.xlsx&amp;sheet=U0&amp;row=5209&amp;col=6&amp;number=3.5&amp;sourceID=14","3.5")</f>
        <v>3.5</v>
      </c>
      <c r="G5209" s="4" t="str">
        <f>HYPERLINK("http://141.218.60.56/~jnz1568/getInfo.php?workbook=16_08.xlsx&amp;sheet=U0&amp;row=5209&amp;col=7&amp;number=0.00486&amp;sourceID=14","0.00486")</f>
        <v>0.00486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HYPERLINK("http://141.218.60.56/~jnz1568/getInfo.php?workbook=16_08.xlsx&amp;sheet=U0&amp;row=5210&amp;col=6&amp;number=3.6&amp;sourceID=14","3.6")</f>
        <v>3.6</v>
      </c>
      <c r="G5210" s="4" t="str">
        <f>HYPERLINK("http://141.218.60.56/~jnz1568/getInfo.php?workbook=16_08.xlsx&amp;sheet=U0&amp;row=5210&amp;col=7&amp;number=0.00486&amp;sourceID=14","0.00486")</f>
        <v>0.00486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HYPERLINK("http://141.218.60.56/~jnz1568/getInfo.php?workbook=16_08.xlsx&amp;sheet=U0&amp;row=5211&amp;col=6&amp;number=3.7&amp;sourceID=14","3.7")</f>
        <v>3.7</v>
      </c>
      <c r="G5211" s="4" t="str">
        <f>HYPERLINK("http://141.218.60.56/~jnz1568/getInfo.php?workbook=16_08.xlsx&amp;sheet=U0&amp;row=5211&amp;col=7&amp;number=0.00486&amp;sourceID=14","0.00486")</f>
        <v>0.00486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HYPERLINK("http://141.218.60.56/~jnz1568/getInfo.php?workbook=16_08.xlsx&amp;sheet=U0&amp;row=5212&amp;col=6&amp;number=3.8&amp;sourceID=14","3.8")</f>
        <v>3.8</v>
      </c>
      <c r="G5212" s="4" t="str">
        <f>HYPERLINK("http://141.218.60.56/~jnz1568/getInfo.php?workbook=16_08.xlsx&amp;sheet=U0&amp;row=5212&amp;col=7&amp;number=0.00486&amp;sourceID=14","0.00486")</f>
        <v>0.00486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HYPERLINK("http://141.218.60.56/~jnz1568/getInfo.php?workbook=16_08.xlsx&amp;sheet=U0&amp;row=5213&amp;col=6&amp;number=3.9&amp;sourceID=14","3.9")</f>
        <v>3.9</v>
      </c>
      <c r="G5213" s="4" t="str">
        <f>HYPERLINK("http://141.218.60.56/~jnz1568/getInfo.php?workbook=16_08.xlsx&amp;sheet=U0&amp;row=5213&amp;col=7&amp;number=0.00486&amp;sourceID=14","0.00486")</f>
        <v>0.00486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HYPERLINK("http://141.218.60.56/~jnz1568/getInfo.php?workbook=16_08.xlsx&amp;sheet=U0&amp;row=5214&amp;col=6&amp;number=4&amp;sourceID=14","4")</f>
        <v>4</v>
      </c>
      <c r="G5214" s="4" t="str">
        <f>HYPERLINK("http://141.218.60.56/~jnz1568/getInfo.php?workbook=16_08.xlsx&amp;sheet=U0&amp;row=5214&amp;col=7&amp;number=0.00485&amp;sourceID=14","0.00485")</f>
        <v>0.00485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HYPERLINK("http://141.218.60.56/~jnz1568/getInfo.php?workbook=16_08.xlsx&amp;sheet=U0&amp;row=5215&amp;col=6&amp;number=4.1&amp;sourceID=14","4.1")</f>
        <v>4.1</v>
      </c>
      <c r="G5215" s="4" t="str">
        <f>HYPERLINK("http://141.218.60.56/~jnz1568/getInfo.php?workbook=16_08.xlsx&amp;sheet=U0&amp;row=5215&amp;col=7&amp;number=0.00485&amp;sourceID=14","0.00485")</f>
        <v>0.00485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HYPERLINK("http://141.218.60.56/~jnz1568/getInfo.php?workbook=16_08.xlsx&amp;sheet=U0&amp;row=5216&amp;col=6&amp;number=4.2&amp;sourceID=14","4.2")</f>
        <v>4.2</v>
      </c>
      <c r="G5216" s="4" t="str">
        <f>HYPERLINK("http://141.218.60.56/~jnz1568/getInfo.php?workbook=16_08.xlsx&amp;sheet=U0&amp;row=5216&amp;col=7&amp;number=0.00485&amp;sourceID=14","0.00485")</f>
        <v>0.00485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HYPERLINK("http://141.218.60.56/~jnz1568/getInfo.php?workbook=16_08.xlsx&amp;sheet=U0&amp;row=5217&amp;col=6&amp;number=4.3&amp;sourceID=14","4.3")</f>
        <v>4.3</v>
      </c>
      <c r="G5217" s="4" t="str">
        <f>HYPERLINK("http://141.218.60.56/~jnz1568/getInfo.php?workbook=16_08.xlsx&amp;sheet=U0&amp;row=5217&amp;col=7&amp;number=0.00485&amp;sourceID=14","0.00485")</f>
        <v>0.00485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HYPERLINK("http://141.218.60.56/~jnz1568/getInfo.php?workbook=16_08.xlsx&amp;sheet=U0&amp;row=5218&amp;col=6&amp;number=4.4&amp;sourceID=14","4.4")</f>
        <v>4.4</v>
      </c>
      <c r="G5218" s="4" t="str">
        <f>HYPERLINK("http://141.218.60.56/~jnz1568/getInfo.php?workbook=16_08.xlsx&amp;sheet=U0&amp;row=5218&amp;col=7&amp;number=0.00484&amp;sourceID=14","0.00484")</f>
        <v>0.00484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HYPERLINK("http://141.218.60.56/~jnz1568/getInfo.php?workbook=16_08.xlsx&amp;sheet=U0&amp;row=5219&amp;col=6&amp;number=4.5&amp;sourceID=14","4.5")</f>
        <v>4.5</v>
      </c>
      <c r="G5219" s="4" t="str">
        <f>HYPERLINK("http://141.218.60.56/~jnz1568/getInfo.php?workbook=16_08.xlsx&amp;sheet=U0&amp;row=5219&amp;col=7&amp;number=0.00484&amp;sourceID=14","0.00484")</f>
        <v>0.00484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HYPERLINK("http://141.218.60.56/~jnz1568/getInfo.php?workbook=16_08.xlsx&amp;sheet=U0&amp;row=5220&amp;col=6&amp;number=4.6&amp;sourceID=14","4.6")</f>
        <v>4.6</v>
      </c>
      <c r="G5220" s="4" t="str">
        <f>HYPERLINK("http://141.218.60.56/~jnz1568/getInfo.php?workbook=16_08.xlsx&amp;sheet=U0&amp;row=5220&amp;col=7&amp;number=0.00483&amp;sourceID=14","0.00483")</f>
        <v>0.00483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HYPERLINK("http://141.218.60.56/~jnz1568/getInfo.php?workbook=16_08.xlsx&amp;sheet=U0&amp;row=5221&amp;col=6&amp;number=4.7&amp;sourceID=14","4.7")</f>
        <v>4.7</v>
      </c>
      <c r="G5221" s="4" t="str">
        <f>HYPERLINK("http://141.218.60.56/~jnz1568/getInfo.php?workbook=16_08.xlsx&amp;sheet=U0&amp;row=5221&amp;col=7&amp;number=0.00482&amp;sourceID=14","0.00482")</f>
        <v>0.00482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HYPERLINK("http://141.218.60.56/~jnz1568/getInfo.php?workbook=16_08.xlsx&amp;sheet=U0&amp;row=5222&amp;col=6&amp;number=4.8&amp;sourceID=14","4.8")</f>
        <v>4.8</v>
      </c>
      <c r="G5222" s="4" t="str">
        <f>HYPERLINK("http://141.218.60.56/~jnz1568/getInfo.php?workbook=16_08.xlsx&amp;sheet=U0&amp;row=5222&amp;col=7&amp;number=0.00481&amp;sourceID=14","0.00481")</f>
        <v>0.00481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HYPERLINK("http://141.218.60.56/~jnz1568/getInfo.php?workbook=16_08.xlsx&amp;sheet=U0&amp;row=5223&amp;col=6&amp;number=4.9&amp;sourceID=14","4.9")</f>
        <v>4.9</v>
      </c>
      <c r="G5223" s="4" t="str">
        <f>HYPERLINK("http://141.218.60.56/~jnz1568/getInfo.php?workbook=16_08.xlsx&amp;sheet=U0&amp;row=5223&amp;col=7&amp;number=0.00479&amp;sourceID=14","0.00479")</f>
        <v>0.00479</v>
      </c>
    </row>
    <row r="5224" spans="1:7">
      <c r="A5224" s="3">
        <v>16</v>
      </c>
      <c r="B5224" s="3">
        <v>8</v>
      </c>
      <c r="C5224" s="3">
        <v>4</v>
      </c>
      <c r="D5224" s="3">
        <v>14</v>
      </c>
      <c r="E5224" s="3">
        <v>1</v>
      </c>
      <c r="F5224" s="4" t="str">
        <f>HYPERLINK("http://141.218.60.56/~jnz1568/getInfo.php?workbook=16_08.xlsx&amp;sheet=U0&amp;row=5224&amp;col=6&amp;number=3&amp;sourceID=14","3")</f>
        <v>3</v>
      </c>
      <c r="G5224" s="4" t="str">
        <f>HYPERLINK("http://141.218.60.56/~jnz1568/getInfo.php?workbook=16_08.xlsx&amp;sheet=U0&amp;row=5224&amp;col=7&amp;number=0.00849&amp;sourceID=14","0.00849")</f>
        <v>0.00849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HYPERLINK("http://141.218.60.56/~jnz1568/getInfo.php?workbook=16_08.xlsx&amp;sheet=U0&amp;row=5225&amp;col=6&amp;number=3.1&amp;sourceID=14","3.1")</f>
        <v>3.1</v>
      </c>
      <c r="G5225" s="4" t="str">
        <f>HYPERLINK("http://141.218.60.56/~jnz1568/getInfo.php?workbook=16_08.xlsx&amp;sheet=U0&amp;row=5225&amp;col=7&amp;number=0.00849&amp;sourceID=14","0.00849")</f>
        <v>0.00849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HYPERLINK("http://141.218.60.56/~jnz1568/getInfo.php?workbook=16_08.xlsx&amp;sheet=U0&amp;row=5226&amp;col=6&amp;number=3.2&amp;sourceID=14","3.2")</f>
        <v>3.2</v>
      </c>
      <c r="G5226" s="4" t="str">
        <f>HYPERLINK("http://141.218.60.56/~jnz1568/getInfo.php?workbook=16_08.xlsx&amp;sheet=U0&amp;row=5226&amp;col=7&amp;number=0.00849&amp;sourceID=14","0.00849")</f>
        <v>0.00849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HYPERLINK("http://141.218.60.56/~jnz1568/getInfo.php?workbook=16_08.xlsx&amp;sheet=U0&amp;row=5227&amp;col=6&amp;number=3.3&amp;sourceID=14","3.3")</f>
        <v>3.3</v>
      </c>
      <c r="G5227" s="4" t="str">
        <f>HYPERLINK("http://141.218.60.56/~jnz1568/getInfo.php?workbook=16_08.xlsx&amp;sheet=U0&amp;row=5227&amp;col=7&amp;number=0.00849&amp;sourceID=14","0.00849")</f>
        <v>0.00849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HYPERLINK("http://141.218.60.56/~jnz1568/getInfo.php?workbook=16_08.xlsx&amp;sheet=U0&amp;row=5228&amp;col=6&amp;number=3.4&amp;sourceID=14","3.4")</f>
        <v>3.4</v>
      </c>
      <c r="G5228" s="4" t="str">
        <f>HYPERLINK("http://141.218.60.56/~jnz1568/getInfo.php?workbook=16_08.xlsx&amp;sheet=U0&amp;row=5228&amp;col=7&amp;number=0.00849&amp;sourceID=14","0.00849")</f>
        <v>0.00849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HYPERLINK("http://141.218.60.56/~jnz1568/getInfo.php?workbook=16_08.xlsx&amp;sheet=U0&amp;row=5229&amp;col=6&amp;number=3.5&amp;sourceID=14","3.5")</f>
        <v>3.5</v>
      </c>
      <c r="G5229" s="4" t="str">
        <f>HYPERLINK("http://141.218.60.56/~jnz1568/getInfo.php?workbook=16_08.xlsx&amp;sheet=U0&amp;row=5229&amp;col=7&amp;number=0.00849&amp;sourceID=14","0.00849")</f>
        <v>0.00849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HYPERLINK("http://141.218.60.56/~jnz1568/getInfo.php?workbook=16_08.xlsx&amp;sheet=U0&amp;row=5230&amp;col=6&amp;number=3.6&amp;sourceID=14","3.6")</f>
        <v>3.6</v>
      </c>
      <c r="G5230" s="4" t="str">
        <f>HYPERLINK("http://141.218.60.56/~jnz1568/getInfo.php?workbook=16_08.xlsx&amp;sheet=U0&amp;row=5230&amp;col=7&amp;number=0.00848&amp;sourceID=14","0.00848")</f>
        <v>0.00848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HYPERLINK("http://141.218.60.56/~jnz1568/getInfo.php?workbook=16_08.xlsx&amp;sheet=U0&amp;row=5231&amp;col=6&amp;number=3.7&amp;sourceID=14","3.7")</f>
        <v>3.7</v>
      </c>
      <c r="G5231" s="4" t="str">
        <f>HYPERLINK("http://141.218.60.56/~jnz1568/getInfo.php?workbook=16_08.xlsx&amp;sheet=U0&amp;row=5231&amp;col=7&amp;number=0.00848&amp;sourceID=14","0.00848")</f>
        <v>0.00848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HYPERLINK("http://141.218.60.56/~jnz1568/getInfo.php?workbook=16_08.xlsx&amp;sheet=U0&amp;row=5232&amp;col=6&amp;number=3.8&amp;sourceID=14","3.8")</f>
        <v>3.8</v>
      </c>
      <c r="G5232" s="4" t="str">
        <f>HYPERLINK("http://141.218.60.56/~jnz1568/getInfo.php?workbook=16_08.xlsx&amp;sheet=U0&amp;row=5232&amp;col=7&amp;number=0.00848&amp;sourceID=14","0.00848")</f>
        <v>0.00848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HYPERLINK("http://141.218.60.56/~jnz1568/getInfo.php?workbook=16_08.xlsx&amp;sheet=U0&amp;row=5233&amp;col=6&amp;number=3.9&amp;sourceID=14","3.9")</f>
        <v>3.9</v>
      </c>
      <c r="G5233" s="4" t="str">
        <f>HYPERLINK("http://141.218.60.56/~jnz1568/getInfo.php?workbook=16_08.xlsx&amp;sheet=U0&amp;row=5233&amp;col=7&amp;number=0.00848&amp;sourceID=14","0.00848")</f>
        <v>0.00848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HYPERLINK("http://141.218.60.56/~jnz1568/getInfo.php?workbook=16_08.xlsx&amp;sheet=U0&amp;row=5234&amp;col=6&amp;number=4&amp;sourceID=14","4")</f>
        <v>4</v>
      </c>
      <c r="G5234" s="4" t="str">
        <f>HYPERLINK("http://141.218.60.56/~jnz1568/getInfo.php?workbook=16_08.xlsx&amp;sheet=U0&amp;row=5234&amp;col=7&amp;number=0.00847&amp;sourceID=14","0.00847")</f>
        <v>0.00847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HYPERLINK("http://141.218.60.56/~jnz1568/getInfo.php?workbook=16_08.xlsx&amp;sheet=U0&amp;row=5235&amp;col=6&amp;number=4.1&amp;sourceID=14","4.1")</f>
        <v>4.1</v>
      </c>
      <c r="G5235" s="4" t="str">
        <f>HYPERLINK("http://141.218.60.56/~jnz1568/getInfo.php?workbook=16_08.xlsx&amp;sheet=U0&amp;row=5235&amp;col=7&amp;number=0.00847&amp;sourceID=14","0.00847")</f>
        <v>0.00847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HYPERLINK("http://141.218.60.56/~jnz1568/getInfo.php?workbook=16_08.xlsx&amp;sheet=U0&amp;row=5236&amp;col=6&amp;number=4.2&amp;sourceID=14","4.2")</f>
        <v>4.2</v>
      </c>
      <c r="G5236" s="4" t="str">
        <f>HYPERLINK("http://141.218.60.56/~jnz1568/getInfo.php?workbook=16_08.xlsx&amp;sheet=U0&amp;row=5236&amp;col=7&amp;number=0.00846&amp;sourceID=14","0.00846")</f>
        <v>0.00846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HYPERLINK("http://141.218.60.56/~jnz1568/getInfo.php?workbook=16_08.xlsx&amp;sheet=U0&amp;row=5237&amp;col=6&amp;number=4.3&amp;sourceID=14","4.3")</f>
        <v>4.3</v>
      </c>
      <c r="G5237" s="4" t="str">
        <f>HYPERLINK("http://141.218.60.56/~jnz1568/getInfo.php?workbook=16_08.xlsx&amp;sheet=U0&amp;row=5237&amp;col=7&amp;number=0.00846&amp;sourceID=14","0.00846")</f>
        <v>0.00846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HYPERLINK("http://141.218.60.56/~jnz1568/getInfo.php?workbook=16_08.xlsx&amp;sheet=U0&amp;row=5238&amp;col=6&amp;number=4.4&amp;sourceID=14","4.4")</f>
        <v>4.4</v>
      </c>
      <c r="G5238" s="4" t="str">
        <f>HYPERLINK("http://141.218.60.56/~jnz1568/getInfo.php?workbook=16_08.xlsx&amp;sheet=U0&amp;row=5238&amp;col=7&amp;number=0.00845&amp;sourceID=14","0.00845")</f>
        <v>0.00845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HYPERLINK("http://141.218.60.56/~jnz1568/getInfo.php?workbook=16_08.xlsx&amp;sheet=U0&amp;row=5239&amp;col=6&amp;number=4.5&amp;sourceID=14","4.5")</f>
        <v>4.5</v>
      </c>
      <c r="G5239" s="4" t="str">
        <f>HYPERLINK("http://141.218.60.56/~jnz1568/getInfo.php?workbook=16_08.xlsx&amp;sheet=U0&amp;row=5239&amp;col=7&amp;number=0.00844&amp;sourceID=14","0.00844")</f>
        <v>0.00844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HYPERLINK("http://141.218.60.56/~jnz1568/getInfo.php?workbook=16_08.xlsx&amp;sheet=U0&amp;row=5240&amp;col=6&amp;number=4.6&amp;sourceID=14","4.6")</f>
        <v>4.6</v>
      </c>
      <c r="G5240" s="4" t="str">
        <f>HYPERLINK("http://141.218.60.56/~jnz1568/getInfo.php?workbook=16_08.xlsx&amp;sheet=U0&amp;row=5240&amp;col=7&amp;number=0.00842&amp;sourceID=14","0.00842")</f>
        <v>0.00842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HYPERLINK("http://141.218.60.56/~jnz1568/getInfo.php?workbook=16_08.xlsx&amp;sheet=U0&amp;row=5241&amp;col=6&amp;number=4.7&amp;sourceID=14","4.7")</f>
        <v>4.7</v>
      </c>
      <c r="G5241" s="4" t="str">
        <f>HYPERLINK("http://141.218.60.56/~jnz1568/getInfo.php?workbook=16_08.xlsx&amp;sheet=U0&amp;row=5241&amp;col=7&amp;number=0.00841&amp;sourceID=14","0.00841")</f>
        <v>0.00841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HYPERLINK("http://141.218.60.56/~jnz1568/getInfo.php?workbook=16_08.xlsx&amp;sheet=U0&amp;row=5242&amp;col=6&amp;number=4.8&amp;sourceID=14","4.8")</f>
        <v>4.8</v>
      </c>
      <c r="G5242" s="4" t="str">
        <f>HYPERLINK("http://141.218.60.56/~jnz1568/getInfo.php?workbook=16_08.xlsx&amp;sheet=U0&amp;row=5242&amp;col=7&amp;number=0.00838&amp;sourceID=14","0.00838")</f>
        <v>0.00838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HYPERLINK("http://141.218.60.56/~jnz1568/getInfo.php?workbook=16_08.xlsx&amp;sheet=U0&amp;row=5243&amp;col=6&amp;number=4.9&amp;sourceID=14","4.9")</f>
        <v>4.9</v>
      </c>
      <c r="G5243" s="4" t="str">
        <f>HYPERLINK("http://141.218.60.56/~jnz1568/getInfo.php?workbook=16_08.xlsx&amp;sheet=U0&amp;row=5243&amp;col=7&amp;number=0.00836&amp;sourceID=14","0.00836")</f>
        <v>0.00836</v>
      </c>
    </row>
    <row r="5244" spans="1:7">
      <c r="A5244" s="3">
        <v>16</v>
      </c>
      <c r="B5244" s="3">
        <v>8</v>
      </c>
      <c r="C5244" s="3">
        <v>4</v>
      </c>
      <c r="D5244" s="3">
        <v>15</v>
      </c>
      <c r="E5244" s="3">
        <v>1</v>
      </c>
      <c r="F5244" s="4" t="str">
        <f>HYPERLINK("http://141.218.60.56/~jnz1568/getInfo.php?workbook=16_08.xlsx&amp;sheet=U0&amp;row=5244&amp;col=6&amp;number=3&amp;sourceID=14","3")</f>
        <v>3</v>
      </c>
      <c r="G5244" s="4" t="str">
        <f>HYPERLINK("http://141.218.60.56/~jnz1568/getInfo.php?workbook=16_08.xlsx&amp;sheet=U0&amp;row=5244&amp;col=7&amp;number=0.0129&amp;sourceID=14","0.0129")</f>
        <v>0.0129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HYPERLINK("http://141.218.60.56/~jnz1568/getInfo.php?workbook=16_08.xlsx&amp;sheet=U0&amp;row=5245&amp;col=6&amp;number=3.1&amp;sourceID=14","3.1")</f>
        <v>3.1</v>
      </c>
      <c r="G5245" s="4" t="str">
        <f>HYPERLINK("http://141.218.60.56/~jnz1568/getInfo.php?workbook=16_08.xlsx&amp;sheet=U0&amp;row=5245&amp;col=7&amp;number=0.0129&amp;sourceID=14","0.0129")</f>
        <v>0.0129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HYPERLINK("http://141.218.60.56/~jnz1568/getInfo.php?workbook=16_08.xlsx&amp;sheet=U0&amp;row=5246&amp;col=6&amp;number=3.2&amp;sourceID=14","3.2")</f>
        <v>3.2</v>
      </c>
      <c r="G5246" s="4" t="str">
        <f>HYPERLINK("http://141.218.60.56/~jnz1568/getInfo.php?workbook=16_08.xlsx&amp;sheet=U0&amp;row=5246&amp;col=7&amp;number=0.0129&amp;sourceID=14","0.0129")</f>
        <v>0.0129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HYPERLINK("http://141.218.60.56/~jnz1568/getInfo.php?workbook=16_08.xlsx&amp;sheet=U0&amp;row=5247&amp;col=6&amp;number=3.3&amp;sourceID=14","3.3")</f>
        <v>3.3</v>
      </c>
      <c r="G5247" s="4" t="str">
        <f>HYPERLINK("http://141.218.60.56/~jnz1568/getInfo.php?workbook=16_08.xlsx&amp;sheet=U0&amp;row=5247&amp;col=7&amp;number=0.0129&amp;sourceID=14","0.0129")</f>
        <v>0.0129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HYPERLINK("http://141.218.60.56/~jnz1568/getInfo.php?workbook=16_08.xlsx&amp;sheet=U0&amp;row=5248&amp;col=6&amp;number=3.4&amp;sourceID=14","3.4")</f>
        <v>3.4</v>
      </c>
      <c r="G5248" s="4" t="str">
        <f>HYPERLINK("http://141.218.60.56/~jnz1568/getInfo.php?workbook=16_08.xlsx&amp;sheet=U0&amp;row=5248&amp;col=7&amp;number=0.0129&amp;sourceID=14","0.0129")</f>
        <v>0.0129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HYPERLINK("http://141.218.60.56/~jnz1568/getInfo.php?workbook=16_08.xlsx&amp;sheet=U0&amp;row=5249&amp;col=6&amp;number=3.5&amp;sourceID=14","3.5")</f>
        <v>3.5</v>
      </c>
      <c r="G5249" s="4" t="str">
        <f>HYPERLINK("http://141.218.60.56/~jnz1568/getInfo.php?workbook=16_08.xlsx&amp;sheet=U0&amp;row=5249&amp;col=7&amp;number=0.0129&amp;sourceID=14","0.0129")</f>
        <v>0.0129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HYPERLINK("http://141.218.60.56/~jnz1568/getInfo.php?workbook=16_08.xlsx&amp;sheet=U0&amp;row=5250&amp;col=6&amp;number=3.6&amp;sourceID=14","3.6")</f>
        <v>3.6</v>
      </c>
      <c r="G5250" s="4" t="str">
        <f>HYPERLINK("http://141.218.60.56/~jnz1568/getInfo.php?workbook=16_08.xlsx&amp;sheet=U0&amp;row=5250&amp;col=7&amp;number=0.0129&amp;sourceID=14","0.0129")</f>
        <v>0.0129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HYPERLINK("http://141.218.60.56/~jnz1568/getInfo.php?workbook=16_08.xlsx&amp;sheet=U0&amp;row=5251&amp;col=6&amp;number=3.7&amp;sourceID=14","3.7")</f>
        <v>3.7</v>
      </c>
      <c r="G5251" s="4" t="str">
        <f>HYPERLINK("http://141.218.60.56/~jnz1568/getInfo.php?workbook=16_08.xlsx&amp;sheet=U0&amp;row=5251&amp;col=7&amp;number=0.0129&amp;sourceID=14","0.0129")</f>
        <v>0.0129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HYPERLINK("http://141.218.60.56/~jnz1568/getInfo.php?workbook=16_08.xlsx&amp;sheet=U0&amp;row=5252&amp;col=6&amp;number=3.8&amp;sourceID=14","3.8")</f>
        <v>3.8</v>
      </c>
      <c r="G5252" s="4" t="str">
        <f>HYPERLINK("http://141.218.60.56/~jnz1568/getInfo.php?workbook=16_08.xlsx&amp;sheet=U0&amp;row=5252&amp;col=7&amp;number=0.0129&amp;sourceID=14","0.0129")</f>
        <v>0.0129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HYPERLINK("http://141.218.60.56/~jnz1568/getInfo.php?workbook=16_08.xlsx&amp;sheet=U0&amp;row=5253&amp;col=6&amp;number=3.9&amp;sourceID=14","3.9")</f>
        <v>3.9</v>
      </c>
      <c r="G5253" s="4" t="str">
        <f>HYPERLINK("http://141.218.60.56/~jnz1568/getInfo.php?workbook=16_08.xlsx&amp;sheet=U0&amp;row=5253&amp;col=7&amp;number=0.0129&amp;sourceID=14","0.0129")</f>
        <v>0.0129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HYPERLINK("http://141.218.60.56/~jnz1568/getInfo.php?workbook=16_08.xlsx&amp;sheet=U0&amp;row=5254&amp;col=6&amp;number=4&amp;sourceID=14","4")</f>
        <v>4</v>
      </c>
      <c r="G5254" s="4" t="str">
        <f>HYPERLINK("http://141.218.60.56/~jnz1568/getInfo.php?workbook=16_08.xlsx&amp;sheet=U0&amp;row=5254&amp;col=7&amp;number=0.0129&amp;sourceID=14","0.0129")</f>
        <v>0.0129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HYPERLINK("http://141.218.60.56/~jnz1568/getInfo.php?workbook=16_08.xlsx&amp;sheet=U0&amp;row=5255&amp;col=6&amp;number=4.1&amp;sourceID=14","4.1")</f>
        <v>4.1</v>
      </c>
      <c r="G5255" s="4" t="str">
        <f>HYPERLINK("http://141.218.60.56/~jnz1568/getInfo.php?workbook=16_08.xlsx&amp;sheet=U0&amp;row=5255&amp;col=7&amp;number=0.0129&amp;sourceID=14","0.0129")</f>
        <v>0.0129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HYPERLINK("http://141.218.60.56/~jnz1568/getInfo.php?workbook=16_08.xlsx&amp;sheet=U0&amp;row=5256&amp;col=6&amp;number=4.2&amp;sourceID=14","4.2")</f>
        <v>4.2</v>
      </c>
      <c r="G5256" s="4" t="str">
        <f>HYPERLINK("http://141.218.60.56/~jnz1568/getInfo.php?workbook=16_08.xlsx&amp;sheet=U0&amp;row=5256&amp;col=7&amp;number=0.0129&amp;sourceID=14","0.0129")</f>
        <v>0.0129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HYPERLINK("http://141.218.60.56/~jnz1568/getInfo.php?workbook=16_08.xlsx&amp;sheet=U0&amp;row=5257&amp;col=6&amp;number=4.3&amp;sourceID=14","4.3")</f>
        <v>4.3</v>
      </c>
      <c r="G5257" s="4" t="str">
        <f>HYPERLINK("http://141.218.60.56/~jnz1568/getInfo.php?workbook=16_08.xlsx&amp;sheet=U0&amp;row=5257&amp;col=7&amp;number=0.0129&amp;sourceID=14","0.0129")</f>
        <v>0.0129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HYPERLINK("http://141.218.60.56/~jnz1568/getInfo.php?workbook=16_08.xlsx&amp;sheet=U0&amp;row=5258&amp;col=6&amp;number=4.4&amp;sourceID=14","4.4")</f>
        <v>4.4</v>
      </c>
      <c r="G5258" s="4" t="str">
        <f>HYPERLINK("http://141.218.60.56/~jnz1568/getInfo.php?workbook=16_08.xlsx&amp;sheet=U0&amp;row=5258&amp;col=7&amp;number=0.0128&amp;sourceID=14","0.0128")</f>
        <v>0.0128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HYPERLINK("http://141.218.60.56/~jnz1568/getInfo.php?workbook=16_08.xlsx&amp;sheet=U0&amp;row=5259&amp;col=6&amp;number=4.5&amp;sourceID=14","4.5")</f>
        <v>4.5</v>
      </c>
      <c r="G5259" s="4" t="str">
        <f>HYPERLINK("http://141.218.60.56/~jnz1568/getInfo.php?workbook=16_08.xlsx&amp;sheet=U0&amp;row=5259&amp;col=7&amp;number=0.0128&amp;sourceID=14","0.0128")</f>
        <v>0.0128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HYPERLINK("http://141.218.60.56/~jnz1568/getInfo.php?workbook=16_08.xlsx&amp;sheet=U0&amp;row=5260&amp;col=6&amp;number=4.6&amp;sourceID=14","4.6")</f>
        <v>4.6</v>
      </c>
      <c r="G5260" s="4" t="str">
        <f>HYPERLINK("http://141.218.60.56/~jnz1568/getInfo.php?workbook=16_08.xlsx&amp;sheet=U0&amp;row=5260&amp;col=7&amp;number=0.0128&amp;sourceID=14","0.0128")</f>
        <v>0.0128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HYPERLINK("http://141.218.60.56/~jnz1568/getInfo.php?workbook=16_08.xlsx&amp;sheet=U0&amp;row=5261&amp;col=6&amp;number=4.7&amp;sourceID=14","4.7")</f>
        <v>4.7</v>
      </c>
      <c r="G5261" s="4" t="str">
        <f>HYPERLINK("http://141.218.60.56/~jnz1568/getInfo.php?workbook=16_08.xlsx&amp;sheet=U0&amp;row=5261&amp;col=7&amp;number=0.0128&amp;sourceID=14","0.0128")</f>
        <v>0.0128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HYPERLINK("http://141.218.60.56/~jnz1568/getInfo.php?workbook=16_08.xlsx&amp;sheet=U0&amp;row=5262&amp;col=6&amp;number=4.8&amp;sourceID=14","4.8")</f>
        <v>4.8</v>
      </c>
      <c r="G5262" s="4" t="str">
        <f>HYPERLINK("http://141.218.60.56/~jnz1568/getInfo.php?workbook=16_08.xlsx&amp;sheet=U0&amp;row=5262&amp;col=7&amp;number=0.0128&amp;sourceID=14","0.0128")</f>
        <v>0.0128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HYPERLINK("http://141.218.60.56/~jnz1568/getInfo.php?workbook=16_08.xlsx&amp;sheet=U0&amp;row=5263&amp;col=6&amp;number=4.9&amp;sourceID=14","4.9")</f>
        <v>4.9</v>
      </c>
      <c r="G5263" s="4" t="str">
        <f>HYPERLINK("http://141.218.60.56/~jnz1568/getInfo.php?workbook=16_08.xlsx&amp;sheet=U0&amp;row=5263&amp;col=7&amp;number=0.0127&amp;sourceID=14","0.0127")</f>
        <v>0.0127</v>
      </c>
    </row>
    <row r="5264" spans="1:7">
      <c r="A5264" s="3">
        <v>16</v>
      </c>
      <c r="B5264" s="3">
        <v>8</v>
      </c>
      <c r="C5264" s="3">
        <v>4</v>
      </c>
      <c r="D5264" s="3">
        <v>16</v>
      </c>
      <c r="E5264" s="3">
        <v>1</v>
      </c>
      <c r="F5264" s="4" t="str">
        <f>HYPERLINK("http://141.218.60.56/~jnz1568/getInfo.php?workbook=16_08.xlsx&amp;sheet=U0&amp;row=5264&amp;col=6&amp;number=3&amp;sourceID=14","3")</f>
        <v>3</v>
      </c>
      <c r="G5264" s="4" t="str">
        <f>HYPERLINK("http://141.218.60.56/~jnz1568/getInfo.php?workbook=16_08.xlsx&amp;sheet=U0&amp;row=5264&amp;col=7&amp;number=0.0119&amp;sourceID=14","0.0119")</f>
        <v>0.0119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HYPERLINK("http://141.218.60.56/~jnz1568/getInfo.php?workbook=16_08.xlsx&amp;sheet=U0&amp;row=5265&amp;col=6&amp;number=3.1&amp;sourceID=14","3.1")</f>
        <v>3.1</v>
      </c>
      <c r="G5265" s="4" t="str">
        <f>HYPERLINK("http://141.218.60.56/~jnz1568/getInfo.php?workbook=16_08.xlsx&amp;sheet=U0&amp;row=5265&amp;col=7&amp;number=0.0119&amp;sourceID=14","0.0119")</f>
        <v>0.0119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HYPERLINK("http://141.218.60.56/~jnz1568/getInfo.php?workbook=16_08.xlsx&amp;sheet=U0&amp;row=5266&amp;col=6&amp;number=3.2&amp;sourceID=14","3.2")</f>
        <v>3.2</v>
      </c>
      <c r="G5266" s="4" t="str">
        <f>HYPERLINK("http://141.218.60.56/~jnz1568/getInfo.php?workbook=16_08.xlsx&amp;sheet=U0&amp;row=5266&amp;col=7&amp;number=0.0119&amp;sourceID=14","0.0119")</f>
        <v>0.0119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HYPERLINK("http://141.218.60.56/~jnz1568/getInfo.php?workbook=16_08.xlsx&amp;sheet=U0&amp;row=5267&amp;col=6&amp;number=3.3&amp;sourceID=14","3.3")</f>
        <v>3.3</v>
      </c>
      <c r="G5267" s="4" t="str">
        <f>HYPERLINK("http://141.218.60.56/~jnz1568/getInfo.php?workbook=16_08.xlsx&amp;sheet=U0&amp;row=5267&amp;col=7&amp;number=0.0119&amp;sourceID=14","0.0119")</f>
        <v>0.0119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HYPERLINK("http://141.218.60.56/~jnz1568/getInfo.php?workbook=16_08.xlsx&amp;sheet=U0&amp;row=5268&amp;col=6&amp;number=3.4&amp;sourceID=14","3.4")</f>
        <v>3.4</v>
      </c>
      <c r="G5268" s="4" t="str">
        <f>HYPERLINK("http://141.218.60.56/~jnz1568/getInfo.php?workbook=16_08.xlsx&amp;sheet=U0&amp;row=5268&amp;col=7&amp;number=0.0119&amp;sourceID=14","0.0119")</f>
        <v>0.0119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HYPERLINK("http://141.218.60.56/~jnz1568/getInfo.php?workbook=16_08.xlsx&amp;sheet=U0&amp;row=5269&amp;col=6&amp;number=3.5&amp;sourceID=14","3.5")</f>
        <v>3.5</v>
      </c>
      <c r="G5269" s="4" t="str">
        <f>HYPERLINK("http://141.218.60.56/~jnz1568/getInfo.php?workbook=16_08.xlsx&amp;sheet=U0&amp;row=5269&amp;col=7&amp;number=0.012&amp;sourceID=14","0.012")</f>
        <v>0.012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HYPERLINK("http://141.218.60.56/~jnz1568/getInfo.php?workbook=16_08.xlsx&amp;sheet=U0&amp;row=5270&amp;col=6&amp;number=3.6&amp;sourceID=14","3.6")</f>
        <v>3.6</v>
      </c>
      <c r="G5270" s="4" t="str">
        <f>HYPERLINK("http://141.218.60.56/~jnz1568/getInfo.php?workbook=16_08.xlsx&amp;sheet=U0&amp;row=5270&amp;col=7&amp;number=0.012&amp;sourceID=14","0.012")</f>
        <v>0.012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HYPERLINK("http://141.218.60.56/~jnz1568/getInfo.php?workbook=16_08.xlsx&amp;sheet=U0&amp;row=5271&amp;col=6&amp;number=3.7&amp;sourceID=14","3.7")</f>
        <v>3.7</v>
      </c>
      <c r="G5271" s="4" t="str">
        <f>HYPERLINK("http://141.218.60.56/~jnz1568/getInfo.php?workbook=16_08.xlsx&amp;sheet=U0&amp;row=5271&amp;col=7&amp;number=0.012&amp;sourceID=14","0.012")</f>
        <v>0.012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HYPERLINK("http://141.218.60.56/~jnz1568/getInfo.php?workbook=16_08.xlsx&amp;sheet=U0&amp;row=5272&amp;col=6&amp;number=3.8&amp;sourceID=14","3.8")</f>
        <v>3.8</v>
      </c>
      <c r="G5272" s="4" t="str">
        <f>HYPERLINK("http://141.218.60.56/~jnz1568/getInfo.php?workbook=16_08.xlsx&amp;sheet=U0&amp;row=5272&amp;col=7&amp;number=0.012&amp;sourceID=14","0.012")</f>
        <v>0.012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HYPERLINK("http://141.218.60.56/~jnz1568/getInfo.php?workbook=16_08.xlsx&amp;sheet=U0&amp;row=5273&amp;col=6&amp;number=3.9&amp;sourceID=14","3.9")</f>
        <v>3.9</v>
      </c>
      <c r="G5273" s="4" t="str">
        <f>HYPERLINK("http://141.218.60.56/~jnz1568/getInfo.php?workbook=16_08.xlsx&amp;sheet=U0&amp;row=5273&amp;col=7&amp;number=0.0121&amp;sourceID=14","0.0121")</f>
        <v>0.0121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HYPERLINK("http://141.218.60.56/~jnz1568/getInfo.php?workbook=16_08.xlsx&amp;sheet=U0&amp;row=5274&amp;col=6&amp;number=4&amp;sourceID=14","4")</f>
        <v>4</v>
      </c>
      <c r="G5274" s="4" t="str">
        <f>HYPERLINK("http://141.218.60.56/~jnz1568/getInfo.php?workbook=16_08.xlsx&amp;sheet=U0&amp;row=5274&amp;col=7&amp;number=0.0121&amp;sourceID=14","0.0121")</f>
        <v>0.0121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HYPERLINK("http://141.218.60.56/~jnz1568/getInfo.php?workbook=16_08.xlsx&amp;sheet=U0&amp;row=5275&amp;col=6&amp;number=4.1&amp;sourceID=14","4.1")</f>
        <v>4.1</v>
      </c>
      <c r="G5275" s="4" t="str">
        <f>HYPERLINK("http://141.218.60.56/~jnz1568/getInfo.php?workbook=16_08.xlsx&amp;sheet=U0&amp;row=5275&amp;col=7&amp;number=0.0122&amp;sourceID=14","0.0122")</f>
        <v>0.0122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HYPERLINK("http://141.218.60.56/~jnz1568/getInfo.php?workbook=16_08.xlsx&amp;sheet=U0&amp;row=5276&amp;col=6&amp;number=4.2&amp;sourceID=14","4.2")</f>
        <v>4.2</v>
      </c>
      <c r="G5276" s="4" t="str">
        <f>HYPERLINK("http://141.218.60.56/~jnz1568/getInfo.php?workbook=16_08.xlsx&amp;sheet=U0&amp;row=5276&amp;col=7&amp;number=0.0122&amp;sourceID=14","0.0122")</f>
        <v>0.0122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HYPERLINK("http://141.218.60.56/~jnz1568/getInfo.php?workbook=16_08.xlsx&amp;sheet=U0&amp;row=5277&amp;col=6&amp;number=4.3&amp;sourceID=14","4.3")</f>
        <v>4.3</v>
      </c>
      <c r="G5277" s="4" t="str">
        <f>HYPERLINK("http://141.218.60.56/~jnz1568/getInfo.php?workbook=16_08.xlsx&amp;sheet=U0&amp;row=5277&amp;col=7&amp;number=0.0123&amp;sourceID=14","0.0123")</f>
        <v>0.0123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HYPERLINK("http://141.218.60.56/~jnz1568/getInfo.php?workbook=16_08.xlsx&amp;sheet=U0&amp;row=5278&amp;col=6&amp;number=4.4&amp;sourceID=14","4.4")</f>
        <v>4.4</v>
      </c>
      <c r="G5278" s="4" t="str">
        <f>HYPERLINK("http://141.218.60.56/~jnz1568/getInfo.php?workbook=16_08.xlsx&amp;sheet=U0&amp;row=5278&amp;col=7&amp;number=0.0124&amp;sourceID=14","0.0124")</f>
        <v>0.0124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HYPERLINK("http://141.218.60.56/~jnz1568/getInfo.php?workbook=16_08.xlsx&amp;sheet=U0&amp;row=5279&amp;col=6&amp;number=4.5&amp;sourceID=14","4.5")</f>
        <v>4.5</v>
      </c>
      <c r="G5279" s="4" t="str">
        <f>HYPERLINK("http://141.218.60.56/~jnz1568/getInfo.php?workbook=16_08.xlsx&amp;sheet=U0&amp;row=5279&amp;col=7&amp;number=0.0126&amp;sourceID=14","0.0126")</f>
        <v>0.0126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HYPERLINK("http://141.218.60.56/~jnz1568/getInfo.php?workbook=16_08.xlsx&amp;sheet=U0&amp;row=5280&amp;col=6&amp;number=4.6&amp;sourceID=14","4.6")</f>
        <v>4.6</v>
      </c>
      <c r="G5280" s="4" t="str">
        <f>HYPERLINK("http://141.218.60.56/~jnz1568/getInfo.php?workbook=16_08.xlsx&amp;sheet=U0&amp;row=5280&amp;col=7&amp;number=0.0127&amp;sourceID=14","0.0127")</f>
        <v>0.0127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HYPERLINK("http://141.218.60.56/~jnz1568/getInfo.php?workbook=16_08.xlsx&amp;sheet=U0&amp;row=5281&amp;col=6&amp;number=4.7&amp;sourceID=14","4.7")</f>
        <v>4.7</v>
      </c>
      <c r="G5281" s="4" t="str">
        <f>HYPERLINK("http://141.218.60.56/~jnz1568/getInfo.php?workbook=16_08.xlsx&amp;sheet=U0&amp;row=5281&amp;col=7&amp;number=0.013&amp;sourceID=14","0.013")</f>
        <v>0.013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HYPERLINK("http://141.218.60.56/~jnz1568/getInfo.php?workbook=16_08.xlsx&amp;sheet=U0&amp;row=5282&amp;col=6&amp;number=4.8&amp;sourceID=14","4.8")</f>
        <v>4.8</v>
      </c>
      <c r="G5282" s="4" t="str">
        <f>HYPERLINK("http://141.218.60.56/~jnz1568/getInfo.php?workbook=16_08.xlsx&amp;sheet=U0&amp;row=5282&amp;col=7&amp;number=0.0132&amp;sourceID=14","0.0132")</f>
        <v>0.0132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HYPERLINK("http://141.218.60.56/~jnz1568/getInfo.php?workbook=16_08.xlsx&amp;sheet=U0&amp;row=5283&amp;col=6&amp;number=4.9&amp;sourceID=14","4.9")</f>
        <v>4.9</v>
      </c>
      <c r="G5283" s="4" t="str">
        <f>HYPERLINK("http://141.218.60.56/~jnz1568/getInfo.php?workbook=16_08.xlsx&amp;sheet=U0&amp;row=5283&amp;col=7&amp;number=0.0136&amp;sourceID=14","0.0136")</f>
        <v>0.0136</v>
      </c>
    </row>
    <row r="5284" spans="1:7">
      <c r="A5284" s="3">
        <v>16</v>
      </c>
      <c r="B5284" s="3">
        <v>8</v>
      </c>
      <c r="C5284" s="3">
        <v>4</v>
      </c>
      <c r="D5284" s="3">
        <v>17</v>
      </c>
      <c r="E5284" s="3">
        <v>1</v>
      </c>
      <c r="F5284" s="4" t="str">
        <f>HYPERLINK("http://141.218.60.56/~jnz1568/getInfo.php?workbook=16_08.xlsx&amp;sheet=U0&amp;row=5284&amp;col=6&amp;number=3&amp;sourceID=14","3")</f>
        <v>3</v>
      </c>
      <c r="G5284" s="4" t="str">
        <f>HYPERLINK("http://141.218.60.56/~jnz1568/getInfo.php?workbook=16_08.xlsx&amp;sheet=U0&amp;row=5284&amp;col=7&amp;number=3.45e-05&amp;sourceID=14","3.45e-05")</f>
        <v>3.45e-05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HYPERLINK("http://141.218.60.56/~jnz1568/getInfo.php?workbook=16_08.xlsx&amp;sheet=U0&amp;row=5285&amp;col=6&amp;number=3.1&amp;sourceID=14","3.1")</f>
        <v>3.1</v>
      </c>
      <c r="G5285" s="4" t="str">
        <f>HYPERLINK("http://141.218.60.56/~jnz1568/getInfo.php?workbook=16_08.xlsx&amp;sheet=U0&amp;row=5285&amp;col=7&amp;number=3.45e-05&amp;sourceID=14","3.45e-05")</f>
        <v>3.45e-05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HYPERLINK("http://141.218.60.56/~jnz1568/getInfo.php?workbook=16_08.xlsx&amp;sheet=U0&amp;row=5286&amp;col=6&amp;number=3.2&amp;sourceID=14","3.2")</f>
        <v>3.2</v>
      </c>
      <c r="G5286" s="4" t="str">
        <f>HYPERLINK("http://141.218.60.56/~jnz1568/getInfo.php?workbook=16_08.xlsx&amp;sheet=U0&amp;row=5286&amp;col=7&amp;number=3.45e-05&amp;sourceID=14","3.45e-05")</f>
        <v>3.45e-05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HYPERLINK("http://141.218.60.56/~jnz1568/getInfo.php?workbook=16_08.xlsx&amp;sheet=U0&amp;row=5287&amp;col=6&amp;number=3.3&amp;sourceID=14","3.3")</f>
        <v>3.3</v>
      </c>
      <c r="G5287" s="4" t="str">
        <f>HYPERLINK("http://141.218.60.56/~jnz1568/getInfo.php?workbook=16_08.xlsx&amp;sheet=U0&amp;row=5287&amp;col=7&amp;number=3.45e-05&amp;sourceID=14","3.45e-05")</f>
        <v>3.45e-05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HYPERLINK("http://141.218.60.56/~jnz1568/getInfo.php?workbook=16_08.xlsx&amp;sheet=U0&amp;row=5288&amp;col=6&amp;number=3.4&amp;sourceID=14","3.4")</f>
        <v>3.4</v>
      </c>
      <c r="G5288" s="4" t="str">
        <f>HYPERLINK("http://141.218.60.56/~jnz1568/getInfo.php?workbook=16_08.xlsx&amp;sheet=U0&amp;row=5288&amp;col=7&amp;number=3.45e-05&amp;sourceID=14","3.45e-05")</f>
        <v>3.45e-05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HYPERLINK("http://141.218.60.56/~jnz1568/getInfo.php?workbook=16_08.xlsx&amp;sheet=U0&amp;row=5289&amp;col=6&amp;number=3.5&amp;sourceID=14","3.5")</f>
        <v>3.5</v>
      </c>
      <c r="G5289" s="4" t="str">
        <f>HYPERLINK("http://141.218.60.56/~jnz1568/getInfo.php?workbook=16_08.xlsx&amp;sheet=U0&amp;row=5289&amp;col=7&amp;number=3.45e-05&amp;sourceID=14","3.45e-05")</f>
        <v>3.45e-05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HYPERLINK("http://141.218.60.56/~jnz1568/getInfo.php?workbook=16_08.xlsx&amp;sheet=U0&amp;row=5290&amp;col=6&amp;number=3.6&amp;sourceID=14","3.6")</f>
        <v>3.6</v>
      </c>
      <c r="G5290" s="4" t="str">
        <f>HYPERLINK("http://141.218.60.56/~jnz1568/getInfo.php?workbook=16_08.xlsx&amp;sheet=U0&amp;row=5290&amp;col=7&amp;number=3.45e-05&amp;sourceID=14","3.45e-05")</f>
        <v>3.45e-05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HYPERLINK("http://141.218.60.56/~jnz1568/getInfo.php?workbook=16_08.xlsx&amp;sheet=U0&amp;row=5291&amp;col=6&amp;number=3.7&amp;sourceID=14","3.7")</f>
        <v>3.7</v>
      </c>
      <c r="G5291" s="4" t="str">
        <f>HYPERLINK("http://141.218.60.56/~jnz1568/getInfo.php?workbook=16_08.xlsx&amp;sheet=U0&amp;row=5291&amp;col=7&amp;number=3.44e-05&amp;sourceID=14","3.44e-05")</f>
        <v>3.44e-05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HYPERLINK("http://141.218.60.56/~jnz1568/getInfo.php?workbook=16_08.xlsx&amp;sheet=U0&amp;row=5292&amp;col=6&amp;number=3.8&amp;sourceID=14","3.8")</f>
        <v>3.8</v>
      </c>
      <c r="G5292" s="4" t="str">
        <f>HYPERLINK("http://141.218.60.56/~jnz1568/getInfo.php?workbook=16_08.xlsx&amp;sheet=U0&amp;row=5292&amp;col=7&amp;number=3.44e-05&amp;sourceID=14","3.44e-05")</f>
        <v>3.44e-05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HYPERLINK("http://141.218.60.56/~jnz1568/getInfo.php?workbook=16_08.xlsx&amp;sheet=U0&amp;row=5293&amp;col=6&amp;number=3.9&amp;sourceID=14","3.9")</f>
        <v>3.9</v>
      </c>
      <c r="G5293" s="4" t="str">
        <f>HYPERLINK("http://141.218.60.56/~jnz1568/getInfo.php?workbook=16_08.xlsx&amp;sheet=U0&amp;row=5293&amp;col=7&amp;number=3.44e-05&amp;sourceID=14","3.44e-05")</f>
        <v>3.44e-05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HYPERLINK("http://141.218.60.56/~jnz1568/getInfo.php?workbook=16_08.xlsx&amp;sheet=U0&amp;row=5294&amp;col=6&amp;number=4&amp;sourceID=14","4")</f>
        <v>4</v>
      </c>
      <c r="G5294" s="4" t="str">
        <f>HYPERLINK("http://141.218.60.56/~jnz1568/getInfo.php?workbook=16_08.xlsx&amp;sheet=U0&amp;row=5294&amp;col=7&amp;number=3.44e-05&amp;sourceID=14","3.44e-05")</f>
        <v>3.44e-05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HYPERLINK("http://141.218.60.56/~jnz1568/getInfo.php?workbook=16_08.xlsx&amp;sheet=U0&amp;row=5295&amp;col=6&amp;number=4.1&amp;sourceID=14","4.1")</f>
        <v>4.1</v>
      </c>
      <c r="G5295" s="4" t="str">
        <f>HYPERLINK("http://141.218.60.56/~jnz1568/getInfo.php?workbook=16_08.xlsx&amp;sheet=U0&amp;row=5295&amp;col=7&amp;number=3.43e-05&amp;sourceID=14","3.43e-05")</f>
        <v>3.43e-05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HYPERLINK("http://141.218.60.56/~jnz1568/getInfo.php?workbook=16_08.xlsx&amp;sheet=U0&amp;row=5296&amp;col=6&amp;number=4.2&amp;sourceID=14","4.2")</f>
        <v>4.2</v>
      </c>
      <c r="G5296" s="4" t="str">
        <f>HYPERLINK("http://141.218.60.56/~jnz1568/getInfo.php?workbook=16_08.xlsx&amp;sheet=U0&amp;row=5296&amp;col=7&amp;number=3.43e-05&amp;sourceID=14","3.43e-05")</f>
        <v>3.43e-05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HYPERLINK("http://141.218.60.56/~jnz1568/getInfo.php?workbook=16_08.xlsx&amp;sheet=U0&amp;row=5297&amp;col=6&amp;number=4.3&amp;sourceID=14","4.3")</f>
        <v>4.3</v>
      </c>
      <c r="G5297" s="4" t="str">
        <f>HYPERLINK("http://141.218.60.56/~jnz1568/getInfo.php?workbook=16_08.xlsx&amp;sheet=U0&amp;row=5297&amp;col=7&amp;number=3.42e-05&amp;sourceID=14","3.42e-05")</f>
        <v>3.42e-05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HYPERLINK("http://141.218.60.56/~jnz1568/getInfo.php?workbook=16_08.xlsx&amp;sheet=U0&amp;row=5298&amp;col=6&amp;number=4.4&amp;sourceID=14","4.4")</f>
        <v>4.4</v>
      </c>
      <c r="G5298" s="4" t="str">
        <f>HYPERLINK("http://141.218.60.56/~jnz1568/getInfo.php?workbook=16_08.xlsx&amp;sheet=U0&amp;row=5298&amp;col=7&amp;number=3.42e-05&amp;sourceID=14","3.42e-05")</f>
        <v>3.42e-05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HYPERLINK("http://141.218.60.56/~jnz1568/getInfo.php?workbook=16_08.xlsx&amp;sheet=U0&amp;row=5299&amp;col=6&amp;number=4.5&amp;sourceID=14","4.5")</f>
        <v>4.5</v>
      </c>
      <c r="G5299" s="4" t="str">
        <f>HYPERLINK("http://141.218.60.56/~jnz1568/getInfo.php?workbook=16_08.xlsx&amp;sheet=U0&amp;row=5299&amp;col=7&amp;number=3.41e-05&amp;sourceID=14","3.41e-05")</f>
        <v>3.41e-05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HYPERLINK("http://141.218.60.56/~jnz1568/getInfo.php?workbook=16_08.xlsx&amp;sheet=U0&amp;row=5300&amp;col=6&amp;number=4.6&amp;sourceID=14","4.6")</f>
        <v>4.6</v>
      </c>
      <c r="G5300" s="4" t="str">
        <f>HYPERLINK("http://141.218.60.56/~jnz1568/getInfo.php?workbook=16_08.xlsx&amp;sheet=U0&amp;row=5300&amp;col=7&amp;number=3.4e-05&amp;sourceID=14","3.4e-05")</f>
        <v>3.4e-05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HYPERLINK("http://141.218.60.56/~jnz1568/getInfo.php?workbook=16_08.xlsx&amp;sheet=U0&amp;row=5301&amp;col=6&amp;number=4.7&amp;sourceID=14","4.7")</f>
        <v>4.7</v>
      </c>
      <c r="G5301" s="4" t="str">
        <f>HYPERLINK("http://141.218.60.56/~jnz1568/getInfo.php?workbook=16_08.xlsx&amp;sheet=U0&amp;row=5301&amp;col=7&amp;number=3.38e-05&amp;sourceID=14","3.38e-05")</f>
        <v>3.38e-05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HYPERLINK("http://141.218.60.56/~jnz1568/getInfo.php?workbook=16_08.xlsx&amp;sheet=U0&amp;row=5302&amp;col=6&amp;number=4.8&amp;sourceID=14","4.8")</f>
        <v>4.8</v>
      </c>
      <c r="G5302" s="4" t="str">
        <f>HYPERLINK("http://141.218.60.56/~jnz1568/getInfo.php?workbook=16_08.xlsx&amp;sheet=U0&amp;row=5302&amp;col=7&amp;number=3.36e-05&amp;sourceID=14","3.36e-05")</f>
        <v>3.36e-05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HYPERLINK("http://141.218.60.56/~jnz1568/getInfo.php?workbook=16_08.xlsx&amp;sheet=U0&amp;row=5303&amp;col=6&amp;number=4.9&amp;sourceID=14","4.9")</f>
        <v>4.9</v>
      </c>
      <c r="G5303" s="4" t="str">
        <f>HYPERLINK("http://141.218.60.56/~jnz1568/getInfo.php?workbook=16_08.xlsx&amp;sheet=U0&amp;row=5303&amp;col=7&amp;number=3.34e-05&amp;sourceID=14","3.34e-05")</f>
        <v>3.34e-05</v>
      </c>
    </row>
    <row r="5304" spans="1:7">
      <c r="A5304" s="3">
        <v>16</v>
      </c>
      <c r="B5304" s="3">
        <v>8</v>
      </c>
      <c r="C5304" s="3">
        <v>4</v>
      </c>
      <c r="D5304" s="3">
        <v>18</v>
      </c>
      <c r="E5304" s="3">
        <v>1</v>
      </c>
      <c r="F5304" s="4" t="str">
        <f>HYPERLINK("http://141.218.60.56/~jnz1568/getInfo.php?workbook=16_08.xlsx&amp;sheet=U0&amp;row=5304&amp;col=6&amp;number=3&amp;sourceID=14","3")</f>
        <v>3</v>
      </c>
      <c r="G5304" s="4" t="str">
        <f>HYPERLINK("http://141.218.60.56/~jnz1568/getInfo.php?workbook=16_08.xlsx&amp;sheet=U0&amp;row=5304&amp;col=7&amp;number=4.41e-05&amp;sourceID=14","4.41e-05")</f>
        <v>4.41e-05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HYPERLINK("http://141.218.60.56/~jnz1568/getInfo.php?workbook=16_08.xlsx&amp;sheet=U0&amp;row=5305&amp;col=6&amp;number=3.1&amp;sourceID=14","3.1")</f>
        <v>3.1</v>
      </c>
      <c r="G5305" s="4" t="str">
        <f>HYPERLINK("http://141.218.60.56/~jnz1568/getInfo.php?workbook=16_08.xlsx&amp;sheet=U0&amp;row=5305&amp;col=7&amp;number=4.41e-05&amp;sourceID=14","4.41e-05")</f>
        <v>4.41e-05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HYPERLINK("http://141.218.60.56/~jnz1568/getInfo.php?workbook=16_08.xlsx&amp;sheet=U0&amp;row=5306&amp;col=6&amp;number=3.2&amp;sourceID=14","3.2")</f>
        <v>3.2</v>
      </c>
      <c r="G5306" s="4" t="str">
        <f>HYPERLINK("http://141.218.60.56/~jnz1568/getInfo.php?workbook=16_08.xlsx&amp;sheet=U0&amp;row=5306&amp;col=7&amp;number=4.41e-05&amp;sourceID=14","4.41e-05")</f>
        <v>4.41e-05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HYPERLINK("http://141.218.60.56/~jnz1568/getInfo.php?workbook=16_08.xlsx&amp;sheet=U0&amp;row=5307&amp;col=6&amp;number=3.3&amp;sourceID=14","3.3")</f>
        <v>3.3</v>
      </c>
      <c r="G5307" s="4" t="str">
        <f>HYPERLINK("http://141.218.60.56/~jnz1568/getInfo.php?workbook=16_08.xlsx&amp;sheet=U0&amp;row=5307&amp;col=7&amp;number=4.41e-05&amp;sourceID=14","4.41e-05")</f>
        <v>4.41e-05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HYPERLINK("http://141.218.60.56/~jnz1568/getInfo.php?workbook=16_08.xlsx&amp;sheet=U0&amp;row=5308&amp;col=6&amp;number=3.4&amp;sourceID=14","3.4")</f>
        <v>3.4</v>
      </c>
      <c r="G5308" s="4" t="str">
        <f>HYPERLINK("http://141.218.60.56/~jnz1568/getInfo.php?workbook=16_08.xlsx&amp;sheet=U0&amp;row=5308&amp;col=7&amp;number=4.41e-05&amp;sourceID=14","4.41e-05")</f>
        <v>4.41e-05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HYPERLINK("http://141.218.60.56/~jnz1568/getInfo.php?workbook=16_08.xlsx&amp;sheet=U0&amp;row=5309&amp;col=6&amp;number=3.5&amp;sourceID=14","3.5")</f>
        <v>3.5</v>
      </c>
      <c r="G5309" s="4" t="str">
        <f>HYPERLINK("http://141.218.60.56/~jnz1568/getInfo.php?workbook=16_08.xlsx&amp;sheet=U0&amp;row=5309&amp;col=7&amp;number=4.41e-05&amp;sourceID=14","4.41e-05")</f>
        <v>4.41e-05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HYPERLINK("http://141.218.60.56/~jnz1568/getInfo.php?workbook=16_08.xlsx&amp;sheet=U0&amp;row=5310&amp;col=6&amp;number=3.6&amp;sourceID=14","3.6")</f>
        <v>3.6</v>
      </c>
      <c r="G5310" s="4" t="str">
        <f>HYPERLINK("http://141.218.60.56/~jnz1568/getInfo.php?workbook=16_08.xlsx&amp;sheet=U0&amp;row=5310&amp;col=7&amp;number=4.4e-05&amp;sourceID=14","4.4e-05")</f>
        <v>4.4e-05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HYPERLINK("http://141.218.60.56/~jnz1568/getInfo.php?workbook=16_08.xlsx&amp;sheet=U0&amp;row=5311&amp;col=6&amp;number=3.7&amp;sourceID=14","3.7")</f>
        <v>3.7</v>
      </c>
      <c r="G5311" s="4" t="str">
        <f>HYPERLINK("http://141.218.60.56/~jnz1568/getInfo.php?workbook=16_08.xlsx&amp;sheet=U0&amp;row=5311&amp;col=7&amp;number=4.4e-05&amp;sourceID=14","4.4e-05")</f>
        <v>4.4e-05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HYPERLINK("http://141.218.60.56/~jnz1568/getInfo.php?workbook=16_08.xlsx&amp;sheet=U0&amp;row=5312&amp;col=6&amp;number=3.8&amp;sourceID=14","3.8")</f>
        <v>3.8</v>
      </c>
      <c r="G5312" s="4" t="str">
        <f>HYPERLINK("http://141.218.60.56/~jnz1568/getInfo.php?workbook=16_08.xlsx&amp;sheet=U0&amp;row=5312&amp;col=7&amp;number=4.4e-05&amp;sourceID=14","4.4e-05")</f>
        <v>4.4e-05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HYPERLINK("http://141.218.60.56/~jnz1568/getInfo.php?workbook=16_08.xlsx&amp;sheet=U0&amp;row=5313&amp;col=6&amp;number=3.9&amp;sourceID=14","3.9")</f>
        <v>3.9</v>
      </c>
      <c r="G5313" s="4" t="str">
        <f>HYPERLINK("http://141.218.60.56/~jnz1568/getInfo.php?workbook=16_08.xlsx&amp;sheet=U0&amp;row=5313&amp;col=7&amp;number=4.4e-05&amp;sourceID=14","4.4e-05")</f>
        <v>4.4e-05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HYPERLINK("http://141.218.60.56/~jnz1568/getInfo.php?workbook=16_08.xlsx&amp;sheet=U0&amp;row=5314&amp;col=6&amp;number=4&amp;sourceID=14","4")</f>
        <v>4</v>
      </c>
      <c r="G5314" s="4" t="str">
        <f>HYPERLINK("http://141.218.60.56/~jnz1568/getInfo.php?workbook=16_08.xlsx&amp;sheet=U0&amp;row=5314&amp;col=7&amp;number=4.4e-05&amp;sourceID=14","4.4e-05")</f>
        <v>4.4e-05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HYPERLINK("http://141.218.60.56/~jnz1568/getInfo.php?workbook=16_08.xlsx&amp;sheet=U0&amp;row=5315&amp;col=6&amp;number=4.1&amp;sourceID=14","4.1")</f>
        <v>4.1</v>
      </c>
      <c r="G5315" s="4" t="str">
        <f>HYPERLINK("http://141.218.60.56/~jnz1568/getInfo.php?workbook=16_08.xlsx&amp;sheet=U0&amp;row=5315&amp;col=7&amp;number=4.4e-05&amp;sourceID=14","4.4e-05")</f>
        <v>4.4e-05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HYPERLINK("http://141.218.60.56/~jnz1568/getInfo.php?workbook=16_08.xlsx&amp;sheet=U0&amp;row=5316&amp;col=6&amp;number=4.2&amp;sourceID=14","4.2")</f>
        <v>4.2</v>
      </c>
      <c r="G5316" s="4" t="str">
        <f>HYPERLINK("http://141.218.60.56/~jnz1568/getInfo.php?workbook=16_08.xlsx&amp;sheet=U0&amp;row=5316&amp;col=7&amp;number=4.39e-05&amp;sourceID=14","4.39e-05")</f>
        <v>4.39e-05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HYPERLINK("http://141.218.60.56/~jnz1568/getInfo.php?workbook=16_08.xlsx&amp;sheet=U0&amp;row=5317&amp;col=6&amp;number=4.3&amp;sourceID=14","4.3")</f>
        <v>4.3</v>
      </c>
      <c r="G5317" s="4" t="str">
        <f>HYPERLINK("http://141.218.60.56/~jnz1568/getInfo.php?workbook=16_08.xlsx&amp;sheet=U0&amp;row=5317&amp;col=7&amp;number=4.39e-05&amp;sourceID=14","4.39e-05")</f>
        <v>4.39e-05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HYPERLINK("http://141.218.60.56/~jnz1568/getInfo.php?workbook=16_08.xlsx&amp;sheet=U0&amp;row=5318&amp;col=6&amp;number=4.4&amp;sourceID=14","4.4")</f>
        <v>4.4</v>
      </c>
      <c r="G5318" s="4" t="str">
        <f>HYPERLINK("http://141.218.60.56/~jnz1568/getInfo.php?workbook=16_08.xlsx&amp;sheet=U0&amp;row=5318&amp;col=7&amp;number=4.38e-05&amp;sourceID=14","4.38e-05")</f>
        <v>4.38e-05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HYPERLINK("http://141.218.60.56/~jnz1568/getInfo.php?workbook=16_08.xlsx&amp;sheet=U0&amp;row=5319&amp;col=6&amp;number=4.5&amp;sourceID=14","4.5")</f>
        <v>4.5</v>
      </c>
      <c r="G5319" s="4" t="str">
        <f>HYPERLINK("http://141.218.60.56/~jnz1568/getInfo.php?workbook=16_08.xlsx&amp;sheet=U0&amp;row=5319&amp;col=7&amp;number=4.38e-05&amp;sourceID=14","4.38e-05")</f>
        <v>4.38e-05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HYPERLINK("http://141.218.60.56/~jnz1568/getInfo.php?workbook=16_08.xlsx&amp;sheet=U0&amp;row=5320&amp;col=6&amp;number=4.6&amp;sourceID=14","4.6")</f>
        <v>4.6</v>
      </c>
      <c r="G5320" s="4" t="str">
        <f>HYPERLINK("http://141.218.60.56/~jnz1568/getInfo.php?workbook=16_08.xlsx&amp;sheet=U0&amp;row=5320&amp;col=7&amp;number=4.37e-05&amp;sourceID=14","4.37e-05")</f>
        <v>4.37e-05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HYPERLINK("http://141.218.60.56/~jnz1568/getInfo.php?workbook=16_08.xlsx&amp;sheet=U0&amp;row=5321&amp;col=6&amp;number=4.7&amp;sourceID=14","4.7")</f>
        <v>4.7</v>
      </c>
      <c r="G5321" s="4" t="str">
        <f>HYPERLINK("http://141.218.60.56/~jnz1568/getInfo.php?workbook=16_08.xlsx&amp;sheet=U0&amp;row=5321&amp;col=7&amp;number=4.36e-05&amp;sourceID=14","4.36e-05")</f>
        <v>4.36e-05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HYPERLINK("http://141.218.60.56/~jnz1568/getInfo.php?workbook=16_08.xlsx&amp;sheet=U0&amp;row=5322&amp;col=6&amp;number=4.8&amp;sourceID=14","4.8")</f>
        <v>4.8</v>
      </c>
      <c r="G5322" s="4" t="str">
        <f>HYPERLINK("http://141.218.60.56/~jnz1568/getInfo.php?workbook=16_08.xlsx&amp;sheet=U0&amp;row=5322&amp;col=7&amp;number=4.35e-05&amp;sourceID=14","4.35e-05")</f>
        <v>4.35e-05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HYPERLINK("http://141.218.60.56/~jnz1568/getInfo.php?workbook=16_08.xlsx&amp;sheet=U0&amp;row=5323&amp;col=6&amp;number=4.9&amp;sourceID=14","4.9")</f>
        <v>4.9</v>
      </c>
      <c r="G5323" s="4" t="str">
        <f>HYPERLINK("http://141.218.60.56/~jnz1568/getInfo.php?workbook=16_08.xlsx&amp;sheet=U0&amp;row=5323&amp;col=7&amp;number=4.34e-05&amp;sourceID=14","4.34e-05")</f>
        <v>4.34e-05</v>
      </c>
    </row>
    <row r="5324" spans="1:7">
      <c r="A5324" s="3">
        <v>16</v>
      </c>
      <c r="B5324" s="3">
        <v>8</v>
      </c>
      <c r="C5324" s="3">
        <v>4</v>
      </c>
      <c r="D5324" s="3">
        <v>19</v>
      </c>
      <c r="E5324" s="3">
        <v>1</v>
      </c>
      <c r="F5324" s="4" t="str">
        <f>HYPERLINK("http://141.218.60.56/~jnz1568/getInfo.php?workbook=16_08.xlsx&amp;sheet=U0&amp;row=5324&amp;col=6&amp;number=3&amp;sourceID=14","3")</f>
        <v>3</v>
      </c>
      <c r="G5324" s="4" t="str">
        <f>HYPERLINK("http://141.218.60.56/~jnz1568/getInfo.php?workbook=16_08.xlsx&amp;sheet=U0&amp;row=5324&amp;col=7&amp;number=8.95e-05&amp;sourceID=14","8.95e-05")</f>
        <v>8.95e-05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HYPERLINK("http://141.218.60.56/~jnz1568/getInfo.php?workbook=16_08.xlsx&amp;sheet=U0&amp;row=5325&amp;col=6&amp;number=3.1&amp;sourceID=14","3.1")</f>
        <v>3.1</v>
      </c>
      <c r="G5325" s="4" t="str">
        <f>HYPERLINK("http://141.218.60.56/~jnz1568/getInfo.php?workbook=16_08.xlsx&amp;sheet=U0&amp;row=5325&amp;col=7&amp;number=8.95e-05&amp;sourceID=14","8.95e-05")</f>
        <v>8.95e-05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HYPERLINK("http://141.218.60.56/~jnz1568/getInfo.php?workbook=16_08.xlsx&amp;sheet=U0&amp;row=5326&amp;col=6&amp;number=3.2&amp;sourceID=14","3.2")</f>
        <v>3.2</v>
      </c>
      <c r="G5326" s="4" t="str">
        <f>HYPERLINK("http://141.218.60.56/~jnz1568/getInfo.php?workbook=16_08.xlsx&amp;sheet=U0&amp;row=5326&amp;col=7&amp;number=8.95e-05&amp;sourceID=14","8.95e-05")</f>
        <v>8.95e-05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HYPERLINK("http://141.218.60.56/~jnz1568/getInfo.php?workbook=16_08.xlsx&amp;sheet=U0&amp;row=5327&amp;col=6&amp;number=3.3&amp;sourceID=14","3.3")</f>
        <v>3.3</v>
      </c>
      <c r="G5327" s="4" t="str">
        <f>HYPERLINK("http://141.218.60.56/~jnz1568/getInfo.php?workbook=16_08.xlsx&amp;sheet=U0&amp;row=5327&amp;col=7&amp;number=8.95e-05&amp;sourceID=14","8.95e-05")</f>
        <v>8.95e-05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HYPERLINK("http://141.218.60.56/~jnz1568/getInfo.php?workbook=16_08.xlsx&amp;sheet=U0&amp;row=5328&amp;col=6&amp;number=3.4&amp;sourceID=14","3.4")</f>
        <v>3.4</v>
      </c>
      <c r="G5328" s="4" t="str">
        <f>HYPERLINK("http://141.218.60.56/~jnz1568/getInfo.php?workbook=16_08.xlsx&amp;sheet=U0&amp;row=5328&amp;col=7&amp;number=8.95e-05&amp;sourceID=14","8.95e-05")</f>
        <v>8.95e-05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HYPERLINK("http://141.218.60.56/~jnz1568/getInfo.php?workbook=16_08.xlsx&amp;sheet=U0&amp;row=5329&amp;col=6&amp;number=3.5&amp;sourceID=14","3.5")</f>
        <v>3.5</v>
      </c>
      <c r="G5329" s="4" t="str">
        <f>HYPERLINK("http://141.218.60.56/~jnz1568/getInfo.php?workbook=16_08.xlsx&amp;sheet=U0&amp;row=5329&amp;col=7&amp;number=8.94e-05&amp;sourceID=14","8.94e-05")</f>
        <v>8.94e-05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HYPERLINK("http://141.218.60.56/~jnz1568/getInfo.php?workbook=16_08.xlsx&amp;sheet=U0&amp;row=5330&amp;col=6&amp;number=3.6&amp;sourceID=14","3.6")</f>
        <v>3.6</v>
      </c>
      <c r="G5330" s="4" t="str">
        <f>HYPERLINK("http://141.218.60.56/~jnz1568/getInfo.php?workbook=16_08.xlsx&amp;sheet=U0&amp;row=5330&amp;col=7&amp;number=8.94e-05&amp;sourceID=14","8.94e-05")</f>
        <v>8.94e-05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HYPERLINK("http://141.218.60.56/~jnz1568/getInfo.php?workbook=16_08.xlsx&amp;sheet=U0&amp;row=5331&amp;col=6&amp;number=3.7&amp;sourceID=14","3.7")</f>
        <v>3.7</v>
      </c>
      <c r="G5331" s="4" t="str">
        <f>HYPERLINK("http://141.218.60.56/~jnz1568/getInfo.php?workbook=16_08.xlsx&amp;sheet=U0&amp;row=5331&amp;col=7&amp;number=8.94e-05&amp;sourceID=14","8.94e-05")</f>
        <v>8.94e-05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HYPERLINK("http://141.218.60.56/~jnz1568/getInfo.php?workbook=16_08.xlsx&amp;sheet=U0&amp;row=5332&amp;col=6&amp;number=3.8&amp;sourceID=14","3.8")</f>
        <v>3.8</v>
      </c>
      <c r="G5332" s="4" t="str">
        <f>HYPERLINK("http://141.218.60.56/~jnz1568/getInfo.php?workbook=16_08.xlsx&amp;sheet=U0&amp;row=5332&amp;col=7&amp;number=8.93e-05&amp;sourceID=14","8.93e-05")</f>
        <v>8.93e-05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HYPERLINK("http://141.218.60.56/~jnz1568/getInfo.php?workbook=16_08.xlsx&amp;sheet=U0&amp;row=5333&amp;col=6&amp;number=3.9&amp;sourceID=14","3.9")</f>
        <v>3.9</v>
      </c>
      <c r="G5333" s="4" t="str">
        <f>HYPERLINK("http://141.218.60.56/~jnz1568/getInfo.php?workbook=16_08.xlsx&amp;sheet=U0&amp;row=5333&amp;col=7&amp;number=8.93e-05&amp;sourceID=14","8.93e-05")</f>
        <v>8.93e-05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HYPERLINK("http://141.218.60.56/~jnz1568/getInfo.php?workbook=16_08.xlsx&amp;sheet=U0&amp;row=5334&amp;col=6&amp;number=4&amp;sourceID=14","4")</f>
        <v>4</v>
      </c>
      <c r="G5334" s="4" t="str">
        <f>HYPERLINK("http://141.218.60.56/~jnz1568/getInfo.php?workbook=16_08.xlsx&amp;sheet=U0&amp;row=5334&amp;col=7&amp;number=8.92e-05&amp;sourceID=14","8.92e-05")</f>
        <v>8.92e-05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HYPERLINK("http://141.218.60.56/~jnz1568/getInfo.php?workbook=16_08.xlsx&amp;sheet=U0&amp;row=5335&amp;col=6&amp;number=4.1&amp;sourceID=14","4.1")</f>
        <v>4.1</v>
      </c>
      <c r="G5335" s="4" t="str">
        <f>HYPERLINK("http://141.218.60.56/~jnz1568/getInfo.php?workbook=16_08.xlsx&amp;sheet=U0&amp;row=5335&amp;col=7&amp;number=8.91e-05&amp;sourceID=14","8.91e-05")</f>
        <v>8.91e-05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HYPERLINK("http://141.218.60.56/~jnz1568/getInfo.php?workbook=16_08.xlsx&amp;sheet=U0&amp;row=5336&amp;col=6&amp;number=4.2&amp;sourceID=14","4.2")</f>
        <v>4.2</v>
      </c>
      <c r="G5336" s="4" t="str">
        <f>HYPERLINK("http://141.218.60.56/~jnz1568/getInfo.php?workbook=16_08.xlsx&amp;sheet=U0&amp;row=5336&amp;col=7&amp;number=8.9e-05&amp;sourceID=14","8.9e-05")</f>
        <v>8.9e-05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HYPERLINK("http://141.218.60.56/~jnz1568/getInfo.php?workbook=16_08.xlsx&amp;sheet=U0&amp;row=5337&amp;col=6&amp;number=4.3&amp;sourceID=14","4.3")</f>
        <v>4.3</v>
      </c>
      <c r="G5337" s="4" t="str">
        <f>HYPERLINK("http://141.218.60.56/~jnz1568/getInfo.php?workbook=16_08.xlsx&amp;sheet=U0&amp;row=5337&amp;col=7&amp;number=8.89e-05&amp;sourceID=14","8.89e-05")</f>
        <v>8.89e-05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HYPERLINK("http://141.218.60.56/~jnz1568/getInfo.php?workbook=16_08.xlsx&amp;sheet=U0&amp;row=5338&amp;col=6&amp;number=4.4&amp;sourceID=14","4.4")</f>
        <v>4.4</v>
      </c>
      <c r="G5338" s="4" t="str">
        <f>HYPERLINK("http://141.218.60.56/~jnz1568/getInfo.php?workbook=16_08.xlsx&amp;sheet=U0&amp;row=5338&amp;col=7&amp;number=8.87e-05&amp;sourceID=14","8.87e-05")</f>
        <v>8.87e-05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HYPERLINK("http://141.218.60.56/~jnz1568/getInfo.php?workbook=16_08.xlsx&amp;sheet=U0&amp;row=5339&amp;col=6&amp;number=4.5&amp;sourceID=14","4.5")</f>
        <v>4.5</v>
      </c>
      <c r="G5339" s="4" t="str">
        <f>HYPERLINK("http://141.218.60.56/~jnz1568/getInfo.php?workbook=16_08.xlsx&amp;sheet=U0&amp;row=5339&amp;col=7&amp;number=8.85e-05&amp;sourceID=14","8.85e-05")</f>
        <v>8.85e-05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HYPERLINK("http://141.218.60.56/~jnz1568/getInfo.php?workbook=16_08.xlsx&amp;sheet=U0&amp;row=5340&amp;col=6&amp;number=4.6&amp;sourceID=14","4.6")</f>
        <v>4.6</v>
      </c>
      <c r="G5340" s="4" t="str">
        <f>HYPERLINK("http://141.218.60.56/~jnz1568/getInfo.php?workbook=16_08.xlsx&amp;sheet=U0&amp;row=5340&amp;col=7&amp;number=8.82e-05&amp;sourceID=14","8.82e-05")</f>
        <v>8.82e-05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HYPERLINK("http://141.218.60.56/~jnz1568/getInfo.php?workbook=16_08.xlsx&amp;sheet=U0&amp;row=5341&amp;col=6&amp;number=4.7&amp;sourceID=14","4.7")</f>
        <v>4.7</v>
      </c>
      <c r="G5341" s="4" t="str">
        <f>HYPERLINK("http://141.218.60.56/~jnz1568/getInfo.php?workbook=16_08.xlsx&amp;sheet=U0&amp;row=5341&amp;col=7&amp;number=8.78e-05&amp;sourceID=14","8.78e-05")</f>
        <v>8.78e-05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HYPERLINK("http://141.218.60.56/~jnz1568/getInfo.php?workbook=16_08.xlsx&amp;sheet=U0&amp;row=5342&amp;col=6&amp;number=4.8&amp;sourceID=14","4.8")</f>
        <v>4.8</v>
      </c>
      <c r="G5342" s="4" t="str">
        <f>HYPERLINK("http://141.218.60.56/~jnz1568/getInfo.php?workbook=16_08.xlsx&amp;sheet=U0&amp;row=5342&amp;col=7&amp;number=8.74e-05&amp;sourceID=14","8.74e-05")</f>
        <v>8.74e-05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HYPERLINK("http://141.218.60.56/~jnz1568/getInfo.php?workbook=16_08.xlsx&amp;sheet=U0&amp;row=5343&amp;col=6&amp;number=4.9&amp;sourceID=14","4.9")</f>
        <v>4.9</v>
      </c>
      <c r="G5343" s="4" t="str">
        <f>HYPERLINK("http://141.218.60.56/~jnz1568/getInfo.php?workbook=16_08.xlsx&amp;sheet=U0&amp;row=5343&amp;col=7&amp;number=8.69e-05&amp;sourceID=14","8.69e-05")</f>
        <v>8.69e-05</v>
      </c>
    </row>
    <row r="5344" spans="1:7">
      <c r="A5344" s="3">
        <v>16</v>
      </c>
      <c r="B5344" s="3">
        <v>8</v>
      </c>
      <c r="C5344" s="3">
        <v>4</v>
      </c>
      <c r="D5344" s="3">
        <v>20</v>
      </c>
      <c r="E5344" s="3">
        <v>1</v>
      </c>
      <c r="F5344" s="4" t="str">
        <f>HYPERLINK("http://141.218.60.56/~jnz1568/getInfo.php?workbook=16_08.xlsx&amp;sheet=U0&amp;row=5344&amp;col=6&amp;number=3&amp;sourceID=14","3")</f>
        <v>3</v>
      </c>
      <c r="G5344" s="4" t="str">
        <f>HYPERLINK("http://141.218.60.56/~jnz1568/getInfo.php?workbook=16_08.xlsx&amp;sheet=U0&amp;row=5344&amp;col=7&amp;number=0.00424&amp;sourceID=14","0.00424")</f>
        <v>0.00424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HYPERLINK("http://141.218.60.56/~jnz1568/getInfo.php?workbook=16_08.xlsx&amp;sheet=U0&amp;row=5345&amp;col=6&amp;number=3.1&amp;sourceID=14","3.1")</f>
        <v>3.1</v>
      </c>
      <c r="G5345" s="4" t="str">
        <f>HYPERLINK("http://141.218.60.56/~jnz1568/getInfo.php?workbook=16_08.xlsx&amp;sheet=U0&amp;row=5345&amp;col=7&amp;number=0.00424&amp;sourceID=14","0.00424")</f>
        <v>0.00424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HYPERLINK("http://141.218.60.56/~jnz1568/getInfo.php?workbook=16_08.xlsx&amp;sheet=U0&amp;row=5346&amp;col=6&amp;number=3.2&amp;sourceID=14","3.2")</f>
        <v>3.2</v>
      </c>
      <c r="G5346" s="4" t="str">
        <f>HYPERLINK("http://141.218.60.56/~jnz1568/getInfo.php?workbook=16_08.xlsx&amp;sheet=U0&amp;row=5346&amp;col=7&amp;number=0.00424&amp;sourceID=14","0.00424")</f>
        <v>0.00424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HYPERLINK("http://141.218.60.56/~jnz1568/getInfo.php?workbook=16_08.xlsx&amp;sheet=U0&amp;row=5347&amp;col=6&amp;number=3.3&amp;sourceID=14","3.3")</f>
        <v>3.3</v>
      </c>
      <c r="G5347" s="4" t="str">
        <f>HYPERLINK("http://141.218.60.56/~jnz1568/getInfo.php?workbook=16_08.xlsx&amp;sheet=U0&amp;row=5347&amp;col=7&amp;number=0.00424&amp;sourceID=14","0.00424")</f>
        <v>0.00424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HYPERLINK("http://141.218.60.56/~jnz1568/getInfo.php?workbook=16_08.xlsx&amp;sheet=U0&amp;row=5348&amp;col=6&amp;number=3.4&amp;sourceID=14","3.4")</f>
        <v>3.4</v>
      </c>
      <c r="G5348" s="4" t="str">
        <f>HYPERLINK("http://141.218.60.56/~jnz1568/getInfo.php?workbook=16_08.xlsx&amp;sheet=U0&amp;row=5348&amp;col=7&amp;number=0.00423&amp;sourceID=14","0.00423")</f>
        <v>0.00423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HYPERLINK("http://141.218.60.56/~jnz1568/getInfo.php?workbook=16_08.xlsx&amp;sheet=U0&amp;row=5349&amp;col=6&amp;number=3.5&amp;sourceID=14","3.5")</f>
        <v>3.5</v>
      </c>
      <c r="G5349" s="4" t="str">
        <f>HYPERLINK("http://141.218.60.56/~jnz1568/getInfo.php?workbook=16_08.xlsx&amp;sheet=U0&amp;row=5349&amp;col=7&amp;number=0.00423&amp;sourceID=14","0.00423")</f>
        <v>0.00423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HYPERLINK("http://141.218.60.56/~jnz1568/getInfo.php?workbook=16_08.xlsx&amp;sheet=U0&amp;row=5350&amp;col=6&amp;number=3.6&amp;sourceID=14","3.6")</f>
        <v>3.6</v>
      </c>
      <c r="G5350" s="4" t="str">
        <f>HYPERLINK("http://141.218.60.56/~jnz1568/getInfo.php?workbook=16_08.xlsx&amp;sheet=U0&amp;row=5350&amp;col=7&amp;number=0.00423&amp;sourceID=14","0.00423")</f>
        <v>0.00423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HYPERLINK("http://141.218.60.56/~jnz1568/getInfo.php?workbook=16_08.xlsx&amp;sheet=U0&amp;row=5351&amp;col=6&amp;number=3.7&amp;sourceID=14","3.7")</f>
        <v>3.7</v>
      </c>
      <c r="G5351" s="4" t="str">
        <f>HYPERLINK("http://141.218.60.56/~jnz1568/getInfo.php?workbook=16_08.xlsx&amp;sheet=U0&amp;row=5351&amp;col=7&amp;number=0.00423&amp;sourceID=14","0.00423")</f>
        <v>0.00423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HYPERLINK("http://141.218.60.56/~jnz1568/getInfo.php?workbook=16_08.xlsx&amp;sheet=U0&amp;row=5352&amp;col=6&amp;number=3.8&amp;sourceID=14","3.8")</f>
        <v>3.8</v>
      </c>
      <c r="G5352" s="4" t="str">
        <f>HYPERLINK("http://141.218.60.56/~jnz1568/getInfo.php?workbook=16_08.xlsx&amp;sheet=U0&amp;row=5352&amp;col=7&amp;number=0.00422&amp;sourceID=14","0.00422")</f>
        <v>0.00422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HYPERLINK("http://141.218.60.56/~jnz1568/getInfo.php?workbook=16_08.xlsx&amp;sheet=U0&amp;row=5353&amp;col=6&amp;number=3.9&amp;sourceID=14","3.9")</f>
        <v>3.9</v>
      </c>
      <c r="G5353" s="4" t="str">
        <f>HYPERLINK("http://141.218.60.56/~jnz1568/getInfo.php?workbook=16_08.xlsx&amp;sheet=U0&amp;row=5353&amp;col=7&amp;number=0.00422&amp;sourceID=14","0.00422")</f>
        <v>0.00422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HYPERLINK("http://141.218.60.56/~jnz1568/getInfo.php?workbook=16_08.xlsx&amp;sheet=U0&amp;row=5354&amp;col=6&amp;number=4&amp;sourceID=14","4")</f>
        <v>4</v>
      </c>
      <c r="G5354" s="4" t="str">
        <f>HYPERLINK("http://141.218.60.56/~jnz1568/getInfo.php?workbook=16_08.xlsx&amp;sheet=U0&amp;row=5354&amp;col=7&amp;number=0.00421&amp;sourceID=14","0.00421")</f>
        <v>0.00421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HYPERLINK("http://141.218.60.56/~jnz1568/getInfo.php?workbook=16_08.xlsx&amp;sheet=U0&amp;row=5355&amp;col=6&amp;number=4.1&amp;sourceID=14","4.1")</f>
        <v>4.1</v>
      </c>
      <c r="G5355" s="4" t="str">
        <f>HYPERLINK("http://141.218.60.56/~jnz1568/getInfo.php?workbook=16_08.xlsx&amp;sheet=U0&amp;row=5355&amp;col=7&amp;number=0.0042&amp;sourceID=14","0.0042")</f>
        <v>0.0042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HYPERLINK("http://141.218.60.56/~jnz1568/getInfo.php?workbook=16_08.xlsx&amp;sheet=U0&amp;row=5356&amp;col=6&amp;number=4.2&amp;sourceID=14","4.2")</f>
        <v>4.2</v>
      </c>
      <c r="G5356" s="4" t="str">
        <f>HYPERLINK("http://141.218.60.56/~jnz1568/getInfo.php?workbook=16_08.xlsx&amp;sheet=U0&amp;row=5356&amp;col=7&amp;number=0.00419&amp;sourceID=14","0.00419")</f>
        <v>0.00419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HYPERLINK("http://141.218.60.56/~jnz1568/getInfo.php?workbook=16_08.xlsx&amp;sheet=U0&amp;row=5357&amp;col=6&amp;number=4.3&amp;sourceID=14","4.3")</f>
        <v>4.3</v>
      </c>
      <c r="G5357" s="4" t="str">
        <f>HYPERLINK("http://141.218.60.56/~jnz1568/getInfo.php?workbook=16_08.xlsx&amp;sheet=U0&amp;row=5357&amp;col=7&amp;number=0.00418&amp;sourceID=14","0.00418")</f>
        <v>0.00418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HYPERLINK("http://141.218.60.56/~jnz1568/getInfo.php?workbook=16_08.xlsx&amp;sheet=U0&amp;row=5358&amp;col=6&amp;number=4.4&amp;sourceID=14","4.4")</f>
        <v>4.4</v>
      </c>
      <c r="G5358" s="4" t="str">
        <f>HYPERLINK("http://141.218.60.56/~jnz1568/getInfo.php?workbook=16_08.xlsx&amp;sheet=U0&amp;row=5358&amp;col=7&amp;number=0.00417&amp;sourceID=14","0.00417")</f>
        <v>0.00417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HYPERLINK("http://141.218.60.56/~jnz1568/getInfo.php?workbook=16_08.xlsx&amp;sheet=U0&amp;row=5359&amp;col=6&amp;number=4.5&amp;sourceID=14","4.5")</f>
        <v>4.5</v>
      </c>
      <c r="G5359" s="4" t="str">
        <f>HYPERLINK("http://141.218.60.56/~jnz1568/getInfo.php?workbook=16_08.xlsx&amp;sheet=U0&amp;row=5359&amp;col=7&amp;number=0.00415&amp;sourceID=14","0.00415")</f>
        <v>0.00415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HYPERLINK("http://141.218.60.56/~jnz1568/getInfo.php?workbook=16_08.xlsx&amp;sheet=U0&amp;row=5360&amp;col=6&amp;number=4.6&amp;sourceID=14","4.6")</f>
        <v>4.6</v>
      </c>
      <c r="G5360" s="4" t="str">
        <f>HYPERLINK("http://141.218.60.56/~jnz1568/getInfo.php?workbook=16_08.xlsx&amp;sheet=U0&amp;row=5360&amp;col=7&amp;number=0.00413&amp;sourceID=14","0.00413")</f>
        <v>0.00413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HYPERLINK("http://141.218.60.56/~jnz1568/getInfo.php?workbook=16_08.xlsx&amp;sheet=U0&amp;row=5361&amp;col=6&amp;number=4.7&amp;sourceID=14","4.7")</f>
        <v>4.7</v>
      </c>
      <c r="G5361" s="4" t="str">
        <f>HYPERLINK("http://141.218.60.56/~jnz1568/getInfo.php?workbook=16_08.xlsx&amp;sheet=U0&amp;row=5361&amp;col=7&amp;number=0.0041&amp;sourceID=14","0.0041")</f>
        <v>0.0041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HYPERLINK("http://141.218.60.56/~jnz1568/getInfo.php?workbook=16_08.xlsx&amp;sheet=U0&amp;row=5362&amp;col=6&amp;number=4.8&amp;sourceID=14","4.8")</f>
        <v>4.8</v>
      </c>
      <c r="G5362" s="4" t="str">
        <f>HYPERLINK("http://141.218.60.56/~jnz1568/getInfo.php?workbook=16_08.xlsx&amp;sheet=U0&amp;row=5362&amp;col=7&amp;number=0.00406&amp;sourceID=14","0.00406")</f>
        <v>0.00406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HYPERLINK("http://141.218.60.56/~jnz1568/getInfo.php?workbook=16_08.xlsx&amp;sheet=U0&amp;row=5363&amp;col=6&amp;number=4.9&amp;sourceID=14","4.9")</f>
        <v>4.9</v>
      </c>
      <c r="G5363" s="4" t="str">
        <f>HYPERLINK("http://141.218.60.56/~jnz1568/getInfo.php?workbook=16_08.xlsx&amp;sheet=U0&amp;row=5363&amp;col=7&amp;number=0.00401&amp;sourceID=14","0.00401")</f>
        <v>0.00401</v>
      </c>
    </row>
    <row r="5364" spans="1:7">
      <c r="A5364" s="3">
        <v>16</v>
      </c>
      <c r="B5364" s="3">
        <v>8</v>
      </c>
      <c r="C5364" s="3">
        <v>4</v>
      </c>
      <c r="D5364" s="3">
        <v>21</v>
      </c>
      <c r="E5364" s="3">
        <v>1</v>
      </c>
      <c r="F5364" s="4" t="str">
        <f>HYPERLINK("http://141.218.60.56/~jnz1568/getInfo.php?workbook=16_08.xlsx&amp;sheet=U0&amp;row=5364&amp;col=6&amp;number=3&amp;sourceID=14","3")</f>
        <v>3</v>
      </c>
      <c r="G5364" s="4" t="str">
        <f>HYPERLINK("http://141.218.60.56/~jnz1568/getInfo.php?workbook=16_08.xlsx&amp;sheet=U0&amp;row=5364&amp;col=7&amp;number=0.00432&amp;sourceID=14","0.00432")</f>
        <v>0.00432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HYPERLINK("http://141.218.60.56/~jnz1568/getInfo.php?workbook=16_08.xlsx&amp;sheet=U0&amp;row=5365&amp;col=6&amp;number=3.1&amp;sourceID=14","3.1")</f>
        <v>3.1</v>
      </c>
      <c r="G5365" s="4" t="str">
        <f>HYPERLINK("http://141.218.60.56/~jnz1568/getInfo.php?workbook=16_08.xlsx&amp;sheet=U0&amp;row=5365&amp;col=7&amp;number=0.00432&amp;sourceID=14","0.00432")</f>
        <v>0.00432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HYPERLINK("http://141.218.60.56/~jnz1568/getInfo.php?workbook=16_08.xlsx&amp;sheet=U0&amp;row=5366&amp;col=6&amp;number=3.2&amp;sourceID=14","3.2")</f>
        <v>3.2</v>
      </c>
      <c r="G5366" s="4" t="str">
        <f>HYPERLINK("http://141.218.60.56/~jnz1568/getInfo.php?workbook=16_08.xlsx&amp;sheet=U0&amp;row=5366&amp;col=7&amp;number=0.00432&amp;sourceID=14","0.00432")</f>
        <v>0.00432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HYPERLINK("http://141.218.60.56/~jnz1568/getInfo.php?workbook=16_08.xlsx&amp;sheet=U0&amp;row=5367&amp;col=6&amp;number=3.3&amp;sourceID=14","3.3")</f>
        <v>3.3</v>
      </c>
      <c r="G5367" s="4" t="str">
        <f>HYPERLINK("http://141.218.60.56/~jnz1568/getInfo.php?workbook=16_08.xlsx&amp;sheet=U0&amp;row=5367&amp;col=7&amp;number=0.00432&amp;sourceID=14","0.00432")</f>
        <v>0.00432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HYPERLINK("http://141.218.60.56/~jnz1568/getInfo.php?workbook=16_08.xlsx&amp;sheet=U0&amp;row=5368&amp;col=6&amp;number=3.4&amp;sourceID=14","3.4")</f>
        <v>3.4</v>
      </c>
      <c r="G5368" s="4" t="str">
        <f>HYPERLINK("http://141.218.60.56/~jnz1568/getInfo.php?workbook=16_08.xlsx&amp;sheet=U0&amp;row=5368&amp;col=7&amp;number=0.00432&amp;sourceID=14","0.00432")</f>
        <v>0.00432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HYPERLINK("http://141.218.60.56/~jnz1568/getInfo.php?workbook=16_08.xlsx&amp;sheet=U0&amp;row=5369&amp;col=6&amp;number=3.5&amp;sourceID=14","3.5")</f>
        <v>3.5</v>
      </c>
      <c r="G5369" s="4" t="str">
        <f>HYPERLINK("http://141.218.60.56/~jnz1568/getInfo.php?workbook=16_08.xlsx&amp;sheet=U0&amp;row=5369&amp;col=7&amp;number=0.00432&amp;sourceID=14","0.00432")</f>
        <v>0.00432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HYPERLINK("http://141.218.60.56/~jnz1568/getInfo.php?workbook=16_08.xlsx&amp;sheet=U0&amp;row=5370&amp;col=6&amp;number=3.6&amp;sourceID=14","3.6")</f>
        <v>3.6</v>
      </c>
      <c r="G5370" s="4" t="str">
        <f>HYPERLINK("http://141.218.60.56/~jnz1568/getInfo.php?workbook=16_08.xlsx&amp;sheet=U0&amp;row=5370&amp;col=7&amp;number=0.00432&amp;sourceID=14","0.00432")</f>
        <v>0.00432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HYPERLINK("http://141.218.60.56/~jnz1568/getInfo.php?workbook=16_08.xlsx&amp;sheet=U0&amp;row=5371&amp;col=6&amp;number=3.7&amp;sourceID=14","3.7")</f>
        <v>3.7</v>
      </c>
      <c r="G5371" s="4" t="str">
        <f>HYPERLINK("http://141.218.60.56/~jnz1568/getInfo.php?workbook=16_08.xlsx&amp;sheet=U0&amp;row=5371&amp;col=7&amp;number=0.00432&amp;sourceID=14","0.00432")</f>
        <v>0.00432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HYPERLINK("http://141.218.60.56/~jnz1568/getInfo.php?workbook=16_08.xlsx&amp;sheet=U0&amp;row=5372&amp;col=6&amp;number=3.8&amp;sourceID=14","3.8")</f>
        <v>3.8</v>
      </c>
      <c r="G5372" s="4" t="str">
        <f>HYPERLINK("http://141.218.60.56/~jnz1568/getInfo.php?workbook=16_08.xlsx&amp;sheet=U0&amp;row=5372&amp;col=7&amp;number=0.00432&amp;sourceID=14","0.00432")</f>
        <v>0.00432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HYPERLINK("http://141.218.60.56/~jnz1568/getInfo.php?workbook=16_08.xlsx&amp;sheet=U0&amp;row=5373&amp;col=6&amp;number=3.9&amp;sourceID=14","3.9")</f>
        <v>3.9</v>
      </c>
      <c r="G5373" s="4" t="str">
        <f>HYPERLINK("http://141.218.60.56/~jnz1568/getInfo.php?workbook=16_08.xlsx&amp;sheet=U0&amp;row=5373&amp;col=7&amp;number=0.00431&amp;sourceID=14","0.00431")</f>
        <v>0.00431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HYPERLINK("http://141.218.60.56/~jnz1568/getInfo.php?workbook=16_08.xlsx&amp;sheet=U0&amp;row=5374&amp;col=6&amp;number=4&amp;sourceID=14","4")</f>
        <v>4</v>
      </c>
      <c r="G5374" s="4" t="str">
        <f>HYPERLINK("http://141.218.60.56/~jnz1568/getInfo.php?workbook=16_08.xlsx&amp;sheet=U0&amp;row=5374&amp;col=7&amp;number=0.00431&amp;sourceID=14","0.00431")</f>
        <v>0.00431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HYPERLINK("http://141.218.60.56/~jnz1568/getInfo.php?workbook=16_08.xlsx&amp;sheet=U0&amp;row=5375&amp;col=6&amp;number=4.1&amp;sourceID=14","4.1")</f>
        <v>4.1</v>
      </c>
      <c r="G5375" s="4" t="str">
        <f>HYPERLINK("http://141.218.60.56/~jnz1568/getInfo.php?workbook=16_08.xlsx&amp;sheet=U0&amp;row=5375&amp;col=7&amp;number=0.00431&amp;sourceID=14","0.00431")</f>
        <v>0.00431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HYPERLINK("http://141.218.60.56/~jnz1568/getInfo.php?workbook=16_08.xlsx&amp;sheet=U0&amp;row=5376&amp;col=6&amp;number=4.2&amp;sourceID=14","4.2")</f>
        <v>4.2</v>
      </c>
      <c r="G5376" s="4" t="str">
        <f>HYPERLINK("http://141.218.60.56/~jnz1568/getInfo.php?workbook=16_08.xlsx&amp;sheet=U0&amp;row=5376&amp;col=7&amp;number=0.00431&amp;sourceID=14","0.00431")</f>
        <v>0.00431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HYPERLINK("http://141.218.60.56/~jnz1568/getInfo.php?workbook=16_08.xlsx&amp;sheet=U0&amp;row=5377&amp;col=6&amp;number=4.3&amp;sourceID=14","4.3")</f>
        <v>4.3</v>
      </c>
      <c r="G5377" s="4" t="str">
        <f>HYPERLINK("http://141.218.60.56/~jnz1568/getInfo.php?workbook=16_08.xlsx&amp;sheet=U0&amp;row=5377&amp;col=7&amp;number=0.0043&amp;sourceID=14","0.0043")</f>
        <v>0.0043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HYPERLINK("http://141.218.60.56/~jnz1568/getInfo.php?workbook=16_08.xlsx&amp;sheet=U0&amp;row=5378&amp;col=6&amp;number=4.4&amp;sourceID=14","4.4")</f>
        <v>4.4</v>
      </c>
      <c r="G5378" s="4" t="str">
        <f>HYPERLINK("http://141.218.60.56/~jnz1568/getInfo.php?workbook=16_08.xlsx&amp;sheet=U0&amp;row=5378&amp;col=7&amp;number=0.0043&amp;sourceID=14","0.0043")</f>
        <v>0.0043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HYPERLINK("http://141.218.60.56/~jnz1568/getInfo.php?workbook=16_08.xlsx&amp;sheet=U0&amp;row=5379&amp;col=6&amp;number=4.5&amp;sourceID=14","4.5")</f>
        <v>4.5</v>
      </c>
      <c r="G5379" s="4" t="str">
        <f>HYPERLINK("http://141.218.60.56/~jnz1568/getInfo.php?workbook=16_08.xlsx&amp;sheet=U0&amp;row=5379&amp;col=7&amp;number=0.00429&amp;sourceID=14","0.00429")</f>
        <v>0.00429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HYPERLINK("http://141.218.60.56/~jnz1568/getInfo.php?workbook=16_08.xlsx&amp;sheet=U0&amp;row=5380&amp;col=6&amp;number=4.6&amp;sourceID=14","4.6")</f>
        <v>4.6</v>
      </c>
      <c r="G5380" s="4" t="str">
        <f>HYPERLINK("http://141.218.60.56/~jnz1568/getInfo.php?workbook=16_08.xlsx&amp;sheet=U0&amp;row=5380&amp;col=7&amp;number=0.00428&amp;sourceID=14","0.00428")</f>
        <v>0.00428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HYPERLINK("http://141.218.60.56/~jnz1568/getInfo.php?workbook=16_08.xlsx&amp;sheet=U0&amp;row=5381&amp;col=6&amp;number=4.7&amp;sourceID=14","4.7")</f>
        <v>4.7</v>
      </c>
      <c r="G5381" s="4" t="str">
        <f>HYPERLINK("http://141.218.60.56/~jnz1568/getInfo.php?workbook=16_08.xlsx&amp;sheet=U0&amp;row=5381&amp;col=7&amp;number=0.00427&amp;sourceID=14","0.00427")</f>
        <v>0.00427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HYPERLINK("http://141.218.60.56/~jnz1568/getInfo.php?workbook=16_08.xlsx&amp;sheet=U0&amp;row=5382&amp;col=6&amp;number=4.8&amp;sourceID=14","4.8")</f>
        <v>4.8</v>
      </c>
      <c r="G5382" s="4" t="str">
        <f>HYPERLINK("http://141.218.60.56/~jnz1568/getInfo.php?workbook=16_08.xlsx&amp;sheet=U0&amp;row=5382&amp;col=7&amp;number=0.00426&amp;sourceID=14","0.00426")</f>
        <v>0.00426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HYPERLINK("http://141.218.60.56/~jnz1568/getInfo.php?workbook=16_08.xlsx&amp;sheet=U0&amp;row=5383&amp;col=6&amp;number=4.9&amp;sourceID=14","4.9")</f>
        <v>4.9</v>
      </c>
      <c r="G5383" s="4" t="str">
        <f>HYPERLINK("http://141.218.60.56/~jnz1568/getInfo.php?workbook=16_08.xlsx&amp;sheet=U0&amp;row=5383&amp;col=7&amp;number=0.00424&amp;sourceID=14","0.00424")</f>
        <v>0.00424</v>
      </c>
    </row>
    <row r="5384" spans="1:7">
      <c r="A5384" s="3">
        <v>16</v>
      </c>
      <c r="B5384" s="3">
        <v>8</v>
      </c>
      <c r="C5384" s="3">
        <v>4</v>
      </c>
      <c r="D5384" s="3">
        <v>22</v>
      </c>
      <c r="E5384" s="3">
        <v>1</v>
      </c>
      <c r="F5384" s="4" t="str">
        <f>HYPERLINK("http://141.218.60.56/~jnz1568/getInfo.php?workbook=16_08.xlsx&amp;sheet=U0&amp;row=5384&amp;col=6&amp;number=3&amp;sourceID=14","3")</f>
        <v>3</v>
      </c>
      <c r="G5384" s="4" t="str">
        <f>HYPERLINK("http://141.218.60.56/~jnz1568/getInfo.php?workbook=16_08.xlsx&amp;sheet=U0&amp;row=5384&amp;col=7&amp;number=0.000809&amp;sourceID=14","0.000809")</f>
        <v>0.000809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HYPERLINK("http://141.218.60.56/~jnz1568/getInfo.php?workbook=16_08.xlsx&amp;sheet=U0&amp;row=5385&amp;col=6&amp;number=3.1&amp;sourceID=14","3.1")</f>
        <v>3.1</v>
      </c>
      <c r="G5385" s="4" t="str">
        <f>HYPERLINK("http://141.218.60.56/~jnz1568/getInfo.php?workbook=16_08.xlsx&amp;sheet=U0&amp;row=5385&amp;col=7&amp;number=0.000809&amp;sourceID=14","0.000809")</f>
        <v>0.000809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HYPERLINK("http://141.218.60.56/~jnz1568/getInfo.php?workbook=16_08.xlsx&amp;sheet=U0&amp;row=5386&amp;col=6&amp;number=3.2&amp;sourceID=14","3.2")</f>
        <v>3.2</v>
      </c>
      <c r="G5386" s="4" t="str">
        <f>HYPERLINK("http://141.218.60.56/~jnz1568/getInfo.php?workbook=16_08.xlsx&amp;sheet=U0&amp;row=5386&amp;col=7&amp;number=0.000808&amp;sourceID=14","0.000808")</f>
        <v>0.000808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HYPERLINK("http://141.218.60.56/~jnz1568/getInfo.php?workbook=16_08.xlsx&amp;sheet=U0&amp;row=5387&amp;col=6&amp;number=3.3&amp;sourceID=14","3.3")</f>
        <v>3.3</v>
      </c>
      <c r="G5387" s="4" t="str">
        <f>HYPERLINK("http://141.218.60.56/~jnz1568/getInfo.php?workbook=16_08.xlsx&amp;sheet=U0&amp;row=5387&amp;col=7&amp;number=0.000808&amp;sourceID=14","0.000808")</f>
        <v>0.000808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HYPERLINK("http://141.218.60.56/~jnz1568/getInfo.php?workbook=16_08.xlsx&amp;sheet=U0&amp;row=5388&amp;col=6&amp;number=3.4&amp;sourceID=14","3.4")</f>
        <v>3.4</v>
      </c>
      <c r="G5388" s="4" t="str">
        <f>HYPERLINK("http://141.218.60.56/~jnz1568/getInfo.php?workbook=16_08.xlsx&amp;sheet=U0&amp;row=5388&amp;col=7&amp;number=0.000808&amp;sourceID=14","0.000808")</f>
        <v>0.000808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HYPERLINK("http://141.218.60.56/~jnz1568/getInfo.php?workbook=16_08.xlsx&amp;sheet=U0&amp;row=5389&amp;col=6&amp;number=3.5&amp;sourceID=14","3.5")</f>
        <v>3.5</v>
      </c>
      <c r="G5389" s="4" t="str">
        <f>HYPERLINK("http://141.218.60.56/~jnz1568/getInfo.php?workbook=16_08.xlsx&amp;sheet=U0&amp;row=5389&amp;col=7&amp;number=0.000808&amp;sourceID=14","0.000808")</f>
        <v>0.000808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HYPERLINK("http://141.218.60.56/~jnz1568/getInfo.php?workbook=16_08.xlsx&amp;sheet=U0&amp;row=5390&amp;col=6&amp;number=3.6&amp;sourceID=14","3.6")</f>
        <v>3.6</v>
      </c>
      <c r="G5390" s="4" t="str">
        <f>HYPERLINK("http://141.218.60.56/~jnz1568/getInfo.php?workbook=16_08.xlsx&amp;sheet=U0&amp;row=5390&amp;col=7&amp;number=0.000808&amp;sourceID=14","0.000808")</f>
        <v>0.000808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HYPERLINK("http://141.218.60.56/~jnz1568/getInfo.php?workbook=16_08.xlsx&amp;sheet=U0&amp;row=5391&amp;col=6&amp;number=3.7&amp;sourceID=14","3.7")</f>
        <v>3.7</v>
      </c>
      <c r="G5391" s="4" t="str">
        <f>HYPERLINK("http://141.218.60.56/~jnz1568/getInfo.php?workbook=16_08.xlsx&amp;sheet=U0&amp;row=5391&amp;col=7&amp;number=0.000808&amp;sourceID=14","0.000808")</f>
        <v>0.000808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HYPERLINK("http://141.218.60.56/~jnz1568/getInfo.php?workbook=16_08.xlsx&amp;sheet=U0&amp;row=5392&amp;col=6&amp;number=3.8&amp;sourceID=14","3.8")</f>
        <v>3.8</v>
      </c>
      <c r="G5392" s="4" t="str">
        <f>HYPERLINK("http://141.218.60.56/~jnz1568/getInfo.php?workbook=16_08.xlsx&amp;sheet=U0&amp;row=5392&amp;col=7&amp;number=0.000808&amp;sourceID=14","0.000808")</f>
        <v>0.000808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HYPERLINK("http://141.218.60.56/~jnz1568/getInfo.php?workbook=16_08.xlsx&amp;sheet=U0&amp;row=5393&amp;col=6&amp;number=3.9&amp;sourceID=14","3.9")</f>
        <v>3.9</v>
      </c>
      <c r="G5393" s="4" t="str">
        <f>HYPERLINK("http://141.218.60.56/~jnz1568/getInfo.php?workbook=16_08.xlsx&amp;sheet=U0&amp;row=5393&amp;col=7&amp;number=0.000807&amp;sourceID=14","0.000807")</f>
        <v>0.000807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HYPERLINK("http://141.218.60.56/~jnz1568/getInfo.php?workbook=16_08.xlsx&amp;sheet=U0&amp;row=5394&amp;col=6&amp;number=4&amp;sourceID=14","4")</f>
        <v>4</v>
      </c>
      <c r="G5394" s="4" t="str">
        <f>HYPERLINK("http://141.218.60.56/~jnz1568/getInfo.php?workbook=16_08.xlsx&amp;sheet=U0&amp;row=5394&amp;col=7&amp;number=0.000807&amp;sourceID=14","0.000807")</f>
        <v>0.000807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HYPERLINK("http://141.218.60.56/~jnz1568/getInfo.php?workbook=16_08.xlsx&amp;sheet=U0&amp;row=5395&amp;col=6&amp;number=4.1&amp;sourceID=14","4.1")</f>
        <v>4.1</v>
      </c>
      <c r="G5395" s="4" t="str">
        <f>HYPERLINK("http://141.218.60.56/~jnz1568/getInfo.php?workbook=16_08.xlsx&amp;sheet=U0&amp;row=5395&amp;col=7&amp;number=0.000806&amp;sourceID=14","0.000806")</f>
        <v>0.000806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HYPERLINK("http://141.218.60.56/~jnz1568/getInfo.php?workbook=16_08.xlsx&amp;sheet=U0&amp;row=5396&amp;col=6&amp;number=4.2&amp;sourceID=14","4.2")</f>
        <v>4.2</v>
      </c>
      <c r="G5396" s="4" t="str">
        <f>HYPERLINK("http://141.218.60.56/~jnz1568/getInfo.php?workbook=16_08.xlsx&amp;sheet=U0&amp;row=5396&amp;col=7&amp;number=0.000806&amp;sourceID=14","0.000806")</f>
        <v>0.000806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HYPERLINK("http://141.218.60.56/~jnz1568/getInfo.php?workbook=16_08.xlsx&amp;sheet=U0&amp;row=5397&amp;col=6&amp;number=4.3&amp;sourceID=14","4.3")</f>
        <v>4.3</v>
      </c>
      <c r="G5397" s="4" t="str">
        <f>HYPERLINK("http://141.218.60.56/~jnz1568/getInfo.php?workbook=16_08.xlsx&amp;sheet=U0&amp;row=5397&amp;col=7&amp;number=0.000805&amp;sourceID=14","0.000805")</f>
        <v>0.000805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HYPERLINK("http://141.218.60.56/~jnz1568/getInfo.php?workbook=16_08.xlsx&amp;sheet=U0&amp;row=5398&amp;col=6&amp;number=4.4&amp;sourceID=14","4.4")</f>
        <v>4.4</v>
      </c>
      <c r="G5398" s="4" t="str">
        <f>HYPERLINK("http://141.218.60.56/~jnz1568/getInfo.php?workbook=16_08.xlsx&amp;sheet=U0&amp;row=5398&amp;col=7&amp;number=0.000804&amp;sourceID=14","0.000804")</f>
        <v>0.000804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HYPERLINK("http://141.218.60.56/~jnz1568/getInfo.php?workbook=16_08.xlsx&amp;sheet=U0&amp;row=5399&amp;col=6&amp;number=4.5&amp;sourceID=14","4.5")</f>
        <v>4.5</v>
      </c>
      <c r="G5399" s="4" t="str">
        <f>HYPERLINK("http://141.218.60.56/~jnz1568/getInfo.php?workbook=16_08.xlsx&amp;sheet=U0&amp;row=5399&amp;col=7&amp;number=0.000802&amp;sourceID=14","0.000802")</f>
        <v>0.000802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HYPERLINK("http://141.218.60.56/~jnz1568/getInfo.php?workbook=16_08.xlsx&amp;sheet=U0&amp;row=5400&amp;col=6&amp;number=4.6&amp;sourceID=14","4.6")</f>
        <v>4.6</v>
      </c>
      <c r="G5400" s="4" t="str">
        <f>HYPERLINK("http://141.218.60.56/~jnz1568/getInfo.php?workbook=16_08.xlsx&amp;sheet=U0&amp;row=5400&amp;col=7&amp;number=0.000801&amp;sourceID=14","0.000801")</f>
        <v>0.000801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HYPERLINK("http://141.218.60.56/~jnz1568/getInfo.php?workbook=16_08.xlsx&amp;sheet=U0&amp;row=5401&amp;col=6&amp;number=4.7&amp;sourceID=14","4.7")</f>
        <v>4.7</v>
      </c>
      <c r="G5401" s="4" t="str">
        <f>HYPERLINK("http://141.218.60.56/~jnz1568/getInfo.php?workbook=16_08.xlsx&amp;sheet=U0&amp;row=5401&amp;col=7&amp;number=0.000799&amp;sourceID=14","0.000799")</f>
        <v>0.000799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HYPERLINK("http://141.218.60.56/~jnz1568/getInfo.php?workbook=16_08.xlsx&amp;sheet=U0&amp;row=5402&amp;col=6&amp;number=4.8&amp;sourceID=14","4.8")</f>
        <v>4.8</v>
      </c>
      <c r="G5402" s="4" t="str">
        <f>HYPERLINK("http://141.218.60.56/~jnz1568/getInfo.php?workbook=16_08.xlsx&amp;sheet=U0&amp;row=5402&amp;col=7&amp;number=0.000796&amp;sourceID=14","0.000796")</f>
        <v>0.000796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HYPERLINK("http://141.218.60.56/~jnz1568/getInfo.php?workbook=16_08.xlsx&amp;sheet=U0&amp;row=5403&amp;col=6&amp;number=4.9&amp;sourceID=14","4.9")</f>
        <v>4.9</v>
      </c>
      <c r="G5403" s="4" t="str">
        <f>HYPERLINK("http://141.218.60.56/~jnz1568/getInfo.php?workbook=16_08.xlsx&amp;sheet=U0&amp;row=5403&amp;col=7&amp;number=0.000793&amp;sourceID=14","0.000793")</f>
        <v>0.000793</v>
      </c>
    </row>
    <row r="5404" spans="1:7">
      <c r="A5404" s="3">
        <v>16</v>
      </c>
      <c r="B5404" s="3">
        <v>8</v>
      </c>
      <c r="C5404" s="3">
        <v>4</v>
      </c>
      <c r="D5404" s="3">
        <v>23</v>
      </c>
      <c r="E5404" s="3">
        <v>1</v>
      </c>
      <c r="F5404" s="4" t="str">
        <f>HYPERLINK("http://141.218.60.56/~jnz1568/getInfo.php?workbook=16_08.xlsx&amp;sheet=U0&amp;row=5404&amp;col=6&amp;number=3&amp;sourceID=14","3")</f>
        <v>3</v>
      </c>
      <c r="G5404" s="4" t="str">
        <f>HYPERLINK("http://141.218.60.56/~jnz1568/getInfo.php?workbook=16_08.xlsx&amp;sheet=U0&amp;row=5404&amp;col=7&amp;number=0.00133&amp;sourceID=14","0.00133")</f>
        <v>0.00133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HYPERLINK("http://141.218.60.56/~jnz1568/getInfo.php?workbook=16_08.xlsx&amp;sheet=U0&amp;row=5405&amp;col=6&amp;number=3.1&amp;sourceID=14","3.1")</f>
        <v>3.1</v>
      </c>
      <c r="G5405" s="4" t="str">
        <f>HYPERLINK("http://141.218.60.56/~jnz1568/getInfo.php?workbook=16_08.xlsx&amp;sheet=U0&amp;row=5405&amp;col=7&amp;number=0.00133&amp;sourceID=14","0.00133")</f>
        <v>0.00133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HYPERLINK("http://141.218.60.56/~jnz1568/getInfo.php?workbook=16_08.xlsx&amp;sheet=U0&amp;row=5406&amp;col=6&amp;number=3.2&amp;sourceID=14","3.2")</f>
        <v>3.2</v>
      </c>
      <c r="G5406" s="4" t="str">
        <f>HYPERLINK("http://141.218.60.56/~jnz1568/getInfo.php?workbook=16_08.xlsx&amp;sheet=U0&amp;row=5406&amp;col=7&amp;number=0.00133&amp;sourceID=14","0.00133")</f>
        <v>0.00133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HYPERLINK("http://141.218.60.56/~jnz1568/getInfo.php?workbook=16_08.xlsx&amp;sheet=U0&amp;row=5407&amp;col=6&amp;number=3.3&amp;sourceID=14","3.3")</f>
        <v>3.3</v>
      </c>
      <c r="G5407" s="4" t="str">
        <f>HYPERLINK("http://141.218.60.56/~jnz1568/getInfo.php?workbook=16_08.xlsx&amp;sheet=U0&amp;row=5407&amp;col=7&amp;number=0.00133&amp;sourceID=14","0.00133")</f>
        <v>0.00133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HYPERLINK("http://141.218.60.56/~jnz1568/getInfo.php?workbook=16_08.xlsx&amp;sheet=U0&amp;row=5408&amp;col=6&amp;number=3.4&amp;sourceID=14","3.4")</f>
        <v>3.4</v>
      </c>
      <c r="G5408" s="4" t="str">
        <f>HYPERLINK("http://141.218.60.56/~jnz1568/getInfo.php?workbook=16_08.xlsx&amp;sheet=U0&amp;row=5408&amp;col=7&amp;number=0.00132&amp;sourceID=14","0.00132")</f>
        <v>0.00132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HYPERLINK("http://141.218.60.56/~jnz1568/getInfo.php?workbook=16_08.xlsx&amp;sheet=U0&amp;row=5409&amp;col=6&amp;number=3.5&amp;sourceID=14","3.5")</f>
        <v>3.5</v>
      </c>
      <c r="G5409" s="4" t="str">
        <f>HYPERLINK("http://141.218.60.56/~jnz1568/getInfo.php?workbook=16_08.xlsx&amp;sheet=U0&amp;row=5409&amp;col=7&amp;number=0.00132&amp;sourceID=14","0.00132")</f>
        <v>0.00132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HYPERLINK("http://141.218.60.56/~jnz1568/getInfo.php?workbook=16_08.xlsx&amp;sheet=U0&amp;row=5410&amp;col=6&amp;number=3.6&amp;sourceID=14","3.6")</f>
        <v>3.6</v>
      </c>
      <c r="G5410" s="4" t="str">
        <f>HYPERLINK("http://141.218.60.56/~jnz1568/getInfo.php?workbook=16_08.xlsx&amp;sheet=U0&amp;row=5410&amp;col=7&amp;number=0.00132&amp;sourceID=14","0.00132")</f>
        <v>0.00132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HYPERLINK("http://141.218.60.56/~jnz1568/getInfo.php?workbook=16_08.xlsx&amp;sheet=U0&amp;row=5411&amp;col=6&amp;number=3.7&amp;sourceID=14","3.7")</f>
        <v>3.7</v>
      </c>
      <c r="G5411" s="4" t="str">
        <f>HYPERLINK("http://141.218.60.56/~jnz1568/getInfo.php?workbook=16_08.xlsx&amp;sheet=U0&amp;row=5411&amp;col=7&amp;number=0.00132&amp;sourceID=14","0.00132")</f>
        <v>0.00132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HYPERLINK("http://141.218.60.56/~jnz1568/getInfo.php?workbook=16_08.xlsx&amp;sheet=U0&amp;row=5412&amp;col=6&amp;number=3.8&amp;sourceID=14","3.8")</f>
        <v>3.8</v>
      </c>
      <c r="G5412" s="4" t="str">
        <f>HYPERLINK("http://141.218.60.56/~jnz1568/getInfo.php?workbook=16_08.xlsx&amp;sheet=U0&amp;row=5412&amp;col=7&amp;number=0.00132&amp;sourceID=14","0.00132")</f>
        <v>0.00132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HYPERLINK("http://141.218.60.56/~jnz1568/getInfo.php?workbook=16_08.xlsx&amp;sheet=U0&amp;row=5413&amp;col=6&amp;number=3.9&amp;sourceID=14","3.9")</f>
        <v>3.9</v>
      </c>
      <c r="G5413" s="4" t="str">
        <f>HYPERLINK("http://141.218.60.56/~jnz1568/getInfo.php?workbook=16_08.xlsx&amp;sheet=U0&amp;row=5413&amp;col=7&amp;number=0.00132&amp;sourceID=14","0.00132")</f>
        <v>0.00132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HYPERLINK("http://141.218.60.56/~jnz1568/getInfo.php?workbook=16_08.xlsx&amp;sheet=U0&amp;row=5414&amp;col=6&amp;number=4&amp;sourceID=14","4")</f>
        <v>4</v>
      </c>
      <c r="G5414" s="4" t="str">
        <f>HYPERLINK("http://141.218.60.56/~jnz1568/getInfo.php?workbook=16_08.xlsx&amp;sheet=U0&amp;row=5414&amp;col=7&amp;number=0.00132&amp;sourceID=14","0.00132")</f>
        <v>0.00132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HYPERLINK("http://141.218.60.56/~jnz1568/getInfo.php?workbook=16_08.xlsx&amp;sheet=U0&amp;row=5415&amp;col=6&amp;number=4.1&amp;sourceID=14","4.1")</f>
        <v>4.1</v>
      </c>
      <c r="G5415" s="4" t="str">
        <f>HYPERLINK("http://141.218.60.56/~jnz1568/getInfo.php?workbook=16_08.xlsx&amp;sheet=U0&amp;row=5415&amp;col=7&amp;number=0.00132&amp;sourceID=14","0.00132")</f>
        <v>0.00132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HYPERLINK("http://141.218.60.56/~jnz1568/getInfo.php?workbook=16_08.xlsx&amp;sheet=U0&amp;row=5416&amp;col=6&amp;number=4.2&amp;sourceID=14","4.2")</f>
        <v>4.2</v>
      </c>
      <c r="G5416" s="4" t="str">
        <f>HYPERLINK("http://141.218.60.56/~jnz1568/getInfo.php?workbook=16_08.xlsx&amp;sheet=U0&amp;row=5416&amp;col=7&amp;number=0.00132&amp;sourceID=14","0.00132")</f>
        <v>0.00132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HYPERLINK("http://141.218.60.56/~jnz1568/getInfo.php?workbook=16_08.xlsx&amp;sheet=U0&amp;row=5417&amp;col=6&amp;number=4.3&amp;sourceID=14","4.3")</f>
        <v>4.3</v>
      </c>
      <c r="G5417" s="4" t="str">
        <f>HYPERLINK("http://141.218.60.56/~jnz1568/getInfo.php?workbook=16_08.xlsx&amp;sheet=U0&amp;row=5417&amp;col=7&amp;number=0.00132&amp;sourceID=14","0.00132")</f>
        <v>0.00132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HYPERLINK("http://141.218.60.56/~jnz1568/getInfo.php?workbook=16_08.xlsx&amp;sheet=U0&amp;row=5418&amp;col=6&amp;number=4.4&amp;sourceID=14","4.4")</f>
        <v>4.4</v>
      </c>
      <c r="G5418" s="4" t="str">
        <f>HYPERLINK("http://141.218.60.56/~jnz1568/getInfo.php?workbook=16_08.xlsx&amp;sheet=U0&amp;row=5418&amp;col=7&amp;number=0.00131&amp;sourceID=14","0.00131")</f>
        <v>0.00131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HYPERLINK("http://141.218.60.56/~jnz1568/getInfo.php?workbook=16_08.xlsx&amp;sheet=U0&amp;row=5419&amp;col=6&amp;number=4.5&amp;sourceID=14","4.5")</f>
        <v>4.5</v>
      </c>
      <c r="G5419" s="4" t="str">
        <f>HYPERLINK("http://141.218.60.56/~jnz1568/getInfo.php?workbook=16_08.xlsx&amp;sheet=U0&amp;row=5419&amp;col=7&amp;number=0.00131&amp;sourceID=14","0.00131")</f>
        <v>0.00131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HYPERLINK("http://141.218.60.56/~jnz1568/getInfo.php?workbook=16_08.xlsx&amp;sheet=U0&amp;row=5420&amp;col=6&amp;number=4.6&amp;sourceID=14","4.6")</f>
        <v>4.6</v>
      </c>
      <c r="G5420" s="4" t="str">
        <f>HYPERLINK("http://141.218.60.56/~jnz1568/getInfo.php?workbook=16_08.xlsx&amp;sheet=U0&amp;row=5420&amp;col=7&amp;number=0.00131&amp;sourceID=14","0.00131")</f>
        <v>0.00131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HYPERLINK("http://141.218.60.56/~jnz1568/getInfo.php?workbook=16_08.xlsx&amp;sheet=U0&amp;row=5421&amp;col=6&amp;number=4.7&amp;sourceID=14","4.7")</f>
        <v>4.7</v>
      </c>
      <c r="G5421" s="4" t="str">
        <f>HYPERLINK("http://141.218.60.56/~jnz1568/getInfo.php?workbook=16_08.xlsx&amp;sheet=U0&amp;row=5421&amp;col=7&amp;number=0.0013&amp;sourceID=14","0.0013")</f>
        <v>0.0013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HYPERLINK("http://141.218.60.56/~jnz1568/getInfo.php?workbook=16_08.xlsx&amp;sheet=U0&amp;row=5422&amp;col=6&amp;number=4.8&amp;sourceID=14","4.8")</f>
        <v>4.8</v>
      </c>
      <c r="G5422" s="4" t="str">
        <f>HYPERLINK("http://141.218.60.56/~jnz1568/getInfo.php?workbook=16_08.xlsx&amp;sheet=U0&amp;row=5422&amp;col=7&amp;number=0.0013&amp;sourceID=14","0.0013")</f>
        <v>0.0013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HYPERLINK("http://141.218.60.56/~jnz1568/getInfo.php?workbook=16_08.xlsx&amp;sheet=U0&amp;row=5423&amp;col=6&amp;number=4.9&amp;sourceID=14","4.9")</f>
        <v>4.9</v>
      </c>
      <c r="G5423" s="4" t="str">
        <f>HYPERLINK("http://141.218.60.56/~jnz1568/getInfo.php?workbook=16_08.xlsx&amp;sheet=U0&amp;row=5423&amp;col=7&amp;number=0.00129&amp;sourceID=14","0.00129")</f>
        <v>0.00129</v>
      </c>
    </row>
    <row r="5424" spans="1:7">
      <c r="A5424" s="3">
        <v>16</v>
      </c>
      <c r="B5424" s="3">
        <v>8</v>
      </c>
      <c r="C5424" s="3">
        <v>4</v>
      </c>
      <c r="D5424" s="3">
        <v>24</v>
      </c>
      <c r="E5424" s="3">
        <v>1</v>
      </c>
      <c r="F5424" s="4" t="str">
        <f>HYPERLINK("http://141.218.60.56/~jnz1568/getInfo.php?workbook=16_08.xlsx&amp;sheet=U0&amp;row=5424&amp;col=6&amp;number=3&amp;sourceID=14","3")</f>
        <v>3</v>
      </c>
      <c r="G5424" s="4" t="str">
        <f>HYPERLINK("http://141.218.60.56/~jnz1568/getInfo.php?workbook=16_08.xlsx&amp;sheet=U0&amp;row=5424&amp;col=7&amp;number=0.00321&amp;sourceID=14","0.00321")</f>
        <v>0.00321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HYPERLINK("http://141.218.60.56/~jnz1568/getInfo.php?workbook=16_08.xlsx&amp;sheet=U0&amp;row=5425&amp;col=6&amp;number=3.1&amp;sourceID=14","3.1")</f>
        <v>3.1</v>
      </c>
      <c r="G5425" s="4" t="str">
        <f>HYPERLINK("http://141.218.60.56/~jnz1568/getInfo.php?workbook=16_08.xlsx&amp;sheet=U0&amp;row=5425&amp;col=7&amp;number=0.00321&amp;sourceID=14","0.00321")</f>
        <v>0.00321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HYPERLINK("http://141.218.60.56/~jnz1568/getInfo.php?workbook=16_08.xlsx&amp;sheet=U0&amp;row=5426&amp;col=6&amp;number=3.2&amp;sourceID=14","3.2")</f>
        <v>3.2</v>
      </c>
      <c r="G5426" s="4" t="str">
        <f>HYPERLINK("http://141.218.60.56/~jnz1568/getInfo.php?workbook=16_08.xlsx&amp;sheet=U0&amp;row=5426&amp;col=7&amp;number=0.00321&amp;sourceID=14","0.00321")</f>
        <v>0.00321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HYPERLINK("http://141.218.60.56/~jnz1568/getInfo.php?workbook=16_08.xlsx&amp;sheet=U0&amp;row=5427&amp;col=6&amp;number=3.3&amp;sourceID=14","3.3")</f>
        <v>3.3</v>
      </c>
      <c r="G5427" s="4" t="str">
        <f>HYPERLINK("http://141.218.60.56/~jnz1568/getInfo.php?workbook=16_08.xlsx&amp;sheet=U0&amp;row=5427&amp;col=7&amp;number=0.00321&amp;sourceID=14","0.00321")</f>
        <v>0.00321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HYPERLINK("http://141.218.60.56/~jnz1568/getInfo.php?workbook=16_08.xlsx&amp;sheet=U0&amp;row=5428&amp;col=6&amp;number=3.4&amp;sourceID=14","3.4")</f>
        <v>3.4</v>
      </c>
      <c r="G5428" s="4" t="str">
        <f>HYPERLINK("http://141.218.60.56/~jnz1568/getInfo.php?workbook=16_08.xlsx&amp;sheet=U0&amp;row=5428&amp;col=7&amp;number=0.00321&amp;sourceID=14","0.00321")</f>
        <v>0.00321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HYPERLINK("http://141.218.60.56/~jnz1568/getInfo.php?workbook=16_08.xlsx&amp;sheet=U0&amp;row=5429&amp;col=6&amp;number=3.5&amp;sourceID=14","3.5")</f>
        <v>3.5</v>
      </c>
      <c r="G5429" s="4" t="str">
        <f>HYPERLINK("http://141.218.60.56/~jnz1568/getInfo.php?workbook=16_08.xlsx&amp;sheet=U0&amp;row=5429&amp;col=7&amp;number=0.00321&amp;sourceID=14","0.00321")</f>
        <v>0.00321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HYPERLINK("http://141.218.60.56/~jnz1568/getInfo.php?workbook=16_08.xlsx&amp;sheet=U0&amp;row=5430&amp;col=6&amp;number=3.6&amp;sourceID=14","3.6")</f>
        <v>3.6</v>
      </c>
      <c r="G5430" s="4" t="str">
        <f>HYPERLINK("http://141.218.60.56/~jnz1568/getInfo.php?workbook=16_08.xlsx&amp;sheet=U0&amp;row=5430&amp;col=7&amp;number=0.00321&amp;sourceID=14","0.00321")</f>
        <v>0.00321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HYPERLINK("http://141.218.60.56/~jnz1568/getInfo.php?workbook=16_08.xlsx&amp;sheet=U0&amp;row=5431&amp;col=6&amp;number=3.7&amp;sourceID=14","3.7")</f>
        <v>3.7</v>
      </c>
      <c r="G5431" s="4" t="str">
        <f>HYPERLINK("http://141.218.60.56/~jnz1568/getInfo.php?workbook=16_08.xlsx&amp;sheet=U0&amp;row=5431&amp;col=7&amp;number=0.00321&amp;sourceID=14","0.00321")</f>
        <v>0.00321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HYPERLINK("http://141.218.60.56/~jnz1568/getInfo.php?workbook=16_08.xlsx&amp;sheet=U0&amp;row=5432&amp;col=6&amp;number=3.8&amp;sourceID=14","3.8")</f>
        <v>3.8</v>
      </c>
      <c r="G5432" s="4" t="str">
        <f>HYPERLINK("http://141.218.60.56/~jnz1568/getInfo.php?workbook=16_08.xlsx&amp;sheet=U0&amp;row=5432&amp;col=7&amp;number=0.00321&amp;sourceID=14","0.00321")</f>
        <v>0.00321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HYPERLINK("http://141.218.60.56/~jnz1568/getInfo.php?workbook=16_08.xlsx&amp;sheet=U0&amp;row=5433&amp;col=6&amp;number=3.9&amp;sourceID=14","3.9")</f>
        <v>3.9</v>
      </c>
      <c r="G5433" s="4" t="str">
        <f>HYPERLINK("http://141.218.60.56/~jnz1568/getInfo.php?workbook=16_08.xlsx&amp;sheet=U0&amp;row=5433&amp;col=7&amp;number=0.00321&amp;sourceID=14","0.00321")</f>
        <v>0.00321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HYPERLINK("http://141.218.60.56/~jnz1568/getInfo.php?workbook=16_08.xlsx&amp;sheet=U0&amp;row=5434&amp;col=6&amp;number=4&amp;sourceID=14","4")</f>
        <v>4</v>
      </c>
      <c r="G5434" s="4" t="str">
        <f>HYPERLINK("http://141.218.60.56/~jnz1568/getInfo.php?workbook=16_08.xlsx&amp;sheet=U0&amp;row=5434&amp;col=7&amp;number=0.00321&amp;sourceID=14","0.00321")</f>
        <v>0.00321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HYPERLINK("http://141.218.60.56/~jnz1568/getInfo.php?workbook=16_08.xlsx&amp;sheet=U0&amp;row=5435&amp;col=6&amp;number=4.1&amp;sourceID=14","4.1")</f>
        <v>4.1</v>
      </c>
      <c r="G5435" s="4" t="str">
        <f>HYPERLINK("http://141.218.60.56/~jnz1568/getInfo.php?workbook=16_08.xlsx&amp;sheet=U0&amp;row=5435&amp;col=7&amp;number=0.0032&amp;sourceID=14","0.0032")</f>
        <v>0.0032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HYPERLINK("http://141.218.60.56/~jnz1568/getInfo.php?workbook=16_08.xlsx&amp;sheet=U0&amp;row=5436&amp;col=6&amp;number=4.2&amp;sourceID=14","4.2")</f>
        <v>4.2</v>
      </c>
      <c r="G5436" s="4" t="str">
        <f>HYPERLINK("http://141.218.60.56/~jnz1568/getInfo.php?workbook=16_08.xlsx&amp;sheet=U0&amp;row=5436&amp;col=7&amp;number=0.0032&amp;sourceID=14","0.0032")</f>
        <v>0.0032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HYPERLINK("http://141.218.60.56/~jnz1568/getInfo.php?workbook=16_08.xlsx&amp;sheet=U0&amp;row=5437&amp;col=6&amp;number=4.3&amp;sourceID=14","4.3")</f>
        <v>4.3</v>
      </c>
      <c r="G5437" s="4" t="str">
        <f>HYPERLINK("http://141.218.60.56/~jnz1568/getInfo.php?workbook=16_08.xlsx&amp;sheet=U0&amp;row=5437&amp;col=7&amp;number=0.0032&amp;sourceID=14","0.0032")</f>
        <v>0.0032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HYPERLINK("http://141.218.60.56/~jnz1568/getInfo.php?workbook=16_08.xlsx&amp;sheet=U0&amp;row=5438&amp;col=6&amp;number=4.4&amp;sourceID=14","4.4")</f>
        <v>4.4</v>
      </c>
      <c r="G5438" s="4" t="str">
        <f>HYPERLINK("http://141.218.60.56/~jnz1568/getInfo.php?workbook=16_08.xlsx&amp;sheet=U0&amp;row=5438&amp;col=7&amp;number=0.0032&amp;sourceID=14","0.0032")</f>
        <v>0.0032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HYPERLINK("http://141.218.60.56/~jnz1568/getInfo.php?workbook=16_08.xlsx&amp;sheet=U0&amp;row=5439&amp;col=6&amp;number=4.5&amp;sourceID=14","4.5")</f>
        <v>4.5</v>
      </c>
      <c r="G5439" s="4" t="str">
        <f>HYPERLINK("http://141.218.60.56/~jnz1568/getInfo.php?workbook=16_08.xlsx&amp;sheet=U0&amp;row=5439&amp;col=7&amp;number=0.00319&amp;sourceID=14","0.00319")</f>
        <v>0.00319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HYPERLINK("http://141.218.60.56/~jnz1568/getInfo.php?workbook=16_08.xlsx&amp;sheet=U0&amp;row=5440&amp;col=6&amp;number=4.6&amp;sourceID=14","4.6")</f>
        <v>4.6</v>
      </c>
      <c r="G5440" s="4" t="str">
        <f>HYPERLINK("http://141.218.60.56/~jnz1568/getInfo.php?workbook=16_08.xlsx&amp;sheet=U0&amp;row=5440&amp;col=7&amp;number=0.00319&amp;sourceID=14","0.00319")</f>
        <v>0.00319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HYPERLINK("http://141.218.60.56/~jnz1568/getInfo.php?workbook=16_08.xlsx&amp;sheet=U0&amp;row=5441&amp;col=6&amp;number=4.7&amp;sourceID=14","4.7")</f>
        <v>4.7</v>
      </c>
      <c r="G5441" s="4" t="str">
        <f>HYPERLINK("http://141.218.60.56/~jnz1568/getInfo.php?workbook=16_08.xlsx&amp;sheet=U0&amp;row=5441&amp;col=7&amp;number=0.00318&amp;sourceID=14","0.00318")</f>
        <v>0.00318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HYPERLINK("http://141.218.60.56/~jnz1568/getInfo.php?workbook=16_08.xlsx&amp;sheet=U0&amp;row=5442&amp;col=6&amp;number=4.8&amp;sourceID=14","4.8")</f>
        <v>4.8</v>
      </c>
      <c r="G5442" s="4" t="str">
        <f>HYPERLINK("http://141.218.60.56/~jnz1568/getInfo.php?workbook=16_08.xlsx&amp;sheet=U0&amp;row=5442&amp;col=7&amp;number=0.00317&amp;sourceID=14","0.00317")</f>
        <v>0.00317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HYPERLINK("http://141.218.60.56/~jnz1568/getInfo.php?workbook=16_08.xlsx&amp;sheet=U0&amp;row=5443&amp;col=6&amp;number=4.9&amp;sourceID=14","4.9")</f>
        <v>4.9</v>
      </c>
      <c r="G5443" s="4" t="str">
        <f>HYPERLINK("http://141.218.60.56/~jnz1568/getInfo.php?workbook=16_08.xlsx&amp;sheet=U0&amp;row=5443&amp;col=7&amp;number=0.00316&amp;sourceID=14","0.00316")</f>
        <v>0.00316</v>
      </c>
    </row>
    <row r="5444" spans="1:7">
      <c r="A5444" s="3">
        <v>16</v>
      </c>
      <c r="B5444" s="3">
        <v>8</v>
      </c>
      <c r="C5444" s="3">
        <v>4</v>
      </c>
      <c r="D5444" s="3">
        <v>25</v>
      </c>
      <c r="E5444" s="3">
        <v>1</v>
      </c>
      <c r="F5444" s="4" t="str">
        <f>HYPERLINK("http://141.218.60.56/~jnz1568/getInfo.php?workbook=16_08.xlsx&amp;sheet=U0&amp;row=5444&amp;col=6&amp;number=3&amp;sourceID=14","3")</f>
        <v>3</v>
      </c>
      <c r="G5444" s="4" t="str">
        <f>HYPERLINK("http://141.218.60.56/~jnz1568/getInfo.php?workbook=16_08.xlsx&amp;sheet=U0&amp;row=5444&amp;col=7&amp;number=0.00511&amp;sourceID=14","0.00511")</f>
        <v>0.00511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HYPERLINK("http://141.218.60.56/~jnz1568/getInfo.php?workbook=16_08.xlsx&amp;sheet=U0&amp;row=5445&amp;col=6&amp;number=3.1&amp;sourceID=14","3.1")</f>
        <v>3.1</v>
      </c>
      <c r="G5445" s="4" t="str">
        <f>HYPERLINK("http://141.218.60.56/~jnz1568/getInfo.php?workbook=16_08.xlsx&amp;sheet=U0&amp;row=5445&amp;col=7&amp;number=0.00511&amp;sourceID=14","0.00511")</f>
        <v>0.00511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HYPERLINK("http://141.218.60.56/~jnz1568/getInfo.php?workbook=16_08.xlsx&amp;sheet=U0&amp;row=5446&amp;col=6&amp;number=3.2&amp;sourceID=14","3.2")</f>
        <v>3.2</v>
      </c>
      <c r="G5446" s="4" t="str">
        <f>HYPERLINK("http://141.218.60.56/~jnz1568/getInfo.php?workbook=16_08.xlsx&amp;sheet=U0&amp;row=5446&amp;col=7&amp;number=0.00511&amp;sourceID=14","0.00511")</f>
        <v>0.00511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HYPERLINK("http://141.218.60.56/~jnz1568/getInfo.php?workbook=16_08.xlsx&amp;sheet=U0&amp;row=5447&amp;col=6&amp;number=3.3&amp;sourceID=14","3.3")</f>
        <v>3.3</v>
      </c>
      <c r="G5447" s="4" t="str">
        <f>HYPERLINK("http://141.218.60.56/~jnz1568/getInfo.php?workbook=16_08.xlsx&amp;sheet=U0&amp;row=5447&amp;col=7&amp;number=0.00511&amp;sourceID=14","0.00511")</f>
        <v>0.00511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HYPERLINK("http://141.218.60.56/~jnz1568/getInfo.php?workbook=16_08.xlsx&amp;sheet=U0&amp;row=5448&amp;col=6&amp;number=3.4&amp;sourceID=14","3.4")</f>
        <v>3.4</v>
      </c>
      <c r="G5448" s="4" t="str">
        <f>HYPERLINK("http://141.218.60.56/~jnz1568/getInfo.php?workbook=16_08.xlsx&amp;sheet=U0&amp;row=5448&amp;col=7&amp;number=0.00511&amp;sourceID=14","0.00511")</f>
        <v>0.00511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HYPERLINK("http://141.218.60.56/~jnz1568/getInfo.php?workbook=16_08.xlsx&amp;sheet=U0&amp;row=5449&amp;col=6&amp;number=3.5&amp;sourceID=14","3.5")</f>
        <v>3.5</v>
      </c>
      <c r="G5449" s="4" t="str">
        <f>HYPERLINK("http://141.218.60.56/~jnz1568/getInfo.php?workbook=16_08.xlsx&amp;sheet=U0&amp;row=5449&amp;col=7&amp;number=0.00511&amp;sourceID=14","0.00511")</f>
        <v>0.00511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HYPERLINK("http://141.218.60.56/~jnz1568/getInfo.php?workbook=16_08.xlsx&amp;sheet=U0&amp;row=5450&amp;col=6&amp;number=3.6&amp;sourceID=14","3.6")</f>
        <v>3.6</v>
      </c>
      <c r="G5450" s="4" t="str">
        <f>HYPERLINK("http://141.218.60.56/~jnz1568/getInfo.php?workbook=16_08.xlsx&amp;sheet=U0&amp;row=5450&amp;col=7&amp;number=0.00511&amp;sourceID=14","0.00511")</f>
        <v>0.00511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HYPERLINK("http://141.218.60.56/~jnz1568/getInfo.php?workbook=16_08.xlsx&amp;sheet=U0&amp;row=5451&amp;col=6&amp;number=3.7&amp;sourceID=14","3.7")</f>
        <v>3.7</v>
      </c>
      <c r="G5451" s="4" t="str">
        <f>HYPERLINK("http://141.218.60.56/~jnz1568/getInfo.php?workbook=16_08.xlsx&amp;sheet=U0&amp;row=5451&amp;col=7&amp;number=0.00511&amp;sourceID=14","0.00511")</f>
        <v>0.00511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HYPERLINK("http://141.218.60.56/~jnz1568/getInfo.php?workbook=16_08.xlsx&amp;sheet=U0&amp;row=5452&amp;col=6&amp;number=3.8&amp;sourceID=14","3.8")</f>
        <v>3.8</v>
      </c>
      <c r="G5452" s="4" t="str">
        <f>HYPERLINK("http://141.218.60.56/~jnz1568/getInfo.php?workbook=16_08.xlsx&amp;sheet=U0&amp;row=5452&amp;col=7&amp;number=0.00511&amp;sourceID=14","0.00511")</f>
        <v>0.00511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HYPERLINK("http://141.218.60.56/~jnz1568/getInfo.php?workbook=16_08.xlsx&amp;sheet=U0&amp;row=5453&amp;col=6&amp;number=3.9&amp;sourceID=14","3.9")</f>
        <v>3.9</v>
      </c>
      <c r="G5453" s="4" t="str">
        <f>HYPERLINK("http://141.218.60.56/~jnz1568/getInfo.php?workbook=16_08.xlsx&amp;sheet=U0&amp;row=5453&amp;col=7&amp;number=0.00511&amp;sourceID=14","0.00511")</f>
        <v>0.00511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HYPERLINK("http://141.218.60.56/~jnz1568/getInfo.php?workbook=16_08.xlsx&amp;sheet=U0&amp;row=5454&amp;col=6&amp;number=4&amp;sourceID=14","4")</f>
        <v>4</v>
      </c>
      <c r="G5454" s="4" t="str">
        <f>HYPERLINK("http://141.218.60.56/~jnz1568/getInfo.php?workbook=16_08.xlsx&amp;sheet=U0&amp;row=5454&amp;col=7&amp;number=0.00511&amp;sourceID=14","0.00511")</f>
        <v>0.00511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HYPERLINK("http://141.218.60.56/~jnz1568/getInfo.php?workbook=16_08.xlsx&amp;sheet=U0&amp;row=5455&amp;col=6&amp;number=4.1&amp;sourceID=14","4.1")</f>
        <v>4.1</v>
      </c>
      <c r="G5455" s="4" t="str">
        <f>HYPERLINK("http://141.218.60.56/~jnz1568/getInfo.php?workbook=16_08.xlsx&amp;sheet=U0&amp;row=5455&amp;col=7&amp;number=0.00511&amp;sourceID=14","0.00511")</f>
        <v>0.00511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HYPERLINK("http://141.218.60.56/~jnz1568/getInfo.php?workbook=16_08.xlsx&amp;sheet=U0&amp;row=5456&amp;col=6&amp;number=4.2&amp;sourceID=14","4.2")</f>
        <v>4.2</v>
      </c>
      <c r="G5456" s="4" t="str">
        <f>HYPERLINK("http://141.218.60.56/~jnz1568/getInfo.php?workbook=16_08.xlsx&amp;sheet=U0&amp;row=5456&amp;col=7&amp;number=0.0051&amp;sourceID=14","0.0051")</f>
        <v>0.0051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HYPERLINK("http://141.218.60.56/~jnz1568/getInfo.php?workbook=16_08.xlsx&amp;sheet=U0&amp;row=5457&amp;col=6&amp;number=4.3&amp;sourceID=14","4.3")</f>
        <v>4.3</v>
      </c>
      <c r="G5457" s="4" t="str">
        <f>HYPERLINK("http://141.218.60.56/~jnz1568/getInfo.php?workbook=16_08.xlsx&amp;sheet=U0&amp;row=5457&amp;col=7&amp;number=0.0051&amp;sourceID=14","0.0051")</f>
        <v>0.0051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HYPERLINK("http://141.218.60.56/~jnz1568/getInfo.php?workbook=16_08.xlsx&amp;sheet=U0&amp;row=5458&amp;col=6&amp;number=4.4&amp;sourceID=14","4.4")</f>
        <v>4.4</v>
      </c>
      <c r="G5458" s="4" t="str">
        <f>HYPERLINK("http://141.218.60.56/~jnz1568/getInfo.php?workbook=16_08.xlsx&amp;sheet=U0&amp;row=5458&amp;col=7&amp;number=0.0051&amp;sourceID=14","0.0051")</f>
        <v>0.0051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HYPERLINK("http://141.218.60.56/~jnz1568/getInfo.php?workbook=16_08.xlsx&amp;sheet=U0&amp;row=5459&amp;col=6&amp;number=4.5&amp;sourceID=14","4.5")</f>
        <v>4.5</v>
      </c>
      <c r="G5459" s="4" t="str">
        <f>HYPERLINK("http://141.218.60.56/~jnz1568/getInfo.php?workbook=16_08.xlsx&amp;sheet=U0&amp;row=5459&amp;col=7&amp;number=0.0051&amp;sourceID=14","0.0051")</f>
        <v>0.0051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HYPERLINK("http://141.218.60.56/~jnz1568/getInfo.php?workbook=16_08.xlsx&amp;sheet=U0&amp;row=5460&amp;col=6&amp;number=4.6&amp;sourceID=14","4.6")</f>
        <v>4.6</v>
      </c>
      <c r="G5460" s="4" t="str">
        <f>HYPERLINK("http://141.218.60.56/~jnz1568/getInfo.php?workbook=16_08.xlsx&amp;sheet=U0&amp;row=5460&amp;col=7&amp;number=0.00509&amp;sourceID=14","0.00509")</f>
        <v>0.00509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HYPERLINK("http://141.218.60.56/~jnz1568/getInfo.php?workbook=16_08.xlsx&amp;sheet=U0&amp;row=5461&amp;col=6&amp;number=4.7&amp;sourceID=14","4.7")</f>
        <v>4.7</v>
      </c>
      <c r="G5461" s="4" t="str">
        <f>HYPERLINK("http://141.218.60.56/~jnz1568/getInfo.php?workbook=16_08.xlsx&amp;sheet=U0&amp;row=5461&amp;col=7&amp;number=0.00509&amp;sourceID=14","0.00509")</f>
        <v>0.00509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HYPERLINK("http://141.218.60.56/~jnz1568/getInfo.php?workbook=16_08.xlsx&amp;sheet=U0&amp;row=5462&amp;col=6&amp;number=4.8&amp;sourceID=14","4.8")</f>
        <v>4.8</v>
      </c>
      <c r="G5462" s="4" t="str">
        <f>HYPERLINK("http://141.218.60.56/~jnz1568/getInfo.php?workbook=16_08.xlsx&amp;sheet=U0&amp;row=5462&amp;col=7&amp;number=0.00509&amp;sourceID=14","0.00509")</f>
        <v>0.00509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HYPERLINK("http://141.218.60.56/~jnz1568/getInfo.php?workbook=16_08.xlsx&amp;sheet=U0&amp;row=5463&amp;col=6&amp;number=4.9&amp;sourceID=14","4.9")</f>
        <v>4.9</v>
      </c>
      <c r="G5463" s="4" t="str">
        <f>HYPERLINK("http://141.218.60.56/~jnz1568/getInfo.php?workbook=16_08.xlsx&amp;sheet=U0&amp;row=5463&amp;col=7&amp;number=0.00508&amp;sourceID=14","0.00508")</f>
        <v>0.00508</v>
      </c>
    </row>
    <row r="5464" spans="1:7">
      <c r="A5464" s="3">
        <v>16</v>
      </c>
      <c r="B5464" s="3">
        <v>8</v>
      </c>
      <c r="C5464" s="3">
        <v>4</v>
      </c>
      <c r="D5464" s="3">
        <v>26</v>
      </c>
      <c r="E5464" s="3">
        <v>1</v>
      </c>
      <c r="F5464" s="4" t="str">
        <f>HYPERLINK("http://141.218.60.56/~jnz1568/getInfo.php?workbook=16_08.xlsx&amp;sheet=U0&amp;row=5464&amp;col=6&amp;number=3&amp;sourceID=14","3")</f>
        <v>3</v>
      </c>
      <c r="G5464" s="4" t="str">
        <f>HYPERLINK("http://141.218.60.56/~jnz1568/getInfo.php?workbook=16_08.xlsx&amp;sheet=U0&amp;row=5464&amp;col=7&amp;number=0.00322&amp;sourceID=14","0.00322")</f>
        <v>0.00322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HYPERLINK("http://141.218.60.56/~jnz1568/getInfo.php?workbook=16_08.xlsx&amp;sheet=U0&amp;row=5465&amp;col=6&amp;number=3.1&amp;sourceID=14","3.1")</f>
        <v>3.1</v>
      </c>
      <c r="G5465" s="4" t="str">
        <f>HYPERLINK("http://141.218.60.56/~jnz1568/getInfo.php?workbook=16_08.xlsx&amp;sheet=U0&amp;row=5465&amp;col=7&amp;number=0.00322&amp;sourceID=14","0.00322")</f>
        <v>0.00322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HYPERLINK("http://141.218.60.56/~jnz1568/getInfo.php?workbook=16_08.xlsx&amp;sheet=U0&amp;row=5466&amp;col=6&amp;number=3.2&amp;sourceID=14","3.2")</f>
        <v>3.2</v>
      </c>
      <c r="G5466" s="4" t="str">
        <f>HYPERLINK("http://141.218.60.56/~jnz1568/getInfo.php?workbook=16_08.xlsx&amp;sheet=U0&amp;row=5466&amp;col=7&amp;number=0.00322&amp;sourceID=14","0.00322")</f>
        <v>0.00322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HYPERLINK("http://141.218.60.56/~jnz1568/getInfo.php?workbook=16_08.xlsx&amp;sheet=U0&amp;row=5467&amp;col=6&amp;number=3.3&amp;sourceID=14","3.3")</f>
        <v>3.3</v>
      </c>
      <c r="G5467" s="4" t="str">
        <f>HYPERLINK("http://141.218.60.56/~jnz1568/getInfo.php?workbook=16_08.xlsx&amp;sheet=U0&amp;row=5467&amp;col=7&amp;number=0.00322&amp;sourceID=14","0.00322")</f>
        <v>0.00322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HYPERLINK("http://141.218.60.56/~jnz1568/getInfo.php?workbook=16_08.xlsx&amp;sheet=U0&amp;row=5468&amp;col=6&amp;number=3.4&amp;sourceID=14","3.4")</f>
        <v>3.4</v>
      </c>
      <c r="G5468" s="4" t="str">
        <f>HYPERLINK("http://141.218.60.56/~jnz1568/getInfo.php?workbook=16_08.xlsx&amp;sheet=U0&amp;row=5468&amp;col=7&amp;number=0.00323&amp;sourceID=14","0.00323")</f>
        <v>0.00323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HYPERLINK("http://141.218.60.56/~jnz1568/getInfo.php?workbook=16_08.xlsx&amp;sheet=U0&amp;row=5469&amp;col=6&amp;number=3.5&amp;sourceID=14","3.5")</f>
        <v>3.5</v>
      </c>
      <c r="G5469" s="4" t="str">
        <f>HYPERLINK("http://141.218.60.56/~jnz1568/getInfo.php?workbook=16_08.xlsx&amp;sheet=U0&amp;row=5469&amp;col=7&amp;number=0.00323&amp;sourceID=14","0.00323")</f>
        <v>0.00323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HYPERLINK("http://141.218.60.56/~jnz1568/getInfo.php?workbook=16_08.xlsx&amp;sheet=U0&amp;row=5470&amp;col=6&amp;number=3.6&amp;sourceID=14","3.6")</f>
        <v>3.6</v>
      </c>
      <c r="G5470" s="4" t="str">
        <f>HYPERLINK("http://141.218.60.56/~jnz1568/getInfo.php?workbook=16_08.xlsx&amp;sheet=U0&amp;row=5470&amp;col=7&amp;number=0.00324&amp;sourceID=14","0.00324")</f>
        <v>0.00324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HYPERLINK("http://141.218.60.56/~jnz1568/getInfo.php?workbook=16_08.xlsx&amp;sheet=U0&amp;row=5471&amp;col=6&amp;number=3.7&amp;sourceID=14","3.7")</f>
        <v>3.7</v>
      </c>
      <c r="G5471" s="4" t="str">
        <f>HYPERLINK("http://141.218.60.56/~jnz1568/getInfo.php?workbook=16_08.xlsx&amp;sheet=U0&amp;row=5471&amp;col=7&amp;number=0.00324&amp;sourceID=14","0.00324")</f>
        <v>0.00324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HYPERLINK("http://141.218.60.56/~jnz1568/getInfo.php?workbook=16_08.xlsx&amp;sheet=U0&amp;row=5472&amp;col=6&amp;number=3.8&amp;sourceID=14","3.8")</f>
        <v>3.8</v>
      </c>
      <c r="G5472" s="4" t="str">
        <f>HYPERLINK("http://141.218.60.56/~jnz1568/getInfo.php?workbook=16_08.xlsx&amp;sheet=U0&amp;row=5472&amp;col=7&amp;number=0.00325&amp;sourceID=14","0.00325")</f>
        <v>0.00325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HYPERLINK("http://141.218.60.56/~jnz1568/getInfo.php?workbook=16_08.xlsx&amp;sheet=U0&amp;row=5473&amp;col=6&amp;number=3.9&amp;sourceID=14","3.9")</f>
        <v>3.9</v>
      </c>
      <c r="G5473" s="4" t="str">
        <f>HYPERLINK("http://141.218.60.56/~jnz1568/getInfo.php?workbook=16_08.xlsx&amp;sheet=U0&amp;row=5473&amp;col=7&amp;number=0.00326&amp;sourceID=14","0.00326")</f>
        <v>0.00326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HYPERLINK("http://141.218.60.56/~jnz1568/getInfo.php?workbook=16_08.xlsx&amp;sheet=U0&amp;row=5474&amp;col=6&amp;number=4&amp;sourceID=14","4")</f>
        <v>4</v>
      </c>
      <c r="G5474" s="4" t="str">
        <f>HYPERLINK("http://141.218.60.56/~jnz1568/getInfo.php?workbook=16_08.xlsx&amp;sheet=U0&amp;row=5474&amp;col=7&amp;number=0.00327&amp;sourceID=14","0.00327")</f>
        <v>0.00327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HYPERLINK("http://141.218.60.56/~jnz1568/getInfo.php?workbook=16_08.xlsx&amp;sheet=U0&amp;row=5475&amp;col=6&amp;number=4.1&amp;sourceID=14","4.1")</f>
        <v>4.1</v>
      </c>
      <c r="G5475" s="4" t="str">
        <f>HYPERLINK("http://141.218.60.56/~jnz1568/getInfo.php?workbook=16_08.xlsx&amp;sheet=U0&amp;row=5475&amp;col=7&amp;number=0.00329&amp;sourceID=14","0.00329")</f>
        <v>0.00329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HYPERLINK("http://141.218.60.56/~jnz1568/getInfo.php?workbook=16_08.xlsx&amp;sheet=U0&amp;row=5476&amp;col=6&amp;number=4.2&amp;sourceID=14","4.2")</f>
        <v>4.2</v>
      </c>
      <c r="G5476" s="4" t="str">
        <f>HYPERLINK("http://141.218.60.56/~jnz1568/getInfo.php?workbook=16_08.xlsx&amp;sheet=U0&amp;row=5476&amp;col=7&amp;number=0.00331&amp;sourceID=14","0.00331")</f>
        <v>0.00331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HYPERLINK("http://141.218.60.56/~jnz1568/getInfo.php?workbook=16_08.xlsx&amp;sheet=U0&amp;row=5477&amp;col=6&amp;number=4.3&amp;sourceID=14","4.3")</f>
        <v>4.3</v>
      </c>
      <c r="G5477" s="4" t="str">
        <f>HYPERLINK("http://141.218.60.56/~jnz1568/getInfo.php?workbook=16_08.xlsx&amp;sheet=U0&amp;row=5477&amp;col=7&amp;number=0.00333&amp;sourceID=14","0.00333")</f>
        <v>0.00333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HYPERLINK("http://141.218.60.56/~jnz1568/getInfo.php?workbook=16_08.xlsx&amp;sheet=U0&amp;row=5478&amp;col=6&amp;number=4.4&amp;sourceID=14","4.4")</f>
        <v>4.4</v>
      </c>
      <c r="G5478" s="4" t="str">
        <f>HYPERLINK("http://141.218.60.56/~jnz1568/getInfo.php?workbook=16_08.xlsx&amp;sheet=U0&amp;row=5478&amp;col=7&amp;number=0.00336&amp;sourceID=14","0.00336")</f>
        <v>0.00336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HYPERLINK("http://141.218.60.56/~jnz1568/getInfo.php?workbook=16_08.xlsx&amp;sheet=U0&amp;row=5479&amp;col=6&amp;number=4.5&amp;sourceID=14","4.5")</f>
        <v>4.5</v>
      </c>
      <c r="G5479" s="4" t="str">
        <f>HYPERLINK("http://141.218.60.56/~jnz1568/getInfo.php?workbook=16_08.xlsx&amp;sheet=U0&amp;row=5479&amp;col=7&amp;number=0.0034&amp;sourceID=14","0.0034")</f>
        <v>0.0034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HYPERLINK("http://141.218.60.56/~jnz1568/getInfo.php?workbook=16_08.xlsx&amp;sheet=U0&amp;row=5480&amp;col=6&amp;number=4.6&amp;sourceID=14","4.6")</f>
        <v>4.6</v>
      </c>
      <c r="G5480" s="4" t="str">
        <f>HYPERLINK("http://141.218.60.56/~jnz1568/getInfo.php?workbook=16_08.xlsx&amp;sheet=U0&amp;row=5480&amp;col=7&amp;number=0.00345&amp;sourceID=14","0.00345")</f>
        <v>0.00345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HYPERLINK("http://141.218.60.56/~jnz1568/getInfo.php?workbook=16_08.xlsx&amp;sheet=U0&amp;row=5481&amp;col=6&amp;number=4.7&amp;sourceID=14","4.7")</f>
        <v>4.7</v>
      </c>
      <c r="G5481" s="4" t="str">
        <f>HYPERLINK("http://141.218.60.56/~jnz1568/getInfo.php?workbook=16_08.xlsx&amp;sheet=U0&amp;row=5481&amp;col=7&amp;number=0.00351&amp;sourceID=14","0.00351")</f>
        <v>0.00351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HYPERLINK("http://141.218.60.56/~jnz1568/getInfo.php?workbook=16_08.xlsx&amp;sheet=U0&amp;row=5482&amp;col=6&amp;number=4.8&amp;sourceID=14","4.8")</f>
        <v>4.8</v>
      </c>
      <c r="G5482" s="4" t="str">
        <f>HYPERLINK("http://141.218.60.56/~jnz1568/getInfo.php?workbook=16_08.xlsx&amp;sheet=U0&amp;row=5482&amp;col=7&amp;number=0.00359&amp;sourceID=14","0.00359")</f>
        <v>0.00359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HYPERLINK("http://141.218.60.56/~jnz1568/getInfo.php?workbook=16_08.xlsx&amp;sheet=U0&amp;row=5483&amp;col=6&amp;number=4.9&amp;sourceID=14","4.9")</f>
        <v>4.9</v>
      </c>
      <c r="G5483" s="4" t="str">
        <f>HYPERLINK("http://141.218.60.56/~jnz1568/getInfo.php?workbook=16_08.xlsx&amp;sheet=U0&amp;row=5483&amp;col=7&amp;number=0.00369&amp;sourceID=14","0.00369")</f>
        <v>0.00369</v>
      </c>
    </row>
    <row r="5484" spans="1:7">
      <c r="A5484" s="3">
        <v>16</v>
      </c>
      <c r="B5484" s="3">
        <v>8</v>
      </c>
      <c r="C5484" s="3">
        <v>4</v>
      </c>
      <c r="D5484" s="3">
        <v>27</v>
      </c>
      <c r="E5484" s="3">
        <v>1</v>
      </c>
      <c r="F5484" s="4" t="str">
        <f>HYPERLINK("http://141.218.60.56/~jnz1568/getInfo.php?workbook=16_08.xlsx&amp;sheet=U0&amp;row=5484&amp;col=6&amp;number=3&amp;sourceID=14","3")</f>
        <v>3</v>
      </c>
      <c r="G5484" s="4" t="str">
        <f>HYPERLINK("http://141.218.60.56/~jnz1568/getInfo.php?workbook=16_08.xlsx&amp;sheet=U0&amp;row=5484&amp;col=7&amp;number=0.0104&amp;sourceID=14","0.0104")</f>
        <v>0.0104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HYPERLINK("http://141.218.60.56/~jnz1568/getInfo.php?workbook=16_08.xlsx&amp;sheet=U0&amp;row=5485&amp;col=6&amp;number=3.1&amp;sourceID=14","3.1")</f>
        <v>3.1</v>
      </c>
      <c r="G5485" s="4" t="str">
        <f>HYPERLINK("http://141.218.60.56/~jnz1568/getInfo.php?workbook=16_08.xlsx&amp;sheet=U0&amp;row=5485&amp;col=7&amp;number=0.0104&amp;sourceID=14","0.0104")</f>
        <v>0.0104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HYPERLINK("http://141.218.60.56/~jnz1568/getInfo.php?workbook=16_08.xlsx&amp;sheet=U0&amp;row=5486&amp;col=6&amp;number=3.2&amp;sourceID=14","3.2")</f>
        <v>3.2</v>
      </c>
      <c r="G5486" s="4" t="str">
        <f>HYPERLINK("http://141.218.60.56/~jnz1568/getInfo.php?workbook=16_08.xlsx&amp;sheet=U0&amp;row=5486&amp;col=7&amp;number=0.0104&amp;sourceID=14","0.0104")</f>
        <v>0.0104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HYPERLINK("http://141.218.60.56/~jnz1568/getInfo.php?workbook=16_08.xlsx&amp;sheet=U0&amp;row=5487&amp;col=6&amp;number=3.3&amp;sourceID=14","3.3")</f>
        <v>3.3</v>
      </c>
      <c r="G5487" s="4" t="str">
        <f>HYPERLINK("http://141.218.60.56/~jnz1568/getInfo.php?workbook=16_08.xlsx&amp;sheet=U0&amp;row=5487&amp;col=7&amp;number=0.0104&amp;sourceID=14","0.0104")</f>
        <v>0.0104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HYPERLINK("http://141.218.60.56/~jnz1568/getInfo.php?workbook=16_08.xlsx&amp;sheet=U0&amp;row=5488&amp;col=6&amp;number=3.4&amp;sourceID=14","3.4")</f>
        <v>3.4</v>
      </c>
      <c r="G5488" s="4" t="str">
        <f>HYPERLINK("http://141.218.60.56/~jnz1568/getInfo.php?workbook=16_08.xlsx&amp;sheet=U0&amp;row=5488&amp;col=7&amp;number=0.0104&amp;sourceID=14","0.0104")</f>
        <v>0.0104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HYPERLINK("http://141.218.60.56/~jnz1568/getInfo.php?workbook=16_08.xlsx&amp;sheet=U0&amp;row=5489&amp;col=6&amp;number=3.5&amp;sourceID=14","3.5")</f>
        <v>3.5</v>
      </c>
      <c r="G5489" s="4" t="str">
        <f>HYPERLINK("http://141.218.60.56/~jnz1568/getInfo.php?workbook=16_08.xlsx&amp;sheet=U0&amp;row=5489&amp;col=7&amp;number=0.0104&amp;sourceID=14","0.0104")</f>
        <v>0.0104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HYPERLINK("http://141.218.60.56/~jnz1568/getInfo.php?workbook=16_08.xlsx&amp;sheet=U0&amp;row=5490&amp;col=6&amp;number=3.6&amp;sourceID=14","3.6")</f>
        <v>3.6</v>
      </c>
      <c r="G5490" s="4" t="str">
        <f>HYPERLINK("http://141.218.60.56/~jnz1568/getInfo.php?workbook=16_08.xlsx&amp;sheet=U0&amp;row=5490&amp;col=7&amp;number=0.0104&amp;sourceID=14","0.0104")</f>
        <v>0.0104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HYPERLINK("http://141.218.60.56/~jnz1568/getInfo.php?workbook=16_08.xlsx&amp;sheet=U0&amp;row=5491&amp;col=6&amp;number=3.7&amp;sourceID=14","3.7")</f>
        <v>3.7</v>
      </c>
      <c r="G5491" s="4" t="str">
        <f>HYPERLINK("http://141.218.60.56/~jnz1568/getInfo.php?workbook=16_08.xlsx&amp;sheet=U0&amp;row=5491&amp;col=7&amp;number=0.0104&amp;sourceID=14","0.0104")</f>
        <v>0.0104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HYPERLINK("http://141.218.60.56/~jnz1568/getInfo.php?workbook=16_08.xlsx&amp;sheet=U0&amp;row=5492&amp;col=6&amp;number=3.8&amp;sourceID=14","3.8")</f>
        <v>3.8</v>
      </c>
      <c r="G5492" s="4" t="str">
        <f>HYPERLINK("http://141.218.60.56/~jnz1568/getInfo.php?workbook=16_08.xlsx&amp;sheet=U0&amp;row=5492&amp;col=7&amp;number=0.0104&amp;sourceID=14","0.0104")</f>
        <v>0.0104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HYPERLINK("http://141.218.60.56/~jnz1568/getInfo.php?workbook=16_08.xlsx&amp;sheet=U0&amp;row=5493&amp;col=6&amp;number=3.9&amp;sourceID=14","3.9")</f>
        <v>3.9</v>
      </c>
      <c r="G5493" s="4" t="str">
        <f>HYPERLINK("http://141.218.60.56/~jnz1568/getInfo.php?workbook=16_08.xlsx&amp;sheet=U0&amp;row=5493&amp;col=7&amp;number=0.0104&amp;sourceID=14","0.0104")</f>
        <v>0.0104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HYPERLINK("http://141.218.60.56/~jnz1568/getInfo.php?workbook=16_08.xlsx&amp;sheet=U0&amp;row=5494&amp;col=6&amp;number=4&amp;sourceID=14","4")</f>
        <v>4</v>
      </c>
      <c r="G5494" s="4" t="str">
        <f>HYPERLINK("http://141.218.60.56/~jnz1568/getInfo.php?workbook=16_08.xlsx&amp;sheet=U0&amp;row=5494&amp;col=7&amp;number=0.0104&amp;sourceID=14","0.0104")</f>
        <v>0.0104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HYPERLINK("http://141.218.60.56/~jnz1568/getInfo.php?workbook=16_08.xlsx&amp;sheet=U0&amp;row=5495&amp;col=6&amp;number=4.1&amp;sourceID=14","4.1")</f>
        <v>4.1</v>
      </c>
      <c r="G5495" s="4" t="str">
        <f>HYPERLINK("http://141.218.60.56/~jnz1568/getInfo.php?workbook=16_08.xlsx&amp;sheet=U0&amp;row=5495&amp;col=7&amp;number=0.0104&amp;sourceID=14","0.0104")</f>
        <v>0.0104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HYPERLINK("http://141.218.60.56/~jnz1568/getInfo.php?workbook=16_08.xlsx&amp;sheet=U0&amp;row=5496&amp;col=6&amp;number=4.2&amp;sourceID=14","4.2")</f>
        <v>4.2</v>
      </c>
      <c r="G5496" s="4" t="str">
        <f>HYPERLINK("http://141.218.60.56/~jnz1568/getInfo.php?workbook=16_08.xlsx&amp;sheet=U0&amp;row=5496&amp;col=7&amp;number=0.0104&amp;sourceID=14","0.0104")</f>
        <v>0.0104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HYPERLINK("http://141.218.60.56/~jnz1568/getInfo.php?workbook=16_08.xlsx&amp;sheet=U0&amp;row=5497&amp;col=6&amp;number=4.3&amp;sourceID=14","4.3")</f>
        <v>4.3</v>
      </c>
      <c r="G5497" s="4" t="str">
        <f>HYPERLINK("http://141.218.60.56/~jnz1568/getInfo.php?workbook=16_08.xlsx&amp;sheet=U0&amp;row=5497&amp;col=7&amp;number=0.0104&amp;sourceID=14","0.0104")</f>
        <v>0.0104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HYPERLINK("http://141.218.60.56/~jnz1568/getInfo.php?workbook=16_08.xlsx&amp;sheet=U0&amp;row=5498&amp;col=6&amp;number=4.4&amp;sourceID=14","4.4")</f>
        <v>4.4</v>
      </c>
      <c r="G5498" s="4" t="str">
        <f>HYPERLINK("http://141.218.60.56/~jnz1568/getInfo.php?workbook=16_08.xlsx&amp;sheet=U0&amp;row=5498&amp;col=7&amp;number=0.0104&amp;sourceID=14","0.0104")</f>
        <v>0.0104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HYPERLINK("http://141.218.60.56/~jnz1568/getInfo.php?workbook=16_08.xlsx&amp;sheet=U0&amp;row=5499&amp;col=6&amp;number=4.5&amp;sourceID=14","4.5")</f>
        <v>4.5</v>
      </c>
      <c r="G5499" s="4" t="str">
        <f>HYPERLINK("http://141.218.60.56/~jnz1568/getInfo.php?workbook=16_08.xlsx&amp;sheet=U0&amp;row=5499&amp;col=7&amp;number=0.0104&amp;sourceID=14","0.0104")</f>
        <v>0.0104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HYPERLINK("http://141.218.60.56/~jnz1568/getInfo.php?workbook=16_08.xlsx&amp;sheet=U0&amp;row=5500&amp;col=6&amp;number=4.6&amp;sourceID=14","4.6")</f>
        <v>4.6</v>
      </c>
      <c r="G5500" s="4" t="str">
        <f>HYPERLINK("http://141.218.60.56/~jnz1568/getInfo.php?workbook=16_08.xlsx&amp;sheet=U0&amp;row=5500&amp;col=7&amp;number=0.0104&amp;sourceID=14","0.0104")</f>
        <v>0.0104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HYPERLINK("http://141.218.60.56/~jnz1568/getInfo.php?workbook=16_08.xlsx&amp;sheet=U0&amp;row=5501&amp;col=6&amp;number=4.7&amp;sourceID=14","4.7")</f>
        <v>4.7</v>
      </c>
      <c r="G5501" s="4" t="str">
        <f>HYPERLINK("http://141.218.60.56/~jnz1568/getInfo.php?workbook=16_08.xlsx&amp;sheet=U0&amp;row=5501&amp;col=7&amp;number=0.0104&amp;sourceID=14","0.0104")</f>
        <v>0.0104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HYPERLINK("http://141.218.60.56/~jnz1568/getInfo.php?workbook=16_08.xlsx&amp;sheet=U0&amp;row=5502&amp;col=6&amp;number=4.8&amp;sourceID=14","4.8")</f>
        <v>4.8</v>
      </c>
      <c r="G5502" s="4" t="str">
        <f>HYPERLINK("http://141.218.60.56/~jnz1568/getInfo.php?workbook=16_08.xlsx&amp;sheet=U0&amp;row=5502&amp;col=7&amp;number=0.0104&amp;sourceID=14","0.0104")</f>
        <v>0.0104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HYPERLINK("http://141.218.60.56/~jnz1568/getInfo.php?workbook=16_08.xlsx&amp;sheet=U0&amp;row=5503&amp;col=6&amp;number=4.9&amp;sourceID=14","4.9")</f>
        <v>4.9</v>
      </c>
      <c r="G5503" s="4" t="str">
        <f>HYPERLINK("http://141.218.60.56/~jnz1568/getInfo.php?workbook=16_08.xlsx&amp;sheet=U0&amp;row=5503&amp;col=7&amp;number=0.0103&amp;sourceID=14","0.0103")</f>
        <v>0.0103</v>
      </c>
    </row>
    <row r="5504" spans="1:7">
      <c r="A5504" s="3">
        <v>16</v>
      </c>
      <c r="B5504" s="3">
        <v>8</v>
      </c>
      <c r="C5504" s="3">
        <v>4</v>
      </c>
      <c r="D5504" s="3">
        <v>28</v>
      </c>
      <c r="E5504" s="3">
        <v>1</v>
      </c>
      <c r="F5504" s="4" t="str">
        <f>HYPERLINK("http://141.218.60.56/~jnz1568/getInfo.php?workbook=16_08.xlsx&amp;sheet=U0&amp;row=5504&amp;col=6&amp;number=3&amp;sourceID=14","3")</f>
        <v>3</v>
      </c>
      <c r="G5504" s="4" t="str">
        <f>HYPERLINK("http://141.218.60.56/~jnz1568/getInfo.php?workbook=16_08.xlsx&amp;sheet=U0&amp;row=5504&amp;col=7&amp;number=0.0252&amp;sourceID=14","0.0252")</f>
        <v>0.0252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HYPERLINK("http://141.218.60.56/~jnz1568/getInfo.php?workbook=16_08.xlsx&amp;sheet=U0&amp;row=5505&amp;col=6&amp;number=3.1&amp;sourceID=14","3.1")</f>
        <v>3.1</v>
      </c>
      <c r="G5505" s="4" t="str">
        <f>HYPERLINK("http://141.218.60.56/~jnz1568/getInfo.php?workbook=16_08.xlsx&amp;sheet=U0&amp;row=5505&amp;col=7&amp;number=0.0252&amp;sourceID=14","0.0252")</f>
        <v>0.0252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HYPERLINK("http://141.218.60.56/~jnz1568/getInfo.php?workbook=16_08.xlsx&amp;sheet=U0&amp;row=5506&amp;col=6&amp;number=3.2&amp;sourceID=14","3.2")</f>
        <v>3.2</v>
      </c>
      <c r="G5506" s="4" t="str">
        <f>HYPERLINK("http://141.218.60.56/~jnz1568/getInfo.php?workbook=16_08.xlsx&amp;sheet=U0&amp;row=5506&amp;col=7&amp;number=0.0252&amp;sourceID=14","0.0252")</f>
        <v>0.0252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HYPERLINK("http://141.218.60.56/~jnz1568/getInfo.php?workbook=16_08.xlsx&amp;sheet=U0&amp;row=5507&amp;col=6&amp;number=3.3&amp;sourceID=14","3.3")</f>
        <v>3.3</v>
      </c>
      <c r="G5507" s="4" t="str">
        <f>HYPERLINK("http://141.218.60.56/~jnz1568/getInfo.php?workbook=16_08.xlsx&amp;sheet=U0&amp;row=5507&amp;col=7&amp;number=0.0252&amp;sourceID=14","0.0252")</f>
        <v>0.0252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HYPERLINK("http://141.218.60.56/~jnz1568/getInfo.php?workbook=16_08.xlsx&amp;sheet=U0&amp;row=5508&amp;col=6&amp;number=3.4&amp;sourceID=14","3.4")</f>
        <v>3.4</v>
      </c>
      <c r="G5508" s="4" t="str">
        <f>HYPERLINK("http://141.218.60.56/~jnz1568/getInfo.php?workbook=16_08.xlsx&amp;sheet=U0&amp;row=5508&amp;col=7&amp;number=0.0252&amp;sourceID=14","0.0252")</f>
        <v>0.0252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HYPERLINK("http://141.218.60.56/~jnz1568/getInfo.php?workbook=16_08.xlsx&amp;sheet=U0&amp;row=5509&amp;col=6&amp;number=3.5&amp;sourceID=14","3.5")</f>
        <v>3.5</v>
      </c>
      <c r="G5509" s="4" t="str">
        <f>HYPERLINK("http://141.218.60.56/~jnz1568/getInfo.php?workbook=16_08.xlsx&amp;sheet=U0&amp;row=5509&amp;col=7&amp;number=0.0252&amp;sourceID=14","0.0252")</f>
        <v>0.0252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HYPERLINK("http://141.218.60.56/~jnz1568/getInfo.php?workbook=16_08.xlsx&amp;sheet=U0&amp;row=5510&amp;col=6&amp;number=3.6&amp;sourceID=14","3.6")</f>
        <v>3.6</v>
      </c>
      <c r="G5510" s="4" t="str">
        <f>HYPERLINK("http://141.218.60.56/~jnz1568/getInfo.php?workbook=16_08.xlsx&amp;sheet=U0&amp;row=5510&amp;col=7&amp;number=0.0252&amp;sourceID=14","0.0252")</f>
        <v>0.0252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HYPERLINK("http://141.218.60.56/~jnz1568/getInfo.php?workbook=16_08.xlsx&amp;sheet=U0&amp;row=5511&amp;col=6&amp;number=3.7&amp;sourceID=14","3.7")</f>
        <v>3.7</v>
      </c>
      <c r="G5511" s="4" t="str">
        <f>HYPERLINK("http://141.218.60.56/~jnz1568/getInfo.php?workbook=16_08.xlsx&amp;sheet=U0&amp;row=5511&amp;col=7&amp;number=0.0252&amp;sourceID=14","0.0252")</f>
        <v>0.0252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HYPERLINK("http://141.218.60.56/~jnz1568/getInfo.php?workbook=16_08.xlsx&amp;sheet=U0&amp;row=5512&amp;col=6&amp;number=3.8&amp;sourceID=14","3.8")</f>
        <v>3.8</v>
      </c>
      <c r="G5512" s="4" t="str">
        <f>HYPERLINK("http://141.218.60.56/~jnz1568/getInfo.php?workbook=16_08.xlsx&amp;sheet=U0&amp;row=5512&amp;col=7&amp;number=0.0251&amp;sourceID=14","0.0251")</f>
        <v>0.0251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HYPERLINK("http://141.218.60.56/~jnz1568/getInfo.php?workbook=16_08.xlsx&amp;sheet=U0&amp;row=5513&amp;col=6&amp;number=3.9&amp;sourceID=14","3.9")</f>
        <v>3.9</v>
      </c>
      <c r="G5513" s="4" t="str">
        <f>HYPERLINK("http://141.218.60.56/~jnz1568/getInfo.php?workbook=16_08.xlsx&amp;sheet=U0&amp;row=5513&amp;col=7&amp;number=0.0251&amp;sourceID=14","0.0251")</f>
        <v>0.0251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HYPERLINK("http://141.218.60.56/~jnz1568/getInfo.php?workbook=16_08.xlsx&amp;sheet=U0&amp;row=5514&amp;col=6&amp;number=4&amp;sourceID=14","4")</f>
        <v>4</v>
      </c>
      <c r="G5514" s="4" t="str">
        <f>HYPERLINK("http://141.218.60.56/~jnz1568/getInfo.php?workbook=16_08.xlsx&amp;sheet=U0&amp;row=5514&amp;col=7&amp;number=0.0251&amp;sourceID=14","0.0251")</f>
        <v>0.0251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HYPERLINK("http://141.218.60.56/~jnz1568/getInfo.php?workbook=16_08.xlsx&amp;sheet=U0&amp;row=5515&amp;col=6&amp;number=4.1&amp;sourceID=14","4.1")</f>
        <v>4.1</v>
      </c>
      <c r="G5515" s="4" t="str">
        <f>HYPERLINK("http://141.218.60.56/~jnz1568/getInfo.php?workbook=16_08.xlsx&amp;sheet=U0&amp;row=5515&amp;col=7&amp;number=0.0251&amp;sourceID=14","0.0251")</f>
        <v>0.0251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HYPERLINK("http://141.218.60.56/~jnz1568/getInfo.php?workbook=16_08.xlsx&amp;sheet=U0&amp;row=5516&amp;col=6&amp;number=4.2&amp;sourceID=14","4.2")</f>
        <v>4.2</v>
      </c>
      <c r="G5516" s="4" t="str">
        <f>HYPERLINK("http://141.218.60.56/~jnz1568/getInfo.php?workbook=16_08.xlsx&amp;sheet=U0&amp;row=5516&amp;col=7&amp;number=0.0251&amp;sourceID=14","0.0251")</f>
        <v>0.0251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HYPERLINK("http://141.218.60.56/~jnz1568/getInfo.php?workbook=16_08.xlsx&amp;sheet=U0&amp;row=5517&amp;col=6&amp;number=4.3&amp;sourceID=14","4.3")</f>
        <v>4.3</v>
      </c>
      <c r="G5517" s="4" t="str">
        <f>HYPERLINK("http://141.218.60.56/~jnz1568/getInfo.php?workbook=16_08.xlsx&amp;sheet=U0&amp;row=5517&amp;col=7&amp;number=0.025&amp;sourceID=14","0.025")</f>
        <v>0.025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HYPERLINK("http://141.218.60.56/~jnz1568/getInfo.php?workbook=16_08.xlsx&amp;sheet=U0&amp;row=5518&amp;col=6&amp;number=4.4&amp;sourceID=14","4.4")</f>
        <v>4.4</v>
      </c>
      <c r="G5518" s="4" t="str">
        <f>HYPERLINK("http://141.218.60.56/~jnz1568/getInfo.php?workbook=16_08.xlsx&amp;sheet=U0&amp;row=5518&amp;col=7&amp;number=0.025&amp;sourceID=14","0.025")</f>
        <v>0.025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HYPERLINK("http://141.218.60.56/~jnz1568/getInfo.php?workbook=16_08.xlsx&amp;sheet=U0&amp;row=5519&amp;col=6&amp;number=4.5&amp;sourceID=14","4.5")</f>
        <v>4.5</v>
      </c>
      <c r="G5519" s="4" t="str">
        <f>HYPERLINK("http://141.218.60.56/~jnz1568/getInfo.php?workbook=16_08.xlsx&amp;sheet=U0&amp;row=5519&amp;col=7&amp;number=0.025&amp;sourceID=14","0.025")</f>
        <v>0.025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HYPERLINK("http://141.218.60.56/~jnz1568/getInfo.php?workbook=16_08.xlsx&amp;sheet=U0&amp;row=5520&amp;col=6&amp;number=4.6&amp;sourceID=14","4.6")</f>
        <v>4.6</v>
      </c>
      <c r="G5520" s="4" t="str">
        <f>HYPERLINK("http://141.218.60.56/~jnz1568/getInfo.php?workbook=16_08.xlsx&amp;sheet=U0&amp;row=5520&amp;col=7&amp;number=0.0249&amp;sourceID=14","0.0249")</f>
        <v>0.0249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HYPERLINK("http://141.218.60.56/~jnz1568/getInfo.php?workbook=16_08.xlsx&amp;sheet=U0&amp;row=5521&amp;col=6&amp;number=4.7&amp;sourceID=14","4.7")</f>
        <v>4.7</v>
      </c>
      <c r="G5521" s="4" t="str">
        <f>HYPERLINK("http://141.218.60.56/~jnz1568/getInfo.php?workbook=16_08.xlsx&amp;sheet=U0&amp;row=5521&amp;col=7&amp;number=0.0248&amp;sourceID=14","0.0248")</f>
        <v>0.0248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HYPERLINK("http://141.218.60.56/~jnz1568/getInfo.php?workbook=16_08.xlsx&amp;sheet=U0&amp;row=5522&amp;col=6&amp;number=4.8&amp;sourceID=14","4.8")</f>
        <v>4.8</v>
      </c>
      <c r="G5522" s="4" t="str">
        <f>HYPERLINK("http://141.218.60.56/~jnz1568/getInfo.php?workbook=16_08.xlsx&amp;sheet=U0&amp;row=5522&amp;col=7&amp;number=0.0247&amp;sourceID=14","0.0247")</f>
        <v>0.0247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HYPERLINK("http://141.218.60.56/~jnz1568/getInfo.php?workbook=16_08.xlsx&amp;sheet=U0&amp;row=5523&amp;col=6&amp;number=4.9&amp;sourceID=14","4.9")</f>
        <v>4.9</v>
      </c>
      <c r="G5523" s="4" t="str">
        <f>HYPERLINK("http://141.218.60.56/~jnz1568/getInfo.php?workbook=16_08.xlsx&amp;sheet=U0&amp;row=5523&amp;col=7&amp;number=0.0246&amp;sourceID=14","0.0246")</f>
        <v>0.0246</v>
      </c>
    </row>
    <row r="5524" spans="1:7">
      <c r="A5524" s="3">
        <v>16</v>
      </c>
      <c r="B5524" s="3">
        <v>8</v>
      </c>
      <c r="C5524" s="3">
        <v>4</v>
      </c>
      <c r="D5524" s="3">
        <v>29</v>
      </c>
      <c r="E5524" s="3">
        <v>1</v>
      </c>
      <c r="F5524" s="4" t="str">
        <f>HYPERLINK("http://141.218.60.56/~jnz1568/getInfo.php?workbook=16_08.xlsx&amp;sheet=U0&amp;row=5524&amp;col=6&amp;number=3&amp;sourceID=14","3")</f>
        <v>3</v>
      </c>
      <c r="G5524" s="4" t="str">
        <f>HYPERLINK("http://141.218.60.56/~jnz1568/getInfo.php?workbook=16_08.xlsx&amp;sheet=U0&amp;row=5524&amp;col=7&amp;number=0.0365&amp;sourceID=14","0.0365")</f>
        <v>0.0365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HYPERLINK("http://141.218.60.56/~jnz1568/getInfo.php?workbook=16_08.xlsx&amp;sheet=U0&amp;row=5525&amp;col=6&amp;number=3.1&amp;sourceID=14","3.1")</f>
        <v>3.1</v>
      </c>
      <c r="G5525" s="4" t="str">
        <f>HYPERLINK("http://141.218.60.56/~jnz1568/getInfo.php?workbook=16_08.xlsx&amp;sheet=U0&amp;row=5525&amp;col=7&amp;number=0.0365&amp;sourceID=14","0.0365")</f>
        <v>0.0365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HYPERLINK("http://141.218.60.56/~jnz1568/getInfo.php?workbook=16_08.xlsx&amp;sheet=U0&amp;row=5526&amp;col=6&amp;number=3.2&amp;sourceID=14","3.2")</f>
        <v>3.2</v>
      </c>
      <c r="G5526" s="4" t="str">
        <f>HYPERLINK("http://141.218.60.56/~jnz1568/getInfo.php?workbook=16_08.xlsx&amp;sheet=U0&amp;row=5526&amp;col=7&amp;number=0.0365&amp;sourceID=14","0.0365")</f>
        <v>0.0365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HYPERLINK("http://141.218.60.56/~jnz1568/getInfo.php?workbook=16_08.xlsx&amp;sheet=U0&amp;row=5527&amp;col=6&amp;number=3.3&amp;sourceID=14","3.3")</f>
        <v>3.3</v>
      </c>
      <c r="G5527" s="4" t="str">
        <f>HYPERLINK("http://141.218.60.56/~jnz1568/getInfo.php?workbook=16_08.xlsx&amp;sheet=U0&amp;row=5527&amp;col=7&amp;number=0.0365&amp;sourceID=14","0.0365")</f>
        <v>0.0365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HYPERLINK("http://141.218.60.56/~jnz1568/getInfo.php?workbook=16_08.xlsx&amp;sheet=U0&amp;row=5528&amp;col=6&amp;number=3.4&amp;sourceID=14","3.4")</f>
        <v>3.4</v>
      </c>
      <c r="G5528" s="4" t="str">
        <f>HYPERLINK("http://141.218.60.56/~jnz1568/getInfo.php?workbook=16_08.xlsx&amp;sheet=U0&amp;row=5528&amp;col=7&amp;number=0.0365&amp;sourceID=14","0.0365")</f>
        <v>0.0365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HYPERLINK("http://141.218.60.56/~jnz1568/getInfo.php?workbook=16_08.xlsx&amp;sheet=U0&amp;row=5529&amp;col=6&amp;number=3.5&amp;sourceID=14","3.5")</f>
        <v>3.5</v>
      </c>
      <c r="G5529" s="4" t="str">
        <f>HYPERLINK("http://141.218.60.56/~jnz1568/getInfo.php?workbook=16_08.xlsx&amp;sheet=U0&amp;row=5529&amp;col=7&amp;number=0.0365&amp;sourceID=14","0.0365")</f>
        <v>0.0365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HYPERLINK("http://141.218.60.56/~jnz1568/getInfo.php?workbook=16_08.xlsx&amp;sheet=U0&amp;row=5530&amp;col=6&amp;number=3.6&amp;sourceID=14","3.6")</f>
        <v>3.6</v>
      </c>
      <c r="G5530" s="4" t="str">
        <f>HYPERLINK("http://141.218.60.56/~jnz1568/getInfo.php?workbook=16_08.xlsx&amp;sheet=U0&amp;row=5530&amp;col=7&amp;number=0.0365&amp;sourceID=14","0.0365")</f>
        <v>0.0365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HYPERLINK("http://141.218.60.56/~jnz1568/getInfo.php?workbook=16_08.xlsx&amp;sheet=U0&amp;row=5531&amp;col=6&amp;number=3.7&amp;sourceID=14","3.7")</f>
        <v>3.7</v>
      </c>
      <c r="G5531" s="4" t="str">
        <f>HYPERLINK("http://141.218.60.56/~jnz1568/getInfo.php?workbook=16_08.xlsx&amp;sheet=U0&amp;row=5531&amp;col=7&amp;number=0.0365&amp;sourceID=14","0.0365")</f>
        <v>0.0365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HYPERLINK("http://141.218.60.56/~jnz1568/getInfo.php?workbook=16_08.xlsx&amp;sheet=U0&amp;row=5532&amp;col=6&amp;number=3.8&amp;sourceID=14","3.8")</f>
        <v>3.8</v>
      </c>
      <c r="G5532" s="4" t="str">
        <f>HYPERLINK("http://141.218.60.56/~jnz1568/getInfo.php?workbook=16_08.xlsx&amp;sheet=U0&amp;row=5532&amp;col=7&amp;number=0.0365&amp;sourceID=14","0.0365")</f>
        <v>0.0365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HYPERLINK("http://141.218.60.56/~jnz1568/getInfo.php?workbook=16_08.xlsx&amp;sheet=U0&amp;row=5533&amp;col=6&amp;number=3.9&amp;sourceID=14","3.9")</f>
        <v>3.9</v>
      </c>
      <c r="G5533" s="4" t="str">
        <f>HYPERLINK("http://141.218.60.56/~jnz1568/getInfo.php?workbook=16_08.xlsx&amp;sheet=U0&amp;row=5533&amp;col=7&amp;number=0.0365&amp;sourceID=14","0.0365")</f>
        <v>0.0365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HYPERLINK("http://141.218.60.56/~jnz1568/getInfo.php?workbook=16_08.xlsx&amp;sheet=U0&amp;row=5534&amp;col=6&amp;number=4&amp;sourceID=14","4")</f>
        <v>4</v>
      </c>
      <c r="G5534" s="4" t="str">
        <f>HYPERLINK("http://141.218.60.56/~jnz1568/getInfo.php?workbook=16_08.xlsx&amp;sheet=U0&amp;row=5534&amp;col=7&amp;number=0.0365&amp;sourceID=14","0.0365")</f>
        <v>0.0365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HYPERLINK("http://141.218.60.56/~jnz1568/getInfo.php?workbook=16_08.xlsx&amp;sheet=U0&amp;row=5535&amp;col=6&amp;number=4.1&amp;sourceID=14","4.1")</f>
        <v>4.1</v>
      </c>
      <c r="G5535" s="4" t="str">
        <f>HYPERLINK("http://141.218.60.56/~jnz1568/getInfo.php?workbook=16_08.xlsx&amp;sheet=U0&amp;row=5535&amp;col=7&amp;number=0.0364&amp;sourceID=14","0.0364")</f>
        <v>0.0364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HYPERLINK("http://141.218.60.56/~jnz1568/getInfo.php?workbook=16_08.xlsx&amp;sheet=U0&amp;row=5536&amp;col=6&amp;number=4.2&amp;sourceID=14","4.2")</f>
        <v>4.2</v>
      </c>
      <c r="G5536" s="4" t="str">
        <f>HYPERLINK("http://141.218.60.56/~jnz1568/getInfo.php?workbook=16_08.xlsx&amp;sheet=U0&amp;row=5536&amp;col=7&amp;number=0.0364&amp;sourceID=14","0.0364")</f>
        <v>0.0364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HYPERLINK("http://141.218.60.56/~jnz1568/getInfo.php?workbook=16_08.xlsx&amp;sheet=U0&amp;row=5537&amp;col=6&amp;number=4.3&amp;sourceID=14","4.3")</f>
        <v>4.3</v>
      </c>
      <c r="G5537" s="4" t="str">
        <f>HYPERLINK("http://141.218.60.56/~jnz1568/getInfo.php?workbook=16_08.xlsx&amp;sheet=U0&amp;row=5537&amp;col=7&amp;number=0.0363&amp;sourceID=14","0.0363")</f>
        <v>0.0363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HYPERLINK("http://141.218.60.56/~jnz1568/getInfo.php?workbook=16_08.xlsx&amp;sheet=U0&amp;row=5538&amp;col=6&amp;number=4.4&amp;sourceID=14","4.4")</f>
        <v>4.4</v>
      </c>
      <c r="G5538" s="4" t="str">
        <f>HYPERLINK("http://141.218.60.56/~jnz1568/getInfo.php?workbook=16_08.xlsx&amp;sheet=U0&amp;row=5538&amp;col=7&amp;number=0.0363&amp;sourceID=14","0.0363")</f>
        <v>0.0363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HYPERLINK("http://141.218.60.56/~jnz1568/getInfo.php?workbook=16_08.xlsx&amp;sheet=U0&amp;row=5539&amp;col=6&amp;number=4.5&amp;sourceID=14","4.5")</f>
        <v>4.5</v>
      </c>
      <c r="G5539" s="4" t="str">
        <f>HYPERLINK("http://141.218.60.56/~jnz1568/getInfo.php?workbook=16_08.xlsx&amp;sheet=U0&amp;row=5539&amp;col=7&amp;number=0.0362&amp;sourceID=14","0.0362")</f>
        <v>0.0362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HYPERLINK("http://141.218.60.56/~jnz1568/getInfo.php?workbook=16_08.xlsx&amp;sheet=U0&amp;row=5540&amp;col=6&amp;number=4.6&amp;sourceID=14","4.6")</f>
        <v>4.6</v>
      </c>
      <c r="G5540" s="4" t="str">
        <f>HYPERLINK("http://141.218.60.56/~jnz1568/getInfo.php?workbook=16_08.xlsx&amp;sheet=U0&amp;row=5540&amp;col=7&amp;number=0.0361&amp;sourceID=14","0.0361")</f>
        <v>0.0361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HYPERLINK("http://141.218.60.56/~jnz1568/getInfo.php?workbook=16_08.xlsx&amp;sheet=U0&amp;row=5541&amp;col=6&amp;number=4.7&amp;sourceID=14","4.7")</f>
        <v>4.7</v>
      </c>
      <c r="G5541" s="4" t="str">
        <f>HYPERLINK("http://141.218.60.56/~jnz1568/getInfo.php?workbook=16_08.xlsx&amp;sheet=U0&amp;row=5541&amp;col=7&amp;number=0.036&amp;sourceID=14","0.036")</f>
        <v>0.036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HYPERLINK("http://141.218.60.56/~jnz1568/getInfo.php?workbook=16_08.xlsx&amp;sheet=U0&amp;row=5542&amp;col=6&amp;number=4.8&amp;sourceID=14","4.8")</f>
        <v>4.8</v>
      </c>
      <c r="G5542" s="4" t="str">
        <f>HYPERLINK("http://141.218.60.56/~jnz1568/getInfo.php?workbook=16_08.xlsx&amp;sheet=U0&amp;row=5542&amp;col=7&amp;number=0.0359&amp;sourceID=14","0.0359")</f>
        <v>0.0359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HYPERLINK("http://141.218.60.56/~jnz1568/getInfo.php?workbook=16_08.xlsx&amp;sheet=U0&amp;row=5543&amp;col=6&amp;number=4.9&amp;sourceID=14","4.9")</f>
        <v>4.9</v>
      </c>
      <c r="G5543" s="4" t="str">
        <f>HYPERLINK("http://141.218.60.56/~jnz1568/getInfo.php?workbook=16_08.xlsx&amp;sheet=U0&amp;row=5543&amp;col=7&amp;number=0.0357&amp;sourceID=14","0.0357")</f>
        <v>0.0357</v>
      </c>
    </row>
    <row r="5544" spans="1:7">
      <c r="A5544" s="3">
        <v>16</v>
      </c>
      <c r="B5544" s="3">
        <v>8</v>
      </c>
      <c r="C5544" s="3">
        <v>4</v>
      </c>
      <c r="D5544" s="3">
        <v>30</v>
      </c>
      <c r="E5544" s="3">
        <v>1</v>
      </c>
      <c r="F5544" s="4" t="str">
        <f>HYPERLINK("http://141.218.60.56/~jnz1568/getInfo.php?workbook=16_08.xlsx&amp;sheet=U0&amp;row=5544&amp;col=6&amp;number=3&amp;sourceID=14","3")</f>
        <v>3</v>
      </c>
      <c r="G5544" s="4" t="str">
        <f>HYPERLINK("http://141.218.60.56/~jnz1568/getInfo.php?workbook=16_08.xlsx&amp;sheet=U0&amp;row=5544&amp;col=7&amp;number=0.0124&amp;sourceID=14","0.0124")</f>
        <v>0.0124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HYPERLINK("http://141.218.60.56/~jnz1568/getInfo.php?workbook=16_08.xlsx&amp;sheet=U0&amp;row=5545&amp;col=6&amp;number=3.1&amp;sourceID=14","3.1")</f>
        <v>3.1</v>
      </c>
      <c r="G5545" s="4" t="str">
        <f>HYPERLINK("http://141.218.60.56/~jnz1568/getInfo.php?workbook=16_08.xlsx&amp;sheet=U0&amp;row=5545&amp;col=7&amp;number=0.0124&amp;sourceID=14","0.0124")</f>
        <v>0.0124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HYPERLINK("http://141.218.60.56/~jnz1568/getInfo.php?workbook=16_08.xlsx&amp;sheet=U0&amp;row=5546&amp;col=6&amp;number=3.2&amp;sourceID=14","3.2")</f>
        <v>3.2</v>
      </c>
      <c r="G5546" s="4" t="str">
        <f>HYPERLINK("http://141.218.60.56/~jnz1568/getInfo.php?workbook=16_08.xlsx&amp;sheet=U0&amp;row=5546&amp;col=7&amp;number=0.0124&amp;sourceID=14","0.0124")</f>
        <v>0.0124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HYPERLINK("http://141.218.60.56/~jnz1568/getInfo.php?workbook=16_08.xlsx&amp;sheet=U0&amp;row=5547&amp;col=6&amp;number=3.3&amp;sourceID=14","3.3")</f>
        <v>3.3</v>
      </c>
      <c r="G5547" s="4" t="str">
        <f>HYPERLINK("http://141.218.60.56/~jnz1568/getInfo.php?workbook=16_08.xlsx&amp;sheet=U0&amp;row=5547&amp;col=7&amp;number=0.0124&amp;sourceID=14","0.0124")</f>
        <v>0.0124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HYPERLINK("http://141.218.60.56/~jnz1568/getInfo.php?workbook=16_08.xlsx&amp;sheet=U0&amp;row=5548&amp;col=6&amp;number=3.4&amp;sourceID=14","3.4")</f>
        <v>3.4</v>
      </c>
      <c r="G5548" s="4" t="str">
        <f>HYPERLINK("http://141.218.60.56/~jnz1568/getInfo.php?workbook=16_08.xlsx&amp;sheet=U0&amp;row=5548&amp;col=7&amp;number=0.0124&amp;sourceID=14","0.0124")</f>
        <v>0.0124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HYPERLINK("http://141.218.60.56/~jnz1568/getInfo.php?workbook=16_08.xlsx&amp;sheet=U0&amp;row=5549&amp;col=6&amp;number=3.5&amp;sourceID=14","3.5")</f>
        <v>3.5</v>
      </c>
      <c r="G5549" s="4" t="str">
        <f>HYPERLINK("http://141.218.60.56/~jnz1568/getInfo.php?workbook=16_08.xlsx&amp;sheet=U0&amp;row=5549&amp;col=7&amp;number=0.0124&amp;sourceID=14","0.0124")</f>
        <v>0.0124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HYPERLINK("http://141.218.60.56/~jnz1568/getInfo.php?workbook=16_08.xlsx&amp;sheet=U0&amp;row=5550&amp;col=6&amp;number=3.6&amp;sourceID=14","3.6")</f>
        <v>3.6</v>
      </c>
      <c r="G5550" s="4" t="str">
        <f>HYPERLINK("http://141.218.60.56/~jnz1568/getInfo.php?workbook=16_08.xlsx&amp;sheet=U0&amp;row=5550&amp;col=7&amp;number=0.0124&amp;sourceID=14","0.0124")</f>
        <v>0.0124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HYPERLINK("http://141.218.60.56/~jnz1568/getInfo.php?workbook=16_08.xlsx&amp;sheet=U0&amp;row=5551&amp;col=6&amp;number=3.7&amp;sourceID=14","3.7")</f>
        <v>3.7</v>
      </c>
      <c r="G5551" s="4" t="str">
        <f>HYPERLINK("http://141.218.60.56/~jnz1568/getInfo.php?workbook=16_08.xlsx&amp;sheet=U0&amp;row=5551&amp;col=7&amp;number=0.0124&amp;sourceID=14","0.0124")</f>
        <v>0.0124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HYPERLINK("http://141.218.60.56/~jnz1568/getInfo.php?workbook=16_08.xlsx&amp;sheet=U0&amp;row=5552&amp;col=6&amp;number=3.8&amp;sourceID=14","3.8")</f>
        <v>3.8</v>
      </c>
      <c r="G5552" s="4" t="str">
        <f>HYPERLINK("http://141.218.60.56/~jnz1568/getInfo.php?workbook=16_08.xlsx&amp;sheet=U0&amp;row=5552&amp;col=7&amp;number=0.0124&amp;sourceID=14","0.0124")</f>
        <v>0.0124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HYPERLINK("http://141.218.60.56/~jnz1568/getInfo.php?workbook=16_08.xlsx&amp;sheet=U0&amp;row=5553&amp;col=6&amp;number=3.9&amp;sourceID=14","3.9")</f>
        <v>3.9</v>
      </c>
      <c r="G5553" s="4" t="str">
        <f>HYPERLINK("http://141.218.60.56/~jnz1568/getInfo.php?workbook=16_08.xlsx&amp;sheet=U0&amp;row=5553&amp;col=7&amp;number=0.0124&amp;sourceID=14","0.0124")</f>
        <v>0.0124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HYPERLINK("http://141.218.60.56/~jnz1568/getInfo.php?workbook=16_08.xlsx&amp;sheet=U0&amp;row=5554&amp;col=6&amp;number=4&amp;sourceID=14","4")</f>
        <v>4</v>
      </c>
      <c r="G5554" s="4" t="str">
        <f>HYPERLINK("http://141.218.60.56/~jnz1568/getInfo.php?workbook=16_08.xlsx&amp;sheet=U0&amp;row=5554&amp;col=7&amp;number=0.0124&amp;sourceID=14","0.0124")</f>
        <v>0.0124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HYPERLINK("http://141.218.60.56/~jnz1568/getInfo.php?workbook=16_08.xlsx&amp;sheet=U0&amp;row=5555&amp;col=6&amp;number=4.1&amp;sourceID=14","4.1")</f>
        <v>4.1</v>
      </c>
      <c r="G5555" s="4" t="str">
        <f>HYPERLINK("http://141.218.60.56/~jnz1568/getInfo.php?workbook=16_08.xlsx&amp;sheet=U0&amp;row=5555&amp;col=7&amp;number=0.0124&amp;sourceID=14","0.0124")</f>
        <v>0.0124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HYPERLINK("http://141.218.60.56/~jnz1568/getInfo.php?workbook=16_08.xlsx&amp;sheet=U0&amp;row=5556&amp;col=6&amp;number=4.2&amp;sourceID=14","4.2")</f>
        <v>4.2</v>
      </c>
      <c r="G5556" s="4" t="str">
        <f>HYPERLINK("http://141.218.60.56/~jnz1568/getInfo.php?workbook=16_08.xlsx&amp;sheet=U0&amp;row=5556&amp;col=7&amp;number=0.0123&amp;sourceID=14","0.0123")</f>
        <v>0.0123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HYPERLINK("http://141.218.60.56/~jnz1568/getInfo.php?workbook=16_08.xlsx&amp;sheet=U0&amp;row=5557&amp;col=6&amp;number=4.3&amp;sourceID=14","4.3")</f>
        <v>4.3</v>
      </c>
      <c r="G5557" s="4" t="str">
        <f>HYPERLINK("http://141.218.60.56/~jnz1568/getInfo.php?workbook=16_08.xlsx&amp;sheet=U0&amp;row=5557&amp;col=7&amp;number=0.0123&amp;sourceID=14","0.0123")</f>
        <v>0.0123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HYPERLINK("http://141.218.60.56/~jnz1568/getInfo.php?workbook=16_08.xlsx&amp;sheet=U0&amp;row=5558&amp;col=6&amp;number=4.4&amp;sourceID=14","4.4")</f>
        <v>4.4</v>
      </c>
      <c r="G5558" s="4" t="str">
        <f>HYPERLINK("http://141.218.60.56/~jnz1568/getInfo.php?workbook=16_08.xlsx&amp;sheet=U0&amp;row=5558&amp;col=7&amp;number=0.0123&amp;sourceID=14","0.0123")</f>
        <v>0.0123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HYPERLINK("http://141.218.60.56/~jnz1568/getInfo.php?workbook=16_08.xlsx&amp;sheet=U0&amp;row=5559&amp;col=6&amp;number=4.5&amp;sourceID=14","4.5")</f>
        <v>4.5</v>
      </c>
      <c r="G5559" s="4" t="str">
        <f>HYPERLINK("http://141.218.60.56/~jnz1568/getInfo.php?workbook=16_08.xlsx&amp;sheet=U0&amp;row=5559&amp;col=7&amp;number=0.0123&amp;sourceID=14","0.0123")</f>
        <v>0.0123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HYPERLINK("http://141.218.60.56/~jnz1568/getInfo.php?workbook=16_08.xlsx&amp;sheet=U0&amp;row=5560&amp;col=6&amp;number=4.6&amp;sourceID=14","4.6")</f>
        <v>4.6</v>
      </c>
      <c r="G5560" s="4" t="str">
        <f>HYPERLINK("http://141.218.60.56/~jnz1568/getInfo.php?workbook=16_08.xlsx&amp;sheet=U0&amp;row=5560&amp;col=7&amp;number=0.0123&amp;sourceID=14","0.0123")</f>
        <v>0.0123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HYPERLINK("http://141.218.60.56/~jnz1568/getInfo.php?workbook=16_08.xlsx&amp;sheet=U0&amp;row=5561&amp;col=6&amp;number=4.7&amp;sourceID=14","4.7")</f>
        <v>4.7</v>
      </c>
      <c r="G5561" s="4" t="str">
        <f>HYPERLINK("http://141.218.60.56/~jnz1568/getInfo.php?workbook=16_08.xlsx&amp;sheet=U0&amp;row=5561&amp;col=7&amp;number=0.0123&amp;sourceID=14","0.0123")</f>
        <v>0.0123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HYPERLINK("http://141.218.60.56/~jnz1568/getInfo.php?workbook=16_08.xlsx&amp;sheet=U0&amp;row=5562&amp;col=6&amp;number=4.8&amp;sourceID=14","4.8")</f>
        <v>4.8</v>
      </c>
      <c r="G5562" s="4" t="str">
        <f>HYPERLINK("http://141.218.60.56/~jnz1568/getInfo.php?workbook=16_08.xlsx&amp;sheet=U0&amp;row=5562&amp;col=7&amp;number=0.0123&amp;sourceID=14","0.0123")</f>
        <v>0.0123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HYPERLINK("http://141.218.60.56/~jnz1568/getInfo.php?workbook=16_08.xlsx&amp;sheet=U0&amp;row=5563&amp;col=6&amp;number=4.9&amp;sourceID=14","4.9")</f>
        <v>4.9</v>
      </c>
      <c r="G5563" s="4" t="str">
        <f>HYPERLINK("http://141.218.60.56/~jnz1568/getInfo.php?workbook=16_08.xlsx&amp;sheet=U0&amp;row=5563&amp;col=7&amp;number=0.0123&amp;sourceID=14","0.0123")</f>
        <v>0.0123</v>
      </c>
    </row>
    <row r="5564" spans="1:7">
      <c r="A5564" s="3">
        <v>16</v>
      </c>
      <c r="B5564" s="3">
        <v>8</v>
      </c>
      <c r="C5564" s="3">
        <v>4</v>
      </c>
      <c r="D5564" s="3">
        <v>31</v>
      </c>
      <c r="E5564" s="3">
        <v>1</v>
      </c>
      <c r="F5564" s="4" t="str">
        <f>HYPERLINK("http://141.218.60.56/~jnz1568/getInfo.php?workbook=16_08.xlsx&amp;sheet=U0&amp;row=5564&amp;col=6&amp;number=3&amp;sourceID=14","3")</f>
        <v>3</v>
      </c>
      <c r="G5564" s="4" t="str">
        <f>HYPERLINK("http://141.218.60.56/~jnz1568/getInfo.php?workbook=16_08.xlsx&amp;sheet=U0&amp;row=5564&amp;col=7&amp;number=0.0148&amp;sourceID=14","0.0148")</f>
        <v>0.0148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HYPERLINK("http://141.218.60.56/~jnz1568/getInfo.php?workbook=16_08.xlsx&amp;sheet=U0&amp;row=5565&amp;col=6&amp;number=3.1&amp;sourceID=14","3.1")</f>
        <v>3.1</v>
      </c>
      <c r="G5565" s="4" t="str">
        <f>HYPERLINK("http://141.218.60.56/~jnz1568/getInfo.php?workbook=16_08.xlsx&amp;sheet=U0&amp;row=5565&amp;col=7&amp;number=0.0148&amp;sourceID=14","0.0148")</f>
        <v>0.0148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HYPERLINK("http://141.218.60.56/~jnz1568/getInfo.php?workbook=16_08.xlsx&amp;sheet=U0&amp;row=5566&amp;col=6&amp;number=3.2&amp;sourceID=14","3.2")</f>
        <v>3.2</v>
      </c>
      <c r="G5566" s="4" t="str">
        <f>HYPERLINK("http://141.218.60.56/~jnz1568/getInfo.php?workbook=16_08.xlsx&amp;sheet=U0&amp;row=5566&amp;col=7&amp;number=0.0148&amp;sourceID=14","0.0148")</f>
        <v>0.0148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HYPERLINK("http://141.218.60.56/~jnz1568/getInfo.php?workbook=16_08.xlsx&amp;sheet=U0&amp;row=5567&amp;col=6&amp;number=3.3&amp;sourceID=14","3.3")</f>
        <v>3.3</v>
      </c>
      <c r="G5567" s="4" t="str">
        <f>HYPERLINK("http://141.218.60.56/~jnz1568/getInfo.php?workbook=16_08.xlsx&amp;sheet=U0&amp;row=5567&amp;col=7&amp;number=0.0148&amp;sourceID=14","0.0148")</f>
        <v>0.0148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HYPERLINK("http://141.218.60.56/~jnz1568/getInfo.php?workbook=16_08.xlsx&amp;sheet=U0&amp;row=5568&amp;col=6&amp;number=3.4&amp;sourceID=14","3.4")</f>
        <v>3.4</v>
      </c>
      <c r="G5568" s="4" t="str">
        <f>HYPERLINK("http://141.218.60.56/~jnz1568/getInfo.php?workbook=16_08.xlsx&amp;sheet=U0&amp;row=5568&amp;col=7&amp;number=0.0148&amp;sourceID=14","0.0148")</f>
        <v>0.0148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HYPERLINK("http://141.218.60.56/~jnz1568/getInfo.php?workbook=16_08.xlsx&amp;sheet=U0&amp;row=5569&amp;col=6&amp;number=3.5&amp;sourceID=14","3.5")</f>
        <v>3.5</v>
      </c>
      <c r="G5569" s="4" t="str">
        <f>HYPERLINK("http://141.218.60.56/~jnz1568/getInfo.php?workbook=16_08.xlsx&amp;sheet=U0&amp;row=5569&amp;col=7&amp;number=0.0148&amp;sourceID=14","0.0148")</f>
        <v>0.0148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HYPERLINK("http://141.218.60.56/~jnz1568/getInfo.php?workbook=16_08.xlsx&amp;sheet=U0&amp;row=5570&amp;col=6&amp;number=3.6&amp;sourceID=14","3.6")</f>
        <v>3.6</v>
      </c>
      <c r="G5570" s="4" t="str">
        <f>HYPERLINK("http://141.218.60.56/~jnz1568/getInfo.php?workbook=16_08.xlsx&amp;sheet=U0&amp;row=5570&amp;col=7&amp;number=0.0148&amp;sourceID=14","0.0148")</f>
        <v>0.0148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HYPERLINK("http://141.218.60.56/~jnz1568/getInfo.php?workbook=16_08.xlsx&amp;sheet=U0&amp;row=5571&amp;col=6&amp;number=3.7&amp;sourceID=14","3.7")</f>
        <v>3.7</v>
      </c>
      <c r="G5571" s="4" t="str">
        <f>HYPERLINK("http://141.218.60.56/~jnz1568/getInfo.php?workbook=16_08.xlsx&amp;sheet=U0&amp;row=5571&amp;col=7&amp;number=0.0148&amp;sourceID=14","0.0148")</f>
        <v>0.0148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HYPERLINK("http://141.218.60.56/~jnz1568/getInfo.php?workbook=16_08.xlsx&amp;sheet=U0&amp;row=5572&amp;col=6&amp;number=3.8&amp;sourceID=14","3.8")</f>
        <v>3.8</v>
      </c>
      <c r="G5572" s="4" t="str">
        <f>HYPERLINK("http://141.218.60.56/~jnz1568/getInfo.php?workbook=16_08.xlsx&amp;sheet=U0&amp;row=5572&amp;col=7&amp;number=0.0148&amp;sourceID=14","0.0148")</f>
        <v>0.0148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HYPERLINK("http://141.218.60.56/~jnz1568/getInfo.php?workbook=16_08.xlsx&amp;sheet=U0&amp;row=5573&amp;col=6&amp;number=3.9&amp;sourceID=14","3.9")</f>
        <v>3.9</v>
      </c>
      <c r="G5573" s="4" t="str">
        <f>HYPERLINK("http://141.218.60.56/~jnz1568/getInfo.php?workbook=16_08.xlsx&amp;sheet=U0&amp;row=5573&amp;col=7&amp;number=0.0148&amp;sourceID=14","0.0148")</f>
        <v>0.0148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HYPERLINK("http://141.218.60.56/~jnz1568/getInfo.php?workbook=16_08.xlsx&amp;sheet=U0&amp;row=5574&amp;col=6&amp;number=4&amp;sourceID=14","4")</f>
        <v>4</v>
      </c>
      <c r="G5574" s="4" t="str">
        <f>HYPERLINK("http://141.218.60.56/~jnz1568/getInfo.php?workbook=16_08.xlsx&amp;sheet=U0&amp;row=5574&amp;col=7&amp;number=0.0148&amp;sourceID=14","0.0148")</f>
        <v>0.0148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HYPERLINK("http://141.218.60.56/~jnz1568/getInfo.php?workbook=16_08.xlsx&amp;sheet=U0&amp;row=5575&amp;col=6&amp;number=4.1&amp;sourceID=14","4.1")</f>
        <v>4.1</v>
      </c>
      <c r="G5575" s="4" t="str">
        <f>HYPERLINK("http://141.218.60.56/~jnz1568/getInfo.php?workbook=16_08.xlsx&amp;sheet=U0&amp;row=5575&amp;col=7&amp;number=0.0148&amp;sourceID=14","0.0148")</f>
        <v>0.0148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HYPERLINK("http://141.218.60.56/~jnz1568/getInfo.php?workbook=16_08.xlsx&amp;sheet=U0&amp;row=5576&amp;col=6&amp;number=4.2&amp;sourceID=14","4.2")</f>
        <v>4.2</v>
      </c>
      <c r="G5576" s="4" t="str">
        <f>HYPERLINK("http://141.218.60.56/~jnz1568/getInfo.php?workbook=16_08.xlsx&amp;sheet=U0&amp;row=5576&amp;col=7&amp;number=0.0148&amp;sourceID=14","0.0148")</f>
        <v>0.0148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HYPERLINK("http://141.218.60.56/~jnz1568/getInfo.php?workbook=16_08.xlsx&amp;sheet=U0&amp;row=5577&amp;col=6&amp;number=4.3&amp;sourceID=14","4.3")</f>
        <v>4.3</v>
      </c>
      <c r="G5577" s="4" t="str">
        <f>HYPERLINK("http://141.218.60.56/~jnz1568/getInfo.php?workbook=16_08.xlsx&amp;sheet=U0&amp;row=5577&amp;col=7&amp;number=0.0147&amp;sourceID=14","0.0147")</f>
        <v>0.0147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HYPERLINK("http://141.218.60.56/~jnz1568/getInfo.php?workbook=16_08.xlsx&amp;sheet=U0&amp;row=5578&amp;col=6&amp;number=4.4&amp;sourceID=14","4.4")</f>
        <v>4.4</v>
      </c>
      <c r="G5578" s="4" t="str">
        <f>HYPERLINK("http://141.218.60.56/~jnz1568/getInfo.php?workbook=16_08.xlsx&amp;sheet=U0&amp;row=5578&amp;col=7&amp;number=0.0147&amp;sourceID=14","0.0147")</f>
        <v>0.0147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HYPERLINK("http://141.218.60.56/~jnz1568/getInfo.php?workbook=16_08.xlsx&amp;sheet=U0&amp;row=5579&amp;col=6&amp;number=4.5&amp;sourceID=14","4.5")</f>
        <v>4.5</v>
      </c>
      <c r="G5579" s="4" t="str">
        <f>HYPERLINK("http://141.218.60.56/~jnz1568/getInfo.php?workbook=16_08.xlsx&amp;sheet=U0&amp;row=5579&amp;col=7&amp;number=0.0147&amp;sourceID=14","0.0147")</f>
        <v>0.0147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HYPERLINK("http://141.218.60.56/~jnz1568/getInfo.php?workbook=16_08.xlsx&amp;sheet=U0&amp;row=5580&amp;col=6&amp;number=4.6&amp;sourceID=14","4.6")</f>
        <v>4.6</v>
      </c>
      <c r="G5580" s="4" t="str">
        <f>HYPERLINK("http://141.218.60.56/~jnz1568/getInfo.php?workbook=16_08.xlsx&amp;sheet=U0&amp;row=5580&amp;col=7&amp;number=0.0147&amp;sourceID=14","0.0147")</f>
        <v>0.0147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HYPERLINK("http://141.218.60.56/~jnz1568/getInfo.php?workbook=16_08.xlsx&amp;sheet=U0&amp;row=5581&amp;col=6&amp;number=4.7&amp;sourceID=14","4.7")</f>
        <v>4.7</v>
      </c>
      <c r="G5581" s="4" t="str">
        <f>HYPERLINK("http://141.218.60.56/~jnz1568/getInfo.php?workbook=16_08.xlsx&amp;sheet=U0&amp;row=5581&amp;col=7&amp;number=0.0146&amp;sourceID=14","0.0146")</f>
        <v>0.0146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HYPERLINK("http://141.218.60.56/~jnz1568/getInfo.php?workbook=16_08.xlsx&amp;sheet=U0&amp;row=5582&amp;col=6&amp;number=4.8&amp;sourceID=14","4.8")</f>
        <v>4.8</v>
      </c>
      <c r="G5582" s="4" t="str">
        <f>HYPERLINK("http://141.218.60.56/~jnz1568/getInfo.php?workbook=16_08.xlsx&amp;sheet=U0&amp;row=5582&amp;col=7&amp;number=0.0146&amp;sourceID=14","0.0146")</f>
        <v>0.0146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HYPERLINK("http://141.218.60.56/~jnz1568/getInfo.php?workbook=16_08.xlsx&amp;sheet=U0&amp;row=5583&amp;col=6&amp;number=4.9&amp;sourceID=14","4.9")</f>
        <v>4.9</v>
      </c>
      <c r="G5583" s="4" t="str">
        <f>HYPERLINK("http://141.218.60.56/~jnz1568/getInfo.php?workbook=16_08.xlsx&amp;sheet=U0&amp;row=5583&amp;col=7&amp;number=0.0146&amp;sourceID=14","0.0146")</f>
        <v>0.0146</v>
      </c>
    </row>
    <row r="5584" spans="1:7">
      <c r="A5584" s="3">
        <v>16</v>
      </c>
      <c r="B5584" s="3">
        <v>8</v>
      </c>
      <c r="C5584" s="3">
        <v>4</v>
      </c>
      <c r="D5584" s="3">
        <v>32</v>
      </c>
      <c r="E5584" s="3">
        <v>1</v>
      </c>
      <c r="F5584" s="4" t="str">
        <f>HYPERLINK("http://141.218.60.56/~jnz1568/getInfo.php?workbook=16_08.xlsx&amp;sheet=U0&amp;row=5584&amp;col=6&amp;number=3&amp;sourceID=14","3")</f>
        <v>3</v>
      </c>
      <c r="G5584" s="4" t="str">
        <f>HYPERLINK("http://141.218.60.56/~jnz1568/getInfo.php?workbook=16_08.xlsx&amp;sheet=U0&amp;row=5584&amp;col=7&amp;number=0.0225&amp;sourceID=14","0.0225")</f>
        <v>0.0225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HYPERLINK("http://141.218.60.56/~jnz1568/getInfo.php?workbook=16_08.xlsx&amp;sheet=U0&amp;row=5585&amp;col=6&amp;number=3.1&amp;sourceID=14","3.1")</f>
        <v>3.1</v>
      </c>
      <c r="G5585" s="4" t="str">
        <f>HYPERLINK("http://141.218.60.56/~jnz1568/getInfo.php?workbook=16_08.xlsx&amp;sheet=U0&amp;row=5585&amp;col=7&amp;number=0.0225&amp;sourceID=14","0.0225")</f>
        <v>0.0225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HYPERLINK("http://141.218.60.56/~jnz1568/getInfo.php?workbook=16_08.xlsx&amp;sheet=U0&amp;row=5586&amp;col=6&amp;number=3.2&amp;sourceID=14","3.2")</f>
        <v>3.2</v>
      </c>
      <c r="G5586" s="4" t="str">
        <f>HYPERLINK("http://141.218.60.56/~jnz1568/getInfo.php?workbook=16_08.xlsx&amp;sheet=U0&amp;row=5586&amp;col=7&amp;number=0.0225&amp;sourceID=14","0.0225")</f>
        <v>0.0225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HYPERLINK("http://141.218.60.56/~jnz1568/getInfo.php?workbook=16_08.xlsx&amp;sheet=U0&amp;row=5587&amp;col=6&amp;number=3.3&amp;sourceID=14","3.3")</f>
        <v>3.3</v>
      </c>
      <c r="G5587" s="4" t="str">
        <f>HYPERLINK("http://141.218.60.56/~jnz1568/getInfo.php?workbook=16_08.xlsx&amp;sheet=U0&amp;row=5587&amp;col=7&amp;number=0.0225&amp;sourceID=14","0.0225")</f>
        <v>0.0225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HYPERLINK("http://141.218.60.56/~jnz1568/getInfo.php?workbook=16_08.xlsx&amp;sheet=U0&amp;row=5588&amp;col=6&amp;number=3.4&amp;sourceID=14","3.4")</f>
        <v>3.4</v>
      </c>
      <c r="G5588" s="4" t="str">
        <f>HYPERLINK("http://141.218.60.56/~jnz1568/getInfo.php?workbook=16_08.xlsx&amp;sheet=U0&amp;row=5588&amp;col=7&amp;number=0.0225&amp;sourceID=14","0.0225")</f>
        <v>0.0225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HYPERLINK("http://141.218.60.56/~jnz1568/getInfo.php?workbook=16_08.xlsx&amp;sheet=U0&amp;row=5589&amp;col=6&amp;number=3.5&amp;sourceID=14","3.5")</f>
        <v>3.5</v>
      </c>
      <c r="G5589" s="4" t="str">
        <f>HYPERLINK("http://141.218.60.56/~jnz1568/getInfo.php?workbook=16_08.xlsx&amp;sheet=U0&amp;row=5589&amp;col=7&amp;number=0.0225&amp;sourceID=14","0.0225")</f>
        <v>0.0225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HYPERLINK("http://141.218.60.56/~jnz1568/getInfo.php?workbook=16_08.xlsx&amp;sheet=U0&amp;row=5590&amp;col=6&amp;number=3.6&amp;sourceID=14","3.6")</f>
        <v>3.6</v>
      </c>
      <c r="G5590" s="4" t="str">
        <f>HYPERLINK("http://141.218.60.56/~jnz1568/getInfo.php?workbook=16_08.xlsx&amp;sheet=U0&amp;row=5590&amp;col=7&amp;number=0.0225&amp;sourceID=14","0.0225")</f>
        <v>0.0225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HYPERLINK("http://141.218.60.56/~jnz1568/getInfo.php?workbook=16_08.xlsx&amp;sheet=U0&amp;row=5591&amp;col=6&amp;number=3.7&amp;sourceID=14","3.7")</f>
        <v>3.7</v>
      </c>
      <c r="G5591" s="4" t="str">
        <f>HYPERLINK("http://141.218.60.56/~jnz1568/getInfo.php?workbook=16_08.xlsx&amp;sheet=U0&amp;row=5591&amp;col=7&amp;number=0.0225&amp;sourceID=14","0.0225")</f>
        <v>0.0225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HYPERLINK("http://141.218.60.56/~jnz1568/getInfo.php?workbook=16_08.xlsx&amp;sheet=U0&amp;row=5592&amp;col=6&amp;number=3.8&amp;sourceID=14","3.8")</f>
        <v>3.8</v>
      </c>
      <c r="G5592" s="4" t="str">
        <f>HYPERLINK("http://141.218.60.56/~jnz1568/getInfo.php?workbook=16_08.xlsx&amp;sheet=U0&amp;row=5592&amp;col=7&amp;number=0.0225&amp;sourceID=14","0.0225")</f>
        <v>0.0225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HYPERLINK("http://141.218.60.56/~jnz1568/getInfo.php?workbook=16_08.xlsx&amp;sheet=U0&amp;row=5593&amp;col=6&amp;number=3.9&amp;sourceID=14","3.9")</f>
        <v>3.9</v>
      </c>
      <c r="G5593" s="4" t="str">
        <f>HYPERLINK("http://141.218.60.56/~jnz1568/getInfo.php?workbook=16_08.xlsx&amp;sheet=U0&amp;row=5593&amp;col=7&amp;number=0.0225&amp;sourceID=14","0.0225")</f>
        <v>0.0225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HYPERLINK("http://141.218.60.56/~jnz1568/getInfo.php?workbook=16_08.xlsx&amp;sheet=U0&amp;row=5594&amp;col=6&amp;number=4&amp;sourceID=14","4")</f>
        <v>4</v>
      </c>
      <c r="G5594" s="4" t="str">
        <f>HYPERLINK("http://141.218.60.56/~jnz1568/getInfo.php?workbook=16_08.xlsx&amp;sheet=U0&amp;row=5594&amp;col=7&amp;number=0.0225&amp;sourceID=14","0.0225")</f>
        <v>0.0225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HYPERLINK("http://141.218.60.56/~jnz1568/getInfo.php?workbook=16_08.xlsx&amp;sheet=U0&amp;row=5595&amp;col=6&amp;number=4.1&amp;sourceID=14","4.1")</f>
        <v>4.1</v>
      </c>
      <c r="G5595" s="4" t="str">
        <f>HYPERLINK("http://141.218.60.56/~jnz1568/getInfo.php?workbook=16_08.xlsx&amp;sheet=U0&amp;row=5595&amp;col=7&amp;number=0.0225&amp;sourceID=14","0.0225")</f>
        <v>0.0225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HYPERLINK("http://141.218.60.56/~jnz1568/getInfo.php?workbook=16_08.xlsx&amp;sheet=U0&amp;row=5596&amp;col=6&amp;number=4.2&amp;sourceID=14","4.2")</f>
        <v>4.2</v>
      </c>
      <c r="G5596" s="4" t="str">
        <f>HYPERLINK("http://141.218.60.56/~jnz1568/getInfo.php?workbook=16_08.xlsx&amp;sheet=U0&amp;row=5596&amp;col=7&amp;number=0.0225&amp;sourceID=14","0.0225")</f>
        <v>0.0225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HYPERLINK("http://141.218.60.56/~jnz1568/getInfo.php?workbook=16_08.xlsx&amp;sheet=U0&amp;row=5597&amp;col=6&amp;number=4.3&amp;sourceID=14","4.3")</f>
        <v>4.3</v>
      </c>
      <c r="G5597" s="4" t="str">
        <f>HYPERLINK("http://141.218.60.56/~jnz1568/getInfo.php?workbook=16_08.xlsx&amp;sheet=U0&amp;row=5597&amp;col=7&amp;number=0.0224&amp;sourceID=14","0.0224")</f>
        <v>0.0224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HYPERLINK("http://141.218.60.56/~jnz1568/getInfo.php?workbook=16_08.xlsx&amp;sheet=U0&amp;row=5598&amp;col=6&amp;number=4.4&amp;sourceID=14","4.4")</f>
        <v>4.4</v>
      </c>
      <c r="G5598" s="4" t="str">
        <f>HYPERLINK("http://141.218.60.56/~jnz1568/getInfo.php?workbook=16_08.xlsx&amp;sheet=U0&amp;row=5598&amp;col=7&amp;number=0.0224&amp;sourceID=14","0.0224")</f>
        <v>0.0224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HYPERLINK("http://141.218.60.56/~jnz1568/getInfo.php?workbook=16_08.xlsx&amp;sheet=U0&amp;row=5599&amp;col=6&amp;number=4.5&amp;sourceID=14","4.5")</f>
        <v>4.5</v>
      </c>
      <c r="G5599" s="4" t="str">
        <f>HYPERLINK("http://141.218.60.56/~jnz1568/getInfo.php?workbook=16_08.xlsx&amp;sheet=U0&amp;row=5599&amp;col=7&amp;number=0.0224&amp;sourceID=14","0.0224")</f>
        <v>0.0224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HYPERLINK("http://141.218.60.56/~jnz1568/getInfo.php?workbook=16_08.xlsx&amp;sheet=U0&amp;row=5600&amp;col=6&amp;number=4.6&amp;sourceID=14","4.6")</f>
        <v>4.6</v>
      </c>
      <c r="G5600" s="4" t="str">
        <f>HYPERLINK("http://141.218.60.56/~jnz1568/getInfo.php?workbook=16_08.xlsx&amp;sheet=U0&amp;row=5600&amp;col=7&amp;number=0.0223&amp;sourceID=14","0.0223")</f>
        <v>0.0223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HYPERLINK("http://141.218.60.56/~jnz1568/getInfo.php?workbook=16_08.xlsx&amp;sheet=U0&amp;row=5601&amp;col=6&amp;number=4.7&amp;sourceID=14","4.7")</f>
        <v>4.7</v>
      </c>
      <c r="G5601" s="4" t="str">
        <f>HYPERLINK("http://141.218.60.56/~jnz1568/getInfo.php?workbook=16_08.xlsx&amp;sheet=U0&amp;row=5601&amp;col=7&amp;number=0.0223&amp;sourceID=14","0.0223")</f>
        <v>0.0223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HYPERLINK("http://141.218.60.56/~jnz1568/getInfo.php?workbook=16_08.xlsx&amp;sheet=U0&amp;row=5602&amp;col=6&amp;number=4.8&amp;sourceID=14","4.8")</f>
        <v>4.8</v>
      </c>
      <c r="G5602" s="4" t="str">
        <f>HYPERLINK("http://141.218.60.56/~jnz1568/getInfo.php?workbook=16_08.xlsx&amp;sheet=U0&amp;row=5602&amp;col=7&amp;number=0.0222&amp;sourceID=14","0.0222")</f>
        <v>0.0222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HYPERLINK("http://141.218.60.56/~jnz1568/getInfo.php?workbook=16_08.xlsx&amp;sheet=U0&amp;row=5603&amp;col=6&amp;number=4.9&amp;sourceID=14","4.9")</f>
        <v>4.9</v>
      </c>
      <c r="G5603" s="4" t="str">
        <f>HYPERLINK("http://141.218.60.56/~jnz1568/getInfo.php?workbook=16_08.xlsx&amp;sheet=U0&amp;row=5603&amp;col=7&amp;number=0.0222&amp;sourceID=14","0.0222")</f>
        <v>0.0222</v>
      </c>
    </row>
    <row r="5604" spans="1:7">
      <c r="A5604" s="3">
        <v>16</v>
      </c>
      <c r="B5604" s="3">
        <v>8</v>
      </c>
      <c r="C5604" s="3">
        <v>4</v>
      </c>
      <c r="D5604" s="3">
        <v>33</v>
      </c>
      <c r="E5604" s="3">
        <v>1</v>
      </c>
      <c r="F5604" s="4" t="str">
        <f>HYPERLINK("http://141.218.60.56/~jnz1568/getInfo.php?workbook=16_08.xlsx&amp;sheet=U0&amp;row=5604&amp;col=6&amp;number=3&amp;sourceID=14","3")</f>
        <v>3</v>
      </c>
      <c r="G5604" s="4" t="str">
        <f>HYPERLINK("http://141.218.60.56/~jnz1568/getInfo.php?workbook=16_08.xlsx&amp;sheet=U0&amp;row=5604&amp;col=7&amp;number=0.0295&amp;sourceID=14","0.0295")</f>
        <v>0.0295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HYPERLINK("http://141.218.60.56/~jnz1568/getInfo.php?workbook=16_08.xlsx&amp;sheet=U0&amp;row=5605&amp;col=6&amp;number=3.1&amp;sourceID=14","3.1")</f>
        <v>3.1</v>
      </c>
      <c r="G5605" s="4" t="str">
        <f>HYPERLINK("http://141.218.60.56/~jnz1568/getInfo.php?workbook=16_08.xlsx&amp;sheet=U0&amp;row=5605&amp;col=7&amp;number=0.0295&amp;sourceID=14","0.0295")</f>
        <v>0.0295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HYPERLINK("http://141.218.60.56/~jnz1568/getInfo.php?workbook=16_08.xlsx&amp;sheet=U0&amp;row=5606&amp;col=6&amp;number=3.2&amp;sourceID=14","3.2")</f>
        <v>3.2</v>
      </c>
      <c r="G5606" s="4" t="str">
        <f>HYPERLINK("http://141.218.60.56/~jnz1568/getInfo.php?workbook=16_08.xlsx&amp;sheet=U0&amp;row=5606&amp;col=7&amp;number=0.0295&amp;sourceID=14","0.0295")</f>
        <v>0.0295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HYPERLINK("http://141.218.60.56/~jnz1568/getInfo.php?workbook=16_08.xlsx&amp;sheet=U0&amp;row=5607&amp;col=6&amp;number=3.3&amp;sourceID=14","3.3")</f>
        <v>3.3</v>
      </c>
      <c r="G5607" s="4" t="str">
        <f>HYPERLINK("http://141.218.60.56/~jnz1568/getInfo.php?workbook=16_08.xlsx&amp;sheet=U0&amp;row=5607&amp;col=7&amp;number=0.0295&amp;sourceID=14","0.0295")</f>
        <v>0.0295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HYPERLINK("http://141.218.60.56/~jnz1568/getInfo.php?workbook=16_08.xlsx&amp;sheet=U0&amp;row=5608&amp;col=6&amp;number=3.4&amp;sourceID=14","3.4")</f>
        <v>3.4</v>
      </c>
      <c r="G5608" s="4" t="str">
        <f>HYPERLINK("http://141.218.60.56/~jnz1568/getInfo.php?workbook=16_08.xlsx&amp;sheet=U0&amp;row=5608&amp;col=7&amp;number=0.0295&amp;sourceID=14","0.0295")</f>
        <v>0.0295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HYPERLINK("http://141.218.60.56/~jnz1568/getInfo.php?workbook=16_08.xlsx&amp;sheet=U0&amp;row=5609&amp;col=6&amp;number=3.5&amp;sourceID=14","3.5")</f>
        <v>3.5</v>
      </c>
      <c r="G5609" s="4" t="str">
        <f>HYPERLINK("http://141.218.60.56/~jnz1568/getInfo.php?workbook=16_08.xlsx&amp;sheet=U0&amp;row=5609&amp;col=7&amp;number=0.0295&amp;sourceID=14","0.0295")</f>
        <v>0.0295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HYPERLINK("http://141.218.60.56/~jnz1568/getInfo.php?workbook=16_08.xlsx&amp;sheet=U0&amp;row=5610&amp;col=6&amp;number=3.6&amp;sourceID=14","3.6")</f>
        <v>3.6</v>
      </c>
      <c r="G5610" s="4" t="str">
        <f>HYPERLINK("http://141.218.60.56/~jnz1568/getInfo.php?workbook=16_08.xlsx&amp;sheet=U0&amp;row=5610&amp;col=7&amp;number=0.0295&amp;sourceID=14","0.0295")</f>
        <v>0.0295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HYPERLINK("http://141.218.60.56/~jnz1568/getInfo.php?workbook=16_08.xlsx&amp;sheet=U0&amp;row=5611&amp;col=6&amp;number=3.7&amp;sourceID=14","3.7")</f>
        <v>3.7</v>
      </c>
      <c r="G5611" s="4" t="str">
        <f>HYPERLINK("http://141.218.60.56/~jnz1568/getInfo.php?workbook=16_08.xlsx&amp;sheet=U0&amp;row=5611&amp;col=7&amp;number=0.0295&amp;sourceID=14","0.0295")</f>
        <v>0.0295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HYPERLINK("http://141.218.60.56/~jnz1568/getInfo.php?workbook=16_08.xlsx&amp;sheet=U0&amp;row=5612&amp;col=6&amp;number=3.8&amp;sourceID=14","3.8")</f>
        <v>3.8</v>
      </c>
      <c r="G5612" s="4" t="str">
        <f>HYPERLINK("http://141.218.60.56/~jnz1568/getInfo.php?workbook=16_08.xlsx&amp;sheet=U0&amp;row=5612&amp;col=7&amp;number=0.0295&amp;sourceID=14","0.0295")</f>
        <v>0.0295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HYPERLINK("http://141.218.60.56/~jnz1568/getInfo.php?workbook=16_08.xlsx&amp;sheet=U0&amp;row=5613&amp;col=6&amp;number=3.9&amp;sourceID=14","3.9")</f>
        <v>3.9</v>
      </c>
      <c r="G5613" s="4" t="str">
        <f>HYPERLINK("http://141.218.60.56/~jnz1568/getInfo.php?workbook=16_08.xlsx&amp;sheet=U0&amp;row=5613&amp;col=7&amp;number=0.0294&amp;sourceID=14","0.0294")</f>
        <v>0.0294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HYPERLINK("http://141.218.60.56/~jnz1568/getInfo.php?workbook=16_08.xlsx&amp;sheet=U0&amp;row=5614&amp;col=6&amp;number=4&amp;sourceID=14","4")</f>
        <v>4</v>
      </c>
      <c r="G5614" s="4" t="str">
        <f>HYPERLINK("http://141.218.60.56/~jnz1568/getInfo.php?workbook=16_08.xlsx&amp;sheet=U0&amp;row=5614&amp;col=7&amp;number=0.0294&amp;sourceID=14","0.0294")</f>
        <v>0.0294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HYPERLINK("http://141.218.60.56/~jnz1568/getInfo.php?workbook=16_08.xlsx&amp;sheet=U0&amp;row=5615&amp;col=6&amp;number=4.1&amp;sourceID=14","4.1")</f>
        <v>4.1</v>
      </c>
      <c r="G5615" s="4" t="str">
        <f>HYPERLINK("http://141.218.60.56/~jnz1568/getInfo.php?workbook=16_08.xlsx&amp;sheet=U0&amp;row=5615&amp;col=7&amp;number=0.0294&amp;sourceID=14","0.0294")</f>
        <v>0.0294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HYPERLINK("http://141.218.60.56/~jnz1568/getInfo.php?workbook=16_08.xlsx&amp;sheet=U0&amp;row=5616&amp;col=6&amp;number=4.2&amp;sourceID=14","4.2")</f>
        <v>4.2</v>
      </c>
      <c r="G5616" s="4" t="str">
        <f>HYPERLINK("http://141.218.60.56/~jnz1568/getInfo.php?workbook=16_08.xlsx&amp;sheet=U0&amp;row=5616&amp;col=7&amp;number=0.0294&amp;sourceID=14","0.0294")</f>
        <v>0.0294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HYPERLINK("http://141.218.60.56/~jnz1568/getInfo.php?workbook=16_08.xlsx&amp;sheet=U0&amp;row=5617&amp;col=6&amp;number=4.3&amp;sourceID=14","4.3")</f>
        <v>4.3</v>
      </c>
      <c r="G5617" s="4" t="str">
        <f>HYPERLINK("http://141.218.60.56/~jnz1568/getInfo.php?workbook=16_08.xlsx&amp;sheet=U0&amp;row=5617&amp;col=7&amp;number=0.0294&amp;sourceID=14","0.0294")</f>
        <v>0.0294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HYPERLINK("http://141.218.60.56/~jnz1568/getInfo.php?workbook=16_08.xlsx&amp;sheet=U0&amp;row=5618&amp;col=6&amp;number=4.4&amp;sourceID=14","4.4")</f>
        <v>4.4</v>
      </c>
      <c r="G5618" s="4" t="str">
        <f>HYPERLINK("http://141.218.60.56/~jnz1568/getInfo.php?workbook=16_08.xlsx&amp;sheet=U0&amp;row=5618&amp;col=7&amp;number=0.0293&amp;sourceID=14","0.0293")</f>
        <v>0.0293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HYPERLINK("http://141.218.60.56/~jnz1568/getInfo.php?workbook=16_08.xlsx&amp;sheet=U0&amp;row=5619&amp;col=6&amp;number=4.5&amp;sourceID=14","4.5")</f>
        <v>4.5</v>
      </c>
      <c r="G5619" s="4" t="str">
        <f>HYPERLINK("http://141.218.60.56/~jnz1568/getInfo.php?workbook=16_08.xlsx&amp;sheet=U0&amp;row=5619&amp;col=7&amp;number=0.0293&amp;sourceID=14","0.0293")</f>
        <v>0.0293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HYPERLINK("http://141.218.60.56/~jnz1568/getInfo.php?workbook=16_08.xlsx&amp;sheet=U0&amp;row=5620&amp;col=6&amp;number=4.6&amp;sourceID=14","4.6")</f>
        <v>4.6</v>
      </c>
      <c r="G5620" s="4" t="str">
        <f>HYPERLINK("http://141.218.60.56/~jnz1568/getInfo.php?workbook=16_08.xlsx&amp;sheet=U0&amp;row=5620&amp;col=7&amp;number=0.0292&amp;sourceID=14","0.0292")</f>
        <v>0.0292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HYPERLINK("http://141.218.60.56/~jnz1568/getInfo.php?workbook=16_08.xlsx&amp;sheet=U0&amp;row=5621&amp;col=6&amp;number=4.7&amp;sourceID=14","4.7")</f>
        <v>4.7</v>
      </c>
      <c r="G5621" s="4" t="str">
        <f>HYPERLINK("http://141.218.60.56/~jnz1568/getInfo.php?workbook=16_08.xlsx&amp;sheet=U0&amp;row=5621&amp;col=7&amp;number=0.0292&amp;sourceID=14","0.0292")</f>
        <v>0.0292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HYPERLINK("http://141.218.60.56/~jnz1568/getInfo.php?workbook=16_08.xlsx&amp;sheet=U0&amp;row=5622&amp;col=6&amp;number=4.8&amp;sourceID=14","4.8")</f>
        <v>4.8</v>
      </c>
      <c r="G5622" s="4" t="str">
        <f>HYPERLINK("http://141.218.60.56/~jnz1568/getInfo.php?workbook=16_08.xlsx&amp;sheet=U0&amp;row=5622&amp;col=7&amp;number=0.0291&amp;sourceID=14","0.0291")</f>
        <v>0.0291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HYPERLINK("http://141.218.60.56/~jnz1568/getInfo.php?workbook=16_08.xlsx&amp;sheet=U0&amp;row=5623&amp;col=6&amp;number=4.9&amp;sourceID=14","4.9")</f>
        <v>4.9</v>
      </c>
      <c r="G5623" s="4" t="str">
        <f>HYPERLINK("http://141.218.60.56/~jnz1568/getInfo.php?workbook=16_08.xlsx&amp;sheet=U0&amp;row=5623&amp;col=7&amp;number=0.029&amp;sourceID=14","0.029")</f>
        <v>0.029</v>
      </c>
    </row>
    <row r="5624" spans="1:7">
      <c r="A5624" s="3">
        <v>16</v>
      </c>
      <c r="B5624" s="3">
        <v>8</v>
      </c>
      <c r="C5624" s="3">
        <v>4</v>
      </c>
      <c r="D5624" s="3">
        <v>34</v>
      </c>
      <c r="E5624" s="3">
        <v>1</v>
      </c>
      <c r="F5624" s="4" t="str">
        <f>HYPERLINK("http://141.218.60.56/~jnz1568/getInfo.php?workbook=16_08.xlsx&amp;sheet=U0&amp;row=5624&amp;col=6&amp;number=3&amp;sourceID=14","3")</f>
        <v>3</v>
      </c>
      <c r="G5624" s="4" t="str">
        <f>HYPERLINK("http://141.218.60.56/~jnz1568/getInfo.php?workbook=16_08.xlsx&amp;sheet=U0&amp;row=5624&amp;col=7&amp;number=0.0246&amp;sourceID=14","0.0246")</f>
        <v>0.0246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HYPERLINK("http://141.218.60.56/~jnz1568/getInfo.php?workbook=16_08.xlsx&amp;sheet=U0&amp;row=5625&amp;col=6&amp;number=3.1&amp;sourceID=14","3.1")</f>
        <v>3.1</v>
      </c>
      <c r="G5625" s="4" t="str">
        <f>HYPERLINK("http://141.218.60.56/~jnz1568/getInfo.php?workbook=16_08.xlsx&amp;sheet=U0&amp;row=5625&amp;col=7&amp;number=0.0246&amp;sourceID=14","0.0246")</f>
        <v>0.0246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HYPERLINK("http://141.218.60.56/~jnz1568/getInfo.php?workbook=16_08.xlsx&amp;sheet=U0&amp;row=5626&amp;col=6&amp;number=3.2&amp;sourceID=14","3.2")</f>
        <v>3.2</v>
      </c>
      <c r="G5626" s="4" t="str">
        <f>HYPERLINK("http://141.218.60.56/~jnz1568/getInfo.php?workbook=16_08.xlsx&amp;sheet=U0&amp;row=5626&amp;col=7&amp;number=0.0246&amp;sourceID=14","0.0246")</f>
        <v>0.0246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HYPERLINK("http://141.218.60.56/~jnz1568/getInfo.php?workbook=16_08.xlsx&amp;sheet=U0&amp;row=5627&amp;col=6&amp;number=3.3&amp;sourceID=14","3.3")</f>
        <v>3.3</v>
      </c>
      <c r="G5627" s="4" t="str">
        <f>HYPERLINK("http://141.218.60.56/~jnz1568/getInfo.php?workbook=16_08.xlsx&amp;sheet=U0&amp;row=5627&amp;col=7&amp;number=0.0246&amp;sourceID=14","0.0246")</f>
        <v>0.0246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HYPERLINK("http://141.218.60.56/~jnz1568/getInfo.php?workbook=16_08.xlsx&amp;sheet=U0&amp;row=5628&amp;col=6&amp;number=3.4&amp;sourceID=14","3.4")</f>
        <v>3.4</v>
      </c>
      <c r="G5628" s="4" t="str">
        <f>HYPERLINK("http://141.218.60.56/~jnz1568/getInfo.php?workbook=16_08.xlsx&amp;sheet=U0&amp;row=5628&amp;col=7&amp;number=0.0246&amp;sourceID=14","0.0246")</f>
        <v>0.0246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HYPERLINK("http://141.218.60.56/~jnz1568/getInfo.php?workbook=16_08.xlsx&amp;sheet=U0&amp;row=5629&amp;col=6&amp;number=3.5&amp;sourceID=14","3.5")</f>
        <v>3.5</v>
      </c>
      <c r="G5629" s="4" t="str">
        <f>HYPERLINK("http://141.218.60.56/~jnz1568/getInfo.php?workbook=16_08.xlsx&amp;sheet=U0&amp;row=5629&amp;col=7&amp;number=0.0246&amp;sourceID=14","0.0246")</f>
        <v>0.0246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HYPERLINK("http://141.218.60.56/~jnz1568/getInfo.php?workbook=16_08.xlsx&amp;sheet=U0&amp;row=5630&amp;col=6&amp;number=3.6&amp;sourceID=14","3.6")</f>
        <v>3.6</v>
      </c>
      <c r="G5630" s="4" t="str">
        <f>HYPERLINK("http://141.218.60.56/~jnz1568/getInfo.php?workbook=16_08.xlsx&amp;sheet=U0&amp;row=5630&amp;col=7&amp;number=0.0246&amp;sourceID=14","0.0246")</f>
        <v>0.0246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HYPERLINK("http://141.218.60.56/~jnz1568/getInfo.php?workbook=16_08.xlsx&amp;sheet=U0&amp;row=5631&amp;col=6&amp;number=3.7&amp;sourceID=14","3.7")</f>
        <v>3.7</v>
      </c>
      <c r="G5631" s="4" t="str">
        <f>HYPERLINK("http://141.218.60.56/~jnz1568/getInfo.php?workbook=16_08.xlsx&amp;sheet=U0&amp;row=5631&amp;col=7&amp;number=0.0246&amp;sourceID=14","0.0246")</f>
        <v>0.0246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HYPERLINK("http://141.218.60.56/~jnz1568/getInfo.php?workbook=16_08.xlsx&amp;sheet=U0&amp;row=5632&amp;col=6&amp;number=3.8&amp;sourceID=14","3.8")</f>
        <v>3.8</v>
      </c>
      <c r="G5632" s="4" t="str">
        <f>HYPERLINK("http://141.218.60.56/~jnz1568/getInfo.php?workbook=16_08.xlsx&amp;sheet=U0&amp;row=5632&amp;col=7&amp;number=0.0246&amp;sourceID=14","0.0246")</f>
        <v>0.0246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HYPERLINK("http://141.218.60.56/~jnz1568/getInfo.php?workbook=16_08.xlsx&amp;sheet=U0&amp;row=5633&amp;col=6&amp;number=3.9&amp;sourceID=14","3.9")</f>
        <v>3.9</v>
      </c>
      <c r="G5633" s="4" t="str">
        <f>HYPERLINK("http://141.218.60.56/~jnz1568/getInfo.php?workbook=16_08.xlsx&amp;sheet=U0&amp;row=5633&amp;col=7&amp;number=0.0246&amp;sourceID=14","0.0246")</f>
        <v>0.0246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HYPERLINK("http://141.218.60.56/~jnz1568/getInfo.php?workbook=16_08.xlsx&amp;sheet=U0&amp;row=5634&amp;col=6&amp;number=4&amp;sourceID=14","4")</f>
        <v>4</v>
      </c>
      <c r="G5634" s="4" t="str">
        <f>HYPERLINK("http://141.218.60.56/~jnz1568/getInfo.php?workbook=16_08.xlsx&amp;sheet=U0&amp;row=5634&amp;col=7&amp;number=0.0246&amp;sourceID=14","0.0246")</f>
        <v>0.0246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HYPERLINK("http://141.218.60.56/~jnz1568/getInfo.php?workbook=16_08.xlsx&amp;sheet=U0&amp;row=5635&amp;col=6&amp;number=4.1&amp;sourceID=14","4.1")</f>
        <v>4.1</v>
      </c>
      <c r="G5635" s="4" t="str">
        <f>HYPERLINK("http://141.218.60.56/~jnz1568/getInfo.php?workbook=16_08.xlsx&amp;sheet=U0&amp;row=5635&amp;col=7&amp;number=0.0246&amp;sourceID=14","0.0246")</f>
        <v>0.0246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HYPERLINK("http://141.218.60.56/~jnz1568/getInfo.php?workbook=16_08.xlsx&amp;sheet=U0&amp;row=5636&amp;col=6&amp;number=4.2&amp;sourceID=14","4.2")</f>
        <v>4.2</v>
      </c>
      <c r="G5636" s="4" t="str">
        <f>HYPERLINK("http://141.218.60.56/~jnz1568/getInfo.php?workbook=16_08.xlsx&amp;sheet=U0&amp;row=5636&amp;col=7&amp;number=0.0246&amp;sourceID=14","0.0246")</f>
        <v>0.0246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HYPERLINK("http://141.218.60.56/~jnz1568/getInfo.php?workbook=16_08.xlsx&amp;sheet=U0&amp;row=5637&amp;col=6&amp;number=4.3&amp;sourceID=14","4.3")</f>
        <v>4.3</v>
      </c>
      <c r="G5637" s="4" t="str">
        <f>HYPERLINK("http://141.218.60.56/~jnz1568/getInfo.php?workbook=16_08.xlsx&amp;sheet=U0&amp;row=5637&amp;col=7&amp;number=0.0246&amp;sourceID=14","0.0246")</f>
        <v>0.0246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HYPERLINK("http://141.218.60.56/~jnz1568/getInfo.php?workbook=16_08.xlsx&amp;sheet=U0&amp;row=5638&amp;col=6&amp;number=4.4&amp;sourceID=14","4.4")</f>
        <v>4.4</v>
      </c>
      <c r="G5638" s="4" t="str">
        <f>HYPERLINK("http://141.218.60.56/~jnz1568/getInfo.php?workbook=16_08.xlsx&amp;sheet=U0&amp;row=5638&amp;col=7&amp;number=0.0246&amp;sourceID=14","0.0246")</f>
        <v>0.0246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HYPERLINK("http://141.218.60.56/~jnz1568/getInfo.php?workbook=16_08.xlsx&amp;sheet=U0&amp;row=5639&amp;col=6&amp;number=4.5&amp;sourceID=14","4.5")</f>
        <v>4.5</v>
      </c>
      <c r="G5639" s="4" t="str">
        <f>HYPERLINK("http://141.218.60.56/~jnz1568/getInfo.php?workbook=16_08.xlsx&amp;sheet=U0&amp;row=5639&amp;col=7&amp;number=0.0247&amp;sourceID=14","0.0247")</f>
        <v>0.0247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HYPERLINK("http://141.218.60.56/~jnz1568/getInfo.php?workbook=16_08.xlsx&amp;sheet=U0&amp;row=5640&amp;col=6&amp;number=4.6&amp;sourceID=14","4.6")</f>
        <v>4.6</v>
      </c>
      <c r="G5640" s="4" t="str">
        <f>HYPERLINK("http://141.218.60.56/~jnz1568/getInfo.php?workbook=16_08.xlsx&amp;sheet=U0&amp;row=5640&amp;col=7&amp;number=0.0247&amp;sourceID=14","0.0247")</f>
        <v>0.0247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HYPERLINK("http://141.218.60.56/~jnz1568/getInfo.php?workbook=16_08.xlsx&amp;sheet=U0&amp;row=5641&amp;col=6&amp;number=4.7&amp;sourceID=14","4.7")</f>
        <v>4.7</v>
      </c>
      <c r="G5641" s="4" t="str">
        <f>HYPERLINK("http://141.218.60.56/~jnz1568/getInfo.php?workbook=16_08.xlsx&amp;sheet=U0&amp;row=5641&amp;col=7&amp;number=0.0247&amp;sourceID=14","0.0247")</f>
        <v>0.0247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HYPERLINK("http://141.218.60.56/~jnz1568/getInfo.php?workbook=16_08.xlsx&amp;sheet=U0&amp;row=5642&amp;col=6&amp;number=4.8&amp;sourceID=14","4.8")</f>
        <v>4.8</v>
      </c>
      <c r="G5642" s="4" t="str">
        <f>HYPERLINK("http://141.218.60.56/~jnz1568/getInfo.php?workbook=16_08.xlsx&amp;sheet=U0&amp;row=5642&amp;col=7&amp;number=0.0248&amp;sourceID=14","0.0248")</f>
        <v>0.0248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HYPERLINK("http://141.218.60.56/~jnz1568/getInfo.php?workbook=16_08.xlsx&amp;sheet=U0&amp;row=5643&amp;col=6&amp;number=4.9&amp;sourceID=14","4.9")</f>
        <v>4.9</v>
      </c>
      <c r="G5643" s="4" t="str">
        <f>HYPERLINK("http://141.218.60.56/~jnz1568/getInfo.php?workbook=16_08.xlsx&amp;sheet=U0&amp;row=5643&amp;col=7&amp;number=0.0248&amp;sourceID=14","0.0248")</f>
        <v>0.0248</v>
      </c>
    </row>
    <row r="5644" spans="1:7">
      <c r="A5644" s="3">
        <v>16</v>
      </c>
      <c r="B5644" s="3">
        <v>8</v>
      </c>
      <c r="C5644" s="3">
        <v>4</v>
      </c>
      <c r="D5644" s="3">
        <v>35</v>
      </c>
      <c r="E5644" s="3">
        <v>1</v>
      </c>
      <c r="F5644" s="4" t="str">
        <f>HYPERLINK("http://141.218.60.56/~jnz1568/getInfo.php?workbook=16_08.xlsx&amp;sheet=U0&amp;row=5644&amp;col=6&amp;number=3&amp;sourceID=14","3")</f>
        <v>3</v>
      </c>
      <c r="G5644" s="4" t="str">
        <f>HYPERLINK("http://141.218.60.56/~jnz1568/getInfo.php?workbook=16_08.xlsx&amp;sheet=U0&amp;row=5644&amp;col=7&amp;number=0.00228&amp;sourceID=14","0.00228")</f>
        <v>0.00228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HYPERLINK("http://141.218.60.56/~jnz1568/getInfo.php?workbook=16_08.xlsx&amp;sheet=U0&amp;row=5645&amp;col=6&amp;number=3.1&amp;sourceID=14","3.1")</f>
        <v>3.1</v>
      </c>
      <c r="G5645" s="4" t="str">
        <f>HYPERLINK("http://141.218.60.56/~jnz1568/getInfo.php?workbook=16_08.xlsx&amp;sheet=U0&amp;row=5645&amp;col=7&amp;number=0.00227&amp;sourceID=14","0.00227")</f>
        <v>0.00227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HYPERLINK("http://141.218.60.56/~jnz1568/getInfo.php?workbook=16_08.xlsx&amp;sheet=U0&amp;row=5646&amp;col=6&amp;number=3.2&amp;sourceID=14","3.2")</f>
        <v>3.2</v>
      </c>
      <c r="G5646" s="4" t="str">
        <f>HYPERLINK("http://141.218.60.56/~jnz1568/getInfo.php?workbook=16_08.xlsx&amp;sheet=U0&amp;row=5646&amp;col=7&amp;number=0.00227&amp;sourceID=14","0.00227")</f>
        <v>0.00227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HYPERLINK("http://141.218.60.56/~jnz1568/getInfo.php?workbook=16_08.xlsx&amp;sheet=U0&amp;row=5647&amp;col=6&amp;number=3.3&amp;sourceID=14","3.3")</f>
        <v>3.3</v>
      </c>
      <c r="G5647" s="4" t="str">
        <f>HYPERLINK("http://141.218.60.56/~jnz1568/getInfo.php?workbook=16_08.xlsx&amp;sheet=U0&amp;row=5647&amp;col=7&amp;number=0.00227&amp;sourceID=14","0.00227")</f>
        <v>0.00227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HYPERLINK("http://141.218.60.56/~jnz1568/getInfo.php?workbook=16_08.xlsx&amp;sheet=U0&amp;row=5648&amp;col=6&amp;number=3.4&amp;sourceID=14","3.4")</f>
        <v>3.4</v>
      </c>
      <c r="G5648" s="4" t="str">
        <f>HYPERLINK("http://141.218.60.56/~jnz1568/getInfo.php?workbook=16_08.xlsx&amp;sheet=U0&amp;row=5648&amp;col=7&amp;number=0.00227&amp;sourceID=14","0.00227")</f>
        <v>0.00227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HYPERLINK("http://141.218.60.56/~jnz1568/getInfo.php?workbook=16_08.xlsx&amp;sheet=U0&amp;row=5649&amp;col=6&amp;number=3.5&amp;sourceID=14","3.5")</f>
        <v>3.5</v>
      </c>
      <c r="G5649" s="4" t="str">
        <f>HYPERLINK("http://141.218.60.56/~jnz1568/getInfo.php?workbook=16_08.xlsx&amp;sheet=U0&amp;row=5649&amp;col=7&amp;number=0.00227&amp;sourceID=14","0.00227")</f>
        <v>0.00227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HYPERLINK("http://141.218.60.56/~jnz1568/getInfo.php?workbook=16_08.xlsx&amp;sheet=U0&amp;row=5650&amp;col=6&amp;number=3.6&amp;sourceID=14","3.6")</f>
        <v>3.6</v>
      </c>
      <c r="G5650" s="4" t="str">
        <f>HYPERLINK("http://141.218.60.56/~jnz1568/getInfo.php?workbook=16_08.xlsx&amp;sheet=U0&amp;row=5650&amp;col=7&amp;number=0.00227&amp;sourceID=14","0.00227")</f>
        <v>0.00227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HYPERLINK("http://141.218.60.56/~jnz1568/getInfo.php?workbook=16_08.xlsx&amp;sheet=U0&amp;row=5651&amp;col=6&amp;number=3.7&amp;sourceID=14","3.7")</f>
        <v>3.7</v>
      </c>
      <c r="G5651" s="4" t="str">
        <f>HYPERLINK("http://141.218.60.56/~jnz1568/getInfo.php?workbook=16_08.xlsx&amp;sheet=U0&amp;row=5651&amp;col=7&amp;number=0.00227&amp;sourceID=14","0.00227")</f>
        <v>0.00227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HYPERLINK("http://141.218.60.56/~jnz1568/getInfo.php?workbook=16_08.xlsx&amp;sheet=U0&amp;row=5652&amp;col=6&amp;number=3.8&amp;sourceID=14","3.8")</f>
        <v>3.8</v>
      </c>
      <c r="G5652" s="4" t="str">
        <f>HYPERLINK("http://141.218.60.56/~jnz1568/getInfo.php?workbook=16_08.xlsx&amp;sheet=U0&amp;row=5652&amp;col=7&amp;number=0.00227&amp;sourceID=14","0.00227")</f>
        <v>0.00227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HYPERLINK("http://141.218.60.56/~jnz1568/getInfo.php?workbook=16_08.xlsx&amp;sheet=U0&amp;row=5653&amp;col=6&amp;number=3.9&amp;sourceID=14","3.9")</f>
        <v>3.9</v>
      </c>
      <c r="G5653" s="4" t="str">
        <f>HYPERLINK("http://141.218.60.56/~jnz1568/getInfo.php?workbook=16_08.xlsx&amp;sheet=U0&amp;row=5653&amp;col=7&amp;number=0.00227&amp;sourceID=14","0.00227")</f>
        <v>0.00227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HYPERLINK("http://141.218.60.56/~jnz1568/getInfo.php?workbook=16_08.xlsx&amp;sheet=U0&amp;row=5654&amp;col=6&amp;number=4&amp;sourceID=14","4")</f>
        <v>4</v>
      </c>
      <c r="G5654" s="4" t="str">
        <f>HYPERLINK("http://141.218.60.56/~jnz1568/getInfo.php?workbook=16_08.xlsx&amp;sheet=U0&amp;row=5654&amp;col=7&amp;number=0.00227&amp;sourceID=14","0.00227")</f>
        <v>0.00227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HYPERLINK("http://141.218.60.56/~jnz1568/getInfo.php?workbook=16_08.xlsx&amp;sheet=U0&amp;row=5655&amp;col=6&amp;number=4.1&amp;sourceID=14","4.1")</f>
        <v>4.1</v>
      </c>
      <c r="G5655" s="4" t="str">
        <f>HYPERLINK("http://141.218.60.56/~jnz1568/getInfo.php?workbook=16_08.xlsx&amp;sheet=U0&amp;row=5655&amp;col=7&amp;number=0.00226&amp;sourceID=14","0.00226")</f>
        <v>0.00226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HYPERLINK("http://141.218.60.56/~jnz1568/getInfo.php?workbook=16_08.xlsx&amp;sheet=U0&amp;row=5656&amp;col=6&amp;number=4.2&amp;sourceID=14","4.2")</f>
        <v>4.2</v>
      </c>
      <c r="G5656" s="4" t="str">
        <f>HYPERLINK("http://141.218.60.56/~jnz1568/getInfo.php?workbook=16_08.xlsx&amp;sheet=U0&amp;row=5656&amp;col=7&amp;number=0.00226&amp;sourceID=14","0.00226")</f>
        <v>0.00226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HYPERLINK("http://141.218.60.56/~jnz1568/getInfo.php?workbook=16_08.xlsx&amp;sheet=U0&amp;row=5657&amp;col=6&amp;number=4.3&amp;sourceID=14","4.3")</f>
        <v>4.3</v>
      </c>
      <c r="G5657" s="4" t="str">
        <f>HYPERLINK("http://141.218.60.56/~jnz1568/getInfo.php?workbook=16_08.xlsx&amp;sheet=U0&amp;row=5657&amp;col=7&amp;number=0.00226&amp;sourceID=14","0.00226")</f>
        <v>0.00226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HYPERLINK("http://141.218.60.56/~jnz1568/getInfo.php?workbook=16_08.xlsx&amp;sheet=U0&amp;row=5658&amp;col=6&amp;number=4.4&amp;sourceID=14","4.4")</f>
        <v>4.4</v>
      </c>
      <c r="G5658" s="4" t="str">
        <f>HYPERLINK("http://141.218.60.56/~jnz1568/getInfo.php?workbook=16_08.xlsx&amp;sheet=U0&amp;row=5658&amp;col=7&amp;number=0.00225&amp;sourceID=14","0.00225")</f>
        <v>0.00225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HYPERLINK("http://141.218.60.56/~jnz1568/getInfo.php?workbook=16_08.xlsx&amp;sheet=U0&amp;row=5659&amp;col=6&amp;number=4.5&amp;sourceID=14","4.5")</f>
        <v>4.5</v>
      </c>
      <c r="G5659" s="4" t="str">
        <f>HYPERLINK("http://141.218.60.56/~jnz1568/getInfo.php?workbook=16_08.xlsx&amp;sheet=U0&amp;row=5659&amp;col=7&amp;number=0.00225&amp;sourceID=14","0.00225")</f>
        <v>0.00225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HYPERLINK("http://141.218.60.56/~jnz1568/getInfo.php?workbook=16_08.xlsx&amp;sheet=U0&amp;row=5660&amp;col=6&amp;number=4.6&amp;sourceID=14","4.6")</f>
        <v>4.6</v>
      </c>
      <c r="G5660" s="4" t="str">
        <f>HYPERLINK("http://141.218.60.56/~jnz1568/getInfo.php?workbook=16_08.xlsx&amp;sheet=U0&amp;row=5660&amp;col=7&amp;number=0.00224&amp;sourceID=14","0.00224")</f>
        <v>0.00224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HYPERLINK("http://141.218.60.56/~jnz1568/getInfo.php?workbook=16_08.xlsx&amp;sheet=U0&amp;row=5661&amp;col=6&amp;number=4.7&amp;sourceID=14","4.7")</f>
        <v>4.7</v>
      </c>
      <c r="G5661" s="4" t="str">
        <f>HYPERLINK("http://141.218.60.56/~jnz1568/getInfo.php?workbook=16_08.xlsx&amp;sheet=U0&amp;row=5661&amp;col=7&amp;number=0.00223&amp;sourceID=14","0.00223")</f>
        <v>0.00223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HYPERLINK("http://141.218.60.56/~jnz1568/getInfo.php?workbook=16_08.xlsx&amp;sheet=U0&amp;row=5662&amp;col=6&amp;number=4.8&amp;sourceID=14","4.8")</f>
        <v>4.8</v>
      </c>
      <c r="G5662" s="4" t="str">
        <f>HYPERLINK("http://141.218.60.56/~jnz1568/getInfo.php?workbook=16_08.xlsx&amp;sheet=U0&amp;row=5662&amp;col=7&amp;number=0.00222&amp;sourceID=14","0.00222")</f>
        <v>0.00222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HYPERLINK("http://141.218.60.56/~jnz1568/getInfo.php?workbook=16_08.xlsx&amp;sheet=U0&amp;row=5663&amp;col=6&amp;number=4.9&amp;sourceID=14","4.9")</f>
        <v>4.9</v>
      </c>
      <c r="G5663" s="4" t="str">
        <f>HYPERLINK("http://141.218.60.56/~jnz1568/getInfo.php?workbook=16_08.xlsx&amp;sheet=U0&amp;row=5663&amp;col=7&amp;number=0.0022&amp;sourceID=14","0.0022")</f>
        <v>0.0022</v>
      </c>
    </row>
    <row r="5664" spans="1:7">
      <c r="A5664" s="3">
        <v>16</v>
      </c>
      <c r="B5664" s="3">
        <v>8</v>
      </c>
      <c r="C5664" s="3">
        <v>4</v>
      </c>
      <c r="D5664" s="3">
        <v>36</v>
      </c>
      <c r="E5664" s="3">
        <v>1</v>
      </c>
      <c r="F5664" s="4" t="str">
        <f>HYPERLINK("http://141.218.60.56/~jnz1568/getInfo.php?workbook=16_08.xlsx&amp;sheet=U0&amp;row=5664&amp;col=6&amp;number=3&amp;sourceID=14","3")</f>
        <v>3</v>
      </c>
      <c r="G5664" s="4" t="str">
        <f>HYPERLINK("http://141.218.60.56/~jnz1568/getInfo.php?workbook=16_08.xlsx&amp;sheet=U0&amp;row=5664&amp;col=7&amp;number=0.00544&amp;sourceID=14","0.00544")</f>
        <v>0.00544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HYPERLINK("http://141.218.60.56/~jnz1568/getInfo.php?workbook=16_08.xlsx&amp;sheet=U0&amp;row=5665&amp;col=6&amp;number=3.1&amp;sourceID=14","3.1")</f>
        <v>3.1</v>
      </c>
      <c r="G5665" s="4" t="str">
        <f>HYPERLINK("http://141.218.60.56/~jnz1568/getInfo.php?workbook=16_08.xlsx&amp;sheet=U0&amp;row=5665&amp;col=7&amp;number=0.00544&amp;sourceID=14","0.00544")</f>
        <v>0.00544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HYPERLINK("http://141.218.60.56/~jnz1568/getInfo.php?workbook=16_08.xlsx&amp;sheet=U0&amp;row=5666&amp;col=6&amp;number=3.2&amp;sourceID=14","3.2")</f>
        <v>3.2</v>
      </c>
      <c r="G5666" s="4" t="str">
        <f>HYPERLINK("http://141.218.60.56/~jnz1568/getInfo.php?workbook=16_08.xlsx&amp;sheet=U0&amp;row=5666&amp;col=7&amp;number=0.00544&amp;sourceID=14","0.00544")</f>
        <v>0.00544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HYPERLINK("http://141.218.60.56/~jnz1568/getInfo.php?workbook=16_08.xlsx&amp;sheet=U0&amp;row=5667&amp;col=6&amp;number=3.3&amp;sourceID=14","3.3")</f>
        <v>3.3</v>
      </c>
      <c r="G5667" s="4" t="str">
        <f>HYPERLINK("http://141.218.60.56/~jnz1568/getInfo.php?workbook=16_08.xlsx&amp;sheet=U0&amp;row=5667&amp;col=7&amp;number=0.00544&amp;sourceID=14","0.00544")</f>
        <v>0.00544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HYPERLINK("http://141.218.60.56/~jnz1568/getInfo.php?workbook=16_08.xlsx&amp;sheet=U0&amp;row=5668&amp;col=6&amp;number=3.4&amp;sourceID=14","3.4")</f>
        <v>3.4</v>
      </c>
      <c r="G5668" s="4" t="str">
        <f>HYPERLINK("http://141.218.60.56/~jnz1568/getInfo.php?workbook=16_08.xlsx&amp;sheet=U0&amp;row=5668&amp;col=7&amp;number=0.00544&amp;sourceID=14","0.00544")</f>
        <v>0.00544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HYPERLINK("http://141.218.60.56/~jnz1568/getInfo.php?workbook=16_08.xlsx&amp;sheet=U0&amp;row=5669&amp;col=6&amp;number=3.5&amp;sourceID=14","3.5")</f>
        <v>3.5</v>
      </c>
      <c r="G5669" s="4" t="str">
        <f>HYPERLINK("http://141.218.60.56/~jnz1568/getInfo.php?workbook=16_08.xlsx&amp;sheet=U0&amp;row=5669&amp;col=7&amp;number=0.00544&amp;sourceID=14","0.00544")</f>
        <v>0.00544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HYPERLINK("http://141.218.60.56/~jnz1568/getInfo.php?workbook=16_08.xlsx&amp;sheet=U0&amp;row=5670&amp;col=6&amp;number=3.6&amp;sourceID=14","3.6")</f>
        <v>3.6</v>
      </c>
      <c r="G5670" s="4" t="str">
        <f>HYPERLINK("http://141.218.60.56/~jnz1568/getInfo.php?workbook=16_08.xlsx&amp;sheet=U0&amp;row=5670&amp;col=7&amp;number=0.00544&amp;sourceID=14","0.00544")</f>
        <v>0.00544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HYPERLINK("http://141.218.60.56/~jnz1568/getInfo.php?workbook=16_08.xlsx&amp;sheet=U0&amp;row=5671&amp;col=6&amp;number=3.7&amp;sourceID=14","3.7")</f>
        <v>3.7</v>
      </c>
      <c r="G5671" s="4" t="str">
        <f>HYPERLINK("http://141.218.60.56/~jnz1568/getInfo.php?workbook=16_08.xlsx&amp;sheet=U0&amp;row=5671&amp;col=7&amp;number=0.00544&amp;sourceID=14","0.00544")</f>
        <v>0.00544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HYPERLINK("http://141.218.60.56/~jnz1568/getInfo.php?workbook=16_08.xlsx&amp;sheet=U0&amp;row=5672&amp;col=6&amp;number=3.8&amp;sourceID=14","3.8")</f>
        <v>3.8</v>
      </c>
      <c r="G5672" s="4" t="str">
        <f>HYPERLINK("http://141.218.60.56/~jnz1568/getInfo.php?workbook=16_08.xlsx&amp;sheet=U0&amp;row=5672&amp;col=7&amp;number=0.00543&amp;sourceID=14","0.00543")</f>
        <v>0.00543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HYPERLINK("http://141.218.60.56/~jnz1568/getInfo.php?workbook=16_08.xlsx&amp;sheet=U0&amp;row=5673&amp;col=6&amp;number=3.9&amp;sourceID=14","3.9")</f>
        <v>3.9</v>
      </c>
      <c r="G5673" s="4" t="str">
        <f>HYPERLINK("http://141.218.60.56/~jnz1568/getInfo.php?workbook=16_08.xlsx&amp;sheet=U0&amp;row=5673&amp;col=7&amp;number=0.00543&amp;sourceID=14","0.00543")</f>
        <v>0.00543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HYPERLINK("http://141.218.60.56/~jnz1568/getInfo.php?workbook=16_08.xlsx&amp;sheet=U0&amp;row=5674&amp;col=6&amp;number=4&amp;sourceID=14","4")</f>
        <v>4</v>
      </c>
      <c r="G5674" s="4" t="str">
        <f>HYPERLINK("http://141.218.60.56/~jnz1568/getInfo.php?workbook=16_08.xlsx&amp;sheet=U0&amp;row=5674&amp;col=7&amp;number=0.00543&amp;sourceID=14","0.00543")</f>
        <v>0.00543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HYPERLINK("http://141.218.60.56/~jnz1568/getInfo.php?workbook=16_08.xlsx&amp;sheet=U0&amp;row=5675&amp;col=6&amp;number=4.1&amp;sourceID=14","4.1")</f>
        <v>4.1</v>
      </c>
      <c r="G5675" s="4" t="str">
        <f>HYPERLINK("http://141.218.60.56/~jnz1568/getInfo.php?workbook=16_08.xlsx&amp;sheet=U0&amp;row=5675&amp;col=7&amp;number=0.00543&amp;sourceID=14","0.00543")</f>
        <v>0.00543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HYPERLINK("http://141.218.60.56/~jnz1568/getInfo.php?workbook=16_08.xlsx&amp;sheet=U0&amp;row=5676&amp;col=6&amp;number=4.2&amp;sourceID=14","4.2")</f>
        <v>4.2</v>
      </c>
      <c r="G5676" s="4" t="str">
        <f>HYPERLINK("http://141.218.60.56/~jnz1568/getInfo.php?workbook=16_08.xlsx&amp;sheet=U0&amp;row=5676&amp;col=7&amp;number=0.00542&amp;sourceID=14","0.00542")</f>
        <v>0.00542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HYPERLINK("http://141.218.60.56/~jnz1568/getInfo.php?workbook=16_08.xlsx&amp;sheet=U0&amp;row=5677&amp;col=6&amp;number=4.3&amp;sourceID=14","4.3")</f>
        <v>4.3</v>
      </c>
      <c r="G5677" s="4" t="str">
        <f>HYPERLINK("http://141.218.60.56/~jnz1568/getInfo.php?workbook=16_08.xlsx&amp;sheet=U0&amp;row=5677&amp;col=7&amp;number=0.00542&amp;sourceID=14","0.00542")</f>
        <v>0.00542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HYPERLINK("http://141.218.60.56/~jnz1568/getInfo.php?workbook=16_08.xlsx&amp;sheet=U0&amp;row=5678&amp;col=6&amp;number=4.4&amp;sourceID=14","4.4")</f>
        <v>4.4</v>
      </c>
      <c r="G5678" s="4" t="str">
        <f>HYPERLINK("http://141.218.60.56/~jnz1568/getInfo.php?workbook=16_08.xlsx&amp;sheet=U0&amp;row=5678&amp;col=7&amp;number=0.00541&amp;sourceID=14","0.00541")</f>
        <v>0.00541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HYPERLINK("http://141.218.60.56/~jnz1568/getInfo.php?workbook=16_08.xlsx&amp;sheet=U0&amp;row=5679&amp;col=6&amp;number=4.5&amp;sourceID=14","4.5")</f>
        <v>4.5</v>
      </c>
      <c r="G5679" s="4" t="str">
        <f>HYPERLINK("http://141.218.60.56/~jnz1568/getInfo.php?workbook=16_08.xlsx&amp;sheet=U0&amp;row=5679&amp;col=7&amp;number=0.00541&amp;sourceID=14","0.00541")</f>
        <v>0.00541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HYPERLINK("http://141.218.60.56/~jnz1568/getInfo.php?workbook=16_08.xlsx&amp;sheet=U0&amp;row=5680&amp;col=6&amp;number=4.6&amp;sourceID=14","4.6")</f>
        <v>4.6</v>
      </c>
      <c r="G5680" s="4" t="str">
        <f>HYPERLINK("http://141.218.60.56/~jnz1568/getInfo.php?workbook=16_08.xlsx&amp;sheet=U0&amp;row=5680&amp;col=7&amp;number=0.0054&amp;sourceID=14","0.0054")</f>
        <v>0.0054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HYPERLINK("http://141.218.60.56/~jnz1568/getInfo.php?workbook=16_08.xlsx&amp;sheet=U0&amp;row=5681&amp;col=6&amp;number=4.7&amp;sourceID=14","4.7")</f>
        <v>4.7</v>
      </c>
      <c r="G5681" s="4" t="str">
        <f>HYPERLINK("http://141.218.60.56/~jnz1568/getInfo.php?workbook=16_08.xlsx&amp;sheet=U0&amp;row=5681&amp;col=7&amp;number=0.00539&amp;sourceID=14","0.00539")</f>
        <v>0.00539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HYPERLINK("http://141.218.60.56/~jnz1568/getInfo.php?workbook=16_08.xlsx&amp;sheet=U0&amp;row=5682&amp;col=6&amp;number=4.8&amp;sourceID=14","4.8")</f>
        <v>4.8</v>
      </c>
      <c r="G5682" s="4" t="str">
        <f>HYPERLINK("http://141.218.60.56/~jnz1568/getInfo.php?workbook=16_08.xlsx&amp;sheet=U0&amp;row=5682&amp;col=7&amp;number=0.00537&amp;sourceID=14","0.00537")</f>
        <v>0.00537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HYPERLINK("http://141.218.60.56/~jnz1568/getInfo.php?workbook=16_08.xlsx&amp;sheet=U0&amp;row=5683&amp;col=6&amp;number=4.9&amp;sourceID=14","4.9")</f>
        <v>4.9</v>
      </c>
      <c r="G5683" s="4" t="str">
        <f>HYPERLINK("http://141.218.60.56/~jnz1568/getInfo.php?workbook=16_08.xlsx&amp;sheet=U0&amp;row=5683&amp;col=7&amp;number=0.00535&amp;sourceID=14","0.00535")</f>
        <v>0.00535</v>
      </c>
    </row>
    <row r="5684" spans="1:7">
      <c r="A5684" s="3">
        <v>16</v>
      </c>
      <c r="B5684" s="3">
        <v>8</v>
      </c>
      <c r="C5684" s="3">
        <v>4</v>
      </c>
      <c r="D5684" s="3">
        <v>37</v>
      </c>
      <c r="E5684" s="3">
        <v>1</v>
      </c>
      <c r="F5684" s="4" t="str">
        <f>HYPERLINK("http://141.218.60.56/~jnz1568/getInfo.php?workbook=16_08.xlsx&amp;sheet=U0&amp;row=5684&amp;col=6&amp;number=3&amp;sourceID=14","3")</f>
        <v>3</v>
      </c>
      <c r="G5684" s="4" t="str">
        <f>HYPERLINK("http://141.218.60.56/~jnz1568/getInfo.php?workbook=16_08.xlsx&amp;sheet=U0&amp;row=5684&amp;col=7&amp;number=0.0143&amp;sourceID=14","0.0143")</f>
        <v>0.0143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HYPERLINK("http://141.218.60.56/~jnz1568/getInfo.php?workbook=16_08.xlsx&amp;sheet=U0&amp;row=5685&amp;col=6&amp;number=3.1&amp;sourceID=14","3.1")</f>
        <v>3.1</v>
      </c>
      <c r="G5685" s="4" t="str">
        <f>HYPERLINK("http://141.218.60.56/~jnz1568/getInfo.php?workbook=16_08.xlsx&amp;sheet=U0&amp;row=5685&amp;col=7&amp;number=0.0143&amp;sourceID=14","0.0143")</f>
        <v>0.0143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HYPERLINK("http://141.218.60.56/~jnz1568/getInfo.php?workbook=16_08.xlsx&amp;sheet=U0&amp;row=5686&amp;col=6&amp;number=3.2&amp;sourceID=14","3.2")</f>
        <v>3.2</v>
      </c>
      <c r="G5686" s="4" t="str">
        <f>HYPERLINK("http://141.218.60.56/~jnz1568/getInfo.php?workbook=16_08.xlsx&amp;sheet=U0&amp;row=5686&amp;col=7&amp;number=0.0143&amp;sourceID=14","0.0143")</f>
        <v>0.0143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HYPERLINK("http://141.218.60.56/~jnz1568/getInfo.php?workbook=16_08.xlsx&amp;sheet=U0&amp;row=5687&amp;col=6&amp;number=3.3&amp;sourceID=14","3.3")</f>
        <v>3.3</v>
      </c>
      <c r="G5687" s="4" t="str">
        <f>HYPERLINK("http://141.218.60.56/~jnz1568/getInfo.php?workbook=16_08.xlsx&amp;sheet=U0&amp;row=5687&amp;col=7&amp;number=0.0143&amp;sourceID=14","0.0143")</f>
        <v>0.0143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HYPERLINK("http://141.218.60.56/~jnz1568/getInfo.php?workbook=16_08.xlsx&amp;sheet=U0&amp;row=5688&amp;col=6&amp;number=3.4&amp;sourceID=14","3.4")</f>
        <v>3.4</v>
      </c>
      <c r="G5688" s="4" t="str">
        <f>HYPERLINK("http://141.218.60.56/~jnz1568/getInfo.php?workbook=16_08.xlsx&amp;sheet=U0&amp;row=5688&amp;col=7&amp;number=0.0143&amp;sourceID=14","0.0143")</f>
        <v>0.0143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HYPERLINK("http://141.218.60.56/~jnz1568/getInfo.php?workbook=16_08.xlsx&amp;sheet=U0&amp;row=5689&amp;col=6&amp;number=3.5&amp;sourceID=14","3.5")</f>
        <v>3.5</v>
      </c>
      <c r="G5689" s="4" t="str">
        <f>HYPERLINK("http://141.218.60.56/~jnz1568/getInfo.php?workbook=16_08.xlsx&amp;sheet=U0&amp;row=5689&amp;col=7&amp;number=0.0143&amp;sourceID=14","0.0143")</f>
        <v>0.0143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HYPERLINK("http://141.218.60.56/~jnz1568/getInfo.php?workbook=16_08.xlsx&amp;sheet=U0&amp;row=5690&amp;col=6&amp;number=3.6&amp;sourceID=14","3.6")</f>
        <v>3.6</v>
      </c>
      <c r="G5690" s="4" t="str">
        <f>HYPERLINK("http://141.218.60.56/~jnz1568/getInfo.php?workbook=16_08.xlsx&amp;sheet=U0&amp;row=5690&amp;col=7&amp;number=0.0143&amp;sourceID=14","0.0143")</f>
        <v>0.0143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HYPERLINK("http://141.218.60.56/~jnz1568/getInfo.php?workbook=16_08.xlsx&amp;sheet=U0&amp;row=5691&amp;col=6&amp;number=3.7&amp;sourceID=14","3.7")</f>
        <v>3.7</v>
      </c>
      <c r="G5691" s="4" t="str">
        <f>HYPERLINK("http://141.218.60.56/~jnz1568/getInfo.php?workbook=16_08.xlsx&amp;sheet=U0&amp;row=5691&amp;col=7&amp;number=0.0143&amp;sourceID=14","0.0143")</f>
        <v>0.0143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HYPERLINK("http://141.218.60.56/~jnz1568/getInfo.php?workbook=16_08.xlsx&amp;sheet=U0&amp;row=5692&amp;col=6&amp;number=3.8&amp;sourceID=14","3.8")</f>
        <v>3.8</v>
      </c>
      <c r="G5692" s="4" t="str">
        <f>HYPERLINK("http://141.218.60.56/~jnz1568/getInfo.php?workbook=16_08.xlsx&amp;sheet=U0&amp;row=5692&amp;col=7&amp;number=0.0143&amp;sourceID=14","0.0143")</f>
        <v>0.0143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HYPERLINK("http://141.218.60.56/~jnz1568/getInfo.php?workbook=16_08.xlsx&amp;sheet=U0&amp;row=5693&amp;col=6&amp;number=3.9&amp;sourceID=14","3.9")</f>
        <v>3.9</v>
      </c>
      <c r="G5693" s="4" t="str">
        <f>HYPERLINK("http://141.218.60.56/~jnz1568/getInfo.php?workbook=16_08.xlsx&amp;sheet=U0&amp;row=5693&amp;col=7&amp;number=0.0143&amp;sourceID=14","0.0143")</f>
        <v>0.0143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HYPERLINK("http://141.218.60.56/~jnz1568/getInfo.php?workbook=16_08.xlsx&amp;sheet=U0&amp;row=5694&amp;col=6&amp;number=4&amp;sourceID=14","4")</f>
        <v>4</v>
      </c>
      <c r="G5694" s="4" t="str">
        <f>HYPERLINK("http://141.218.60.56/~jnz1568/getInfo.php?workbook=16_08.xlsx&amp;sheet=U0&amp;row=5694&amp;col=7&amp;number=0.0143&amp;sourceID=14","0.0143")</f>
        <v>0.0143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HYPERLINK("http://141.218.60.56/~jnz1568/getInfo.php?workbook=16_08.xlsx&amp;sheet=U0&amp;row=5695&amp;col=6&amp;number=4.1&amp;sourceID=14","4.1")</f>
        <v>4.1</v>
      </c>
      <c r="G5695" s="4" t="str">
        <f>HYPERLINK("http://141.218.60.56/~jnz1568/getInfo.php?workbook=16_08.xlsx&amp;sheet=U0&amp;row=5695&amp;col=7&amp;number=0.0143&amp;sourceID=14","0.0143")</f>
        <v>0.0143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HYPERLINK("http://141.218.60.56/~jnz1568/getInfo.php?workbook=16_08.xlsx&amp;sheet=U0&amp;row=5696&amp;col=6&amp;number=4.2&amp;sourceID=14","4.2")</f>
        <v>4.2</v>
      </c>
      <c r="G5696" s="4" t="str">
        <f>HYPERLINK("http://141.218.60.56/~jnz1568/getInfo.php?workbook=16_08.xlsx&amp;sheet=U0&amp;row=5696&amp;col=7&amp;number=0.0143&amp;sourceID=14","0.0143")</f>
        <v>0.0143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HYPERLINK("http://141.218.60.56/~jnz1568/getInfo.php?workbook=16_08.xlsx&amp;sheet=U0&amp;row=5697&amp;col=6&amp;number=4.3&amp;sourceID=14","4.3")</f>
        <v>4.3</v>
      </c>
      <c r="G5697" s="4" t="str">
        <f>HYPERLINK("http://141.218.60.56/~jnz1568/getInfo.php?workbook=16_08.xlsx&amp;sheet=U0&amp;row=5697&amp;col=7&amp;number=0.0143&amp;sourceID=14","0.0143")</f>
        <v>0.0143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HYPERLINK("http://141.218.60.56/~jnz1568/getInfo.php?workbook=16_08.xlsx&amp;sheet=U0&amp;row=5698&amp;col=6&amp;number=4.4&amp;sourceID=14","4.4")</f>
        <v>4.4</v>
      </c>
      <c r="G5698" s="4" t="str">
        <f>HYPERLINK("http://141.218.60.56/~jnz1568/getInfo.php?workbook=16_08.xlsx&amp;sheet=U0&amp;row=5698&amp;col=7&amp;number=0.0143&amp;sourceID=14","0.0143")</f>
        <v>0.0143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HYPERLINK("http://141.218.60.56/~jnz1568/getInfo.php?workbook=16_08.xlsx&amp;sheet=U0&amp;row=5699&amp;col=6&amp;number=4.5&amp;sourceID=14","4.5")</f>
        <v>4.5</v>
      </c>
      <c r="G5699" s="4" t="str">
        <f>HYPERLINK("http://141.218.60.56/~jnz1568/getInfo.php?workbook=16_08.xlsx&amp;sheet=U0&amp;row=5699&amp;col=7&amp;number=0.0143&amp;sourceID=14","0.0143")</f>
        <v>0.0143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HYPERLINK("http://141.218.60.56/~jnz1568/getInfo.php?workbook=16_08.xlsx&amp;sheet=U0&amp;row=5700&amp;col=6&amp;number=4.6&amp;sourceID=14","4.6")</f>
        <v>4.6</v>
      </c>
      <c r="G5700" s="4" t="str">
        <f>HYPERLINK("http://141.218.60.56/~jnz1568/getInfo.php?workbook=16_08.xlsx&amp;sheet=U0&amp;row=5700&amp;col=7&amp;number=0.0142&amp;sourceID=14","0.0142")</f>
        <v>0.0142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HYPERLINK("http://141.218.60.56/~jnz1568/getInfo.php?workbook=16_08.xlsx&amp;sheet=U0&amp;row=5701&amp;col=6&amp;number=4.7&amp;sourceID=14","4.7")</f>
        <v>4.7</v>
      </c>
      <c r="G5701" s="4" t="str">
        <f>HYPERLINK("http://141.218.60.56/~jnz1568/getInfo.php?workbook=16_08.xlsx&amp;sheet=U0&amp;row=5701&amp;col=7&amp;number=0.0142&amp;sourceID=14","0.0142")</f>
        <v>0.0142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HYPERLINK("http://141.218.60.56/~jnz1568/getInfo.php?workbook=16_08.xlsx&amp;sheet=U0&amp;row=5702&amp;col=6&amp;number=4.8&amp;sourceID=14","4.8")</f>
        <v>4.8</v>
      </c>
      <c r="G5702" s="4" t="str">
        <f>HYPERLINK("http://141.218.60.56/~jnz1568/getInfo.php?workbook=16_08.xlsx&amp;sheet=U0&amp;row=5702&amp;col=7&amp;number=0.0142&amp;sourceID=14","0.0142")</f>
        <v>0.0142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HYPERLINK("http://141.218.60.56/~jnz1568/getInfo.php?workbook=16_08.xlsx&amp;sheet=U0&amp;row=5703&amp;col=6&amp;number=4.9&amp;sourceID=14","4.9")</f>
        <v>4.9</v>
      </c>
      <c r="G5703" s="4" t="str">
        <f>HYPERLINK("http://141.218.60.56/~jnz1568/getInfo.php?workbook=16_08.xlsx&amp;sheet=U0&amp;row=5703&amp;col=7&amp;number=0.0142&amp;sourceID=14","0.0142")</f>
        <v>0.0142</v>
      </c>
    </row>
    <row r="5704" spans="1:7">
      <c r="A5704" s="3">
        <v>16</v>
      </c>
      <c r="B5704" s="3">
        <v>8</v>
      </c>
      <c r="C5704" s="3">
        <v>4</v>
      </c>
      <c r="D5704" s="3">
        <v>38</v>
      </c>
      <c r="E5704" s="3">
        <v>1</v>
      </c>
      <c r="F5704" s="4" t="str">
        <f>HYPERLINK("http://141.218.60.56/~jnz1568/getInfo.php?workbook=16_08.xlsx&amp;sheet=U0&amp;row=5704&amp;col=6&amp;number=3&amp;sourceID=14","3")</f>
        <v>3</v>
      </c>
      <c r="G5704" s="4" t="str">
        <f>HYPERLINK("http://141.218.60.56/~jnz1568/getInfo.php?workbook=16_08.xlsx&amp;sheet=U0&amp;row=5704&amp;col=7&amp;number=1.4e-05&amp;sourceID=14","1.4e-05")</f>
        <v>1.4e-05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HYPERLINK("http://141.218.60.56/~jnz1568/getInfo.php?workbook=16_08.xlsx&amp;sheet=U0&amp;row=5705&amp;col=6&amp;number=3.1&amp;sourceID=14","3.1")</f>
        <v>3.1</v>
      </c>
      <c r="G5705" s="4" t="str">
        <f>HYPERLINK("http://141.218.60.56/~jnz1568/getInfo.php?workbook=16_08.xlsx&amp;sheet=U0&amp;row=5705&amp;col=7&amp;number=1.4e-05&amp;sourceID=14","1.4e-05")</f>
        <v>1.4e-05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HYPERLINK("http://141.218.60.56/~jnz1568/getInfo.php?workbook=16_08.xlsx&amp;sheet=U0&amp;row=5706&amp;col=6&amp;number=3.2&amp;sourceID=14","3.2")</f>
        <v>3.2</v>
      </c>
      <c r="G5706" s="4" t="str">
        <f>HYPERLINK("http://141.218.60.56/~jnz1568/getInfo.php?workbook=16_08.xlsx&amp;sheet=U0&amp;row=5706&amp;col=7&amp;number=1.4e-05&amp;sourceID=14","1.4e-05")</f>
        <v>1.4e-05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HYPERLINK("http://141.218.60.56/~jnz1568/getInfo.php?workbook=16_08.xlsx&amp;sheet=U0&amp;row=5707&amp;col=6&amp;number=3.3&amp;sourceID=14","3.3")</f>
        <v>3.3</v>
      </c>
      <c r="G5707" s="4" t="str">
        <f>HYPERLINK("http://141.218.60.56/~jnz1568/getInfo.php?workbook=16_08.xlsx&amp;sheet=U0&amp;row=5707&amp;col=7&amp;number=1.4e-05&amp;sourceID=14","1.4e-05")</f>
        <v>1.4e-05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HYPERLINK("http://141.218.60.56/~jnz1568/getInfo.php?workbook=16_08.xlsx&amp;sheet=U0&amp;row=5708&amp;col=6&amp;number=3.4&amp;sourceID=14","3.4")</f>
        <v>3.4</v>
      </c>
      <c r="G5708" s="4" t="str">
        <f>HYPERLINK("http://141.218.60.56/~jnz1568/getInfo.php?workbook=16_08.xlsx&amp;sheet=U0&amp;row=5708&amp;col=7&amp;number=1.4e-05&amp;sourceID=14","1.4e-05")</f>
        <v>1.4e-05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HYPERLINK("http://141.218.60.56/~jnz1568/getInfo.php?workbook=16_08.xlsx&amp;sheet=U0&amp;row=5709&amp;col=6&amp;number=3.5&amp;sourceID=14","3.5")</f>
        <v>3.5</v>
      </c>
      <c r="G5709" s="4" t="str">
        <f>HYPERLINK("http://141.218.60.56/~jnz1568/getInfo.php?workbook=16_08.xlsx&amp;sheet=U0&amp;row=5709&amp;col=7&amp;number=1.4e-05&amp;sourceID=14","1.4e-05")</f>
        <v>1.4e-05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HYPERLINK("http://141.218.60.56/~jnz1568/getInfo.php?workbook=16_08.xlsx&amp;sheet=U0&amp;row=5710&amp;col=6&amp;number=3.6&amp;sourceID=14","3.6")</f>
        <v>3.6</v>
      </c>
      <c r="G5710" s="4" t="str">
        <f>HYPERLINK("http://141.218.60.56/~jnz1568/getInfo.php?workbook=16_08.xlsx&amp;sheet=U0&amp;row=5710&amp;col=7&amp;number=1.4e-05&amp;sourceID=14","1.4e-05")</f>
        <v>1.4e-05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HYPERLINK("http://141.218.60.56/~jnz1568/getInfo.php?workbook=16_08.xlsx&amp;sheet=U0&amp;row=5711&amp;col=6&amp;number=3.7&amp;sourceID=14","3.7")</f>
        <v>3.7</v>
      </c>
      <c r="G5711" s="4" t="str">
        <f>HYPERLINK("http://141.218.60.56/~jnz1568/getInfo.php?workbook=16_08.xlsx&amp;sheet=U0&amp;row=5711&amp;col=7&amp;number=1.4e-05&amp;sourceID=14","1.4e-05")</f>
        <v>1.4e-05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HYPERLINK("http://141.218.60.56/~jnz1568/getInfo.php?workbook=16_08.xlsx&amp;sheet=U0&amp;row=5712&amp;col=6&amp;number=3.8&amp;sourceID=14","3.8")</f>
        <v>3.8</v>
      </c>
      <c r="G5712" s="4" t="str">
        <f>HYPERLINK("http://141.218.60.56/~jnz1568/getInfo.php?workbook=16_08.xlsx&amp;sheet=U0&amp;row=5712&amp;col=7&amp;number=1.4e-05&amp;sourceID=14","1.4e-05")</f>
        <v>1.4e-05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HYPERLINK("http://141.218.60.56/~jnz1568/getInfo.php?workbook=16_08.xlsx&amp;sheet=U0&amp;row=5713&amp;col=6&amp;number=3.9&amp;sourceID=14","3.9")</f>
        <v>3.9</v>
      </c>
      <c r="G5713" s="4" t="str">
        <f>HYPERLINK("http://141.218.60.56/~jnz1568/getInfo.php?workbook=16_08.xlsx&amp;sheet=U0&amp;row=5713&amp;col=7&amp;number=1.4e-05&amp;sourceID=14","1.4e-05")</f>
        <v>1.4e-05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HYPERLINK("http://141.218.60.56/~jnz1568/getInfo.php?workbook=16_08.xlsx&amp;sheet=U0&amp;row=5714&amp;col=6&amp;number=4&amp;sourceID=14","4")</f>
        <v>4</v>
      </c>
      <c r="G5714" s="4" t="str">
        <f>HYPERLINK("http://141.218.60.56/~jnz1568/getInfo.php?workbook=16_08.xlsx&amp;sheet=U0&amp;row=5714&amp;col=7&amp;number=1.4e-05&amp;sourceID=14","1.4e-05")</f>
        <v>1.4e-05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HYPERLINK("http://141.218.60.56/~jnz1568/getInfo.php?workbook=16_08.xlsx&amp;sheet=U0&amp;row=5715&amp;col=6&amp;number=4.1&amp;sourceID=14","4.1")</f>
        <v>4.1</v>
      </c>
      <c r="G5715" s="4" t="str">
        <f>HYPERLINK("http://141.218.60.56/~jnz1568/getInfo.php?workbook=16_08.xlsx&amp;sheet=U0&amp;row=5715&amp;col=7&amp;number=1.39e-05&amp;sourceID=14","1.39e-05")</f>
        <v>1.39e-05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HYPERLINK("http://141.218.60.56/~jnz1568/getInfo.php?workbook=16_08.xlsx&amp;sheet=U0&amp;row=5716&amp;col=6&amp;number=4.2&amp;sourceID=14","4.2")</f>
        <v>4.2</v>
      </c>
      <c r="G5716" s="4" t="str">
        <f>HYPERLINK("http://141.218.60.56/~jnz1568/getInfo.php?workbook=16_08.xlsx&amp;sheet=U0&amp;row=5716&amp;col=7&amp;number=1.39e-05&amp;sourceID=14","1.39e-05")</f>
        <v>1.39e-05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HYPERLINK("http://141.218.60.56/~jnz1568/getInfo.php?workbook=16_08.xlsx&amp;sheet=U0&amp;row=5717&amp;col=6&amp;number=4.3&amp;sourceID=14","4.3")</f>
        <v>4.3</v>
      </c>
      <c r="G5717" s="4" t="str">
        <f>HYPERLINK("http://141.218.60.56/~jnz1568/getInfo.php?workbook=16_08.xlsx&amp;sheet=U0&amp;row=5717&amp;col=7&amp;number=1.39e-05&amp;sourceID=14","1.39e-05")</f>
        <v>1.39e-05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HYPERLINK("http://141.218.60.56/~jnz1568/getInfo.php?workbook=16_08.xlsx&amp;sheet=U0&amp;row=5718&amp;col=6&amp;number=4.4&amp;sourceID=14","4.4")</f>
        <v>4.4</v>
      </c>
      <c r="G5718" s="4" t="str">
        <f>HYPERLINK("http://141.218.60.56/~jnz1568/getInfo.php?workbook=16_08.xlsx&amp;sheet=U0&amp;row=5718&amp;col=7&amp;number=1.38e-05&amp;sourceID=14","1.38e-05")</f>
        <v>1.38e-05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HYPERLINK("http://141.218.60.56/~jnz1568/getInfo.php?workbook=16_08.xlsx&amp;sheet=U0&amp;row=5719&amp;col=6&amp;number=4.5&amp;sourceID=14","4.5")</f>
        <v>4.5</v>
      </c>
      <c r="G5719" s="4" t="str">
        <f>HYPERLINK("http://141.218.60.56/~jnz1568/getInfo.php?workbook=16_08.xlsx&amp;sheet=U0&amp;row=5719&amp;col=7&amp;number=1.38e-05&amp;sourceID=14","1.38e-05")</f>
        <v>1.38e-05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HYPERLINK("http://141.218.60.56/~jnz1568/getInfo.php?workbook=16_08.xlsx&amp;sheet=U0&amp;row=5720&amp;col=6&amp;number=4.6&amp;sourceID=14","4.6")</f>
        <v>4.6</v>
      </c>
      <c r="G5720" s="4" t="str">
        <f>HYPERLINK("http://141.218.60.56/~jnz1568/getInfo.php?workbook=16_08.xlsx&amp;sheet=U0&amp;row=5720&amp;col=7&amp;number=1.37e-05&amp;sourceID=14","1.37e-05")</f>
        <v>1.37e-05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HYPERLINK("http://141.218.60.56/~jnz1568/getInfo.php?workbook=16_08.xlsx&amp;sheet=U0&amp;row=5721&amp;col=6&amp;number=4.7&amp;sourceID=14","4.7")</f>
        <v>4.7</v>
      </c>
      <c r="G5721" s="4" t="str">
        <f>HYPERLINK("http://141.218.60.56/~jnz1568/getInfo.php?workbook=16_08.xlsx&amp;sheet=U0&amp;row=5721&amp;col=7&amp;number=1.37e-05&amp;sourceID=14","1.37e-05")</f>
        <v>1.37e-05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HYPERLINK("http://141.218.60.56/~jnz1568/getInfo.php?workbook=16_08.xlsx&amp;sheet=U0&amp;row=5722&amp;col=6&amp;number=4.8&amp;sourceID=14","4.8")</f>
        <v>4.8</v>
      </c>
      <c r="G5722" s="4" t="str">
        <f>HYPERLINK("http://141.218.60.56/~jnz1568/getInfo.php?workbook=16_08.xlsx&amp;sheet=U0&amp;row=5722&amp;col=7&amp;number=1.36e-05&amp;sourceID=14","1.36e-05")</f>
        <v>1.36e-05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HYPERLINK("http://141.218.60.56/~jnz1568/getInfo.php?workbook=16_08.xlsx&amp;sheet=U0&amp;row=5723&amp;col=6&amp;number=4.9&amp;sourceID=14","4.9")</f>
        <v>4.9</v>
      </c>
      <c r="G5723" s="4" t="str">
        <f>HYPERLINK("http://141.218.60.56/~jnz1568/getInfo.php?workbook=16_08.xlsx&amp;sheet=U0&amp;row=5723&amp;col=7&amp;number=1.34e-05&amp;sourceID=14","1.34e-05")</f>
        <v>1.34e-05</v>
      </c>
    </row>
    <row r="5724" spans="1:7">
      <c r="A5724" s="3">
        <v>16</v>
      </c>
      <c r="B5724" s="3">
        <v>8</v>
      </c>
      <c r="C5724" s="3">
        <v>4</v>
      </c>
      <c r="D5724" s="3">
        <v>39</v>
      </c>
      <c r="E5724" s="3">
        <v>1</v>
      </c>
      <c r="F5724" s="4" t="str">
        <f>HYPERLINK("http://141.218.60.56/~jnz1568/getInfo.php?workbook=16_08.xlsx&amp;sheet=U0&amp;row=5724&amp;col=6&amp;number=3&amp;sourceID=14","3")</f>
        <v>3</v>
      </c>
      <c r="G5724" s="4" t="str">
        <f>HYPERLINK("http://141.218.60.56/~jnz1568/getInfo.php?workbook=16_08.xlsx&amp;sheet=U0&amp;row=5724&amp;col=7&amp;number=3.02e-05&amp;sourceID=14","3.02e-05")</f>
        <v>3.02e-05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HYPERLINK("http://141.218.60.56/~jnz1568/getInfo.php?workbook=16_08.xlsx&amp;sheet=U0&amp;row=5725&amp;col=6&amp;number=3.1&amp;sourceID=14","3.1")</f>
        <v>3.1</v>
      </c>
      <c r="G5725" s="4" t="str">
        <f>HYPERLINK("http://141.218.60.56/~jnz1568/getInfo.php?workbook=16_08.xlsx&amp;sheet=U0&amp;row=5725&amp;col=7&amp;number=3.02e-05&amp;sourceID=14","3.02e-05")</f>
        <v>3.02e-05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HYPERLINK("http://141.218.60.56/~jnz1568/getInfo.php?workbook=16_08.xlsx&amp;sheet=U0&amp;row=5726&amp;col=6&amp;number=3.2&amp;sourceID=14","3.2")</f>
        <v>3.2</v>
      </c>
      <c r="G5726" s="4" t="str">
        <f>HYPERLINK("http://141.218.60.56/~jnz1568/getInfo.php?workbook=16_08.xlsx&amp;sheet=U0&amp;row=5726&amp;col=7&amp;number=3.02e-05&amp;sourceID=14","3.02e-05")</f>
        <v>3.02e-05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HYPERLINK("http://141.218.60.56/~jnz1568/getInfo.php?workbook=16_08.xlsx&amp;sheet=U0&amp;row=5727&amp;col=6&amp;number=3.3&amp;sourceID=14","3.3")</f>
        <v>3.3</v>
      </c>
      <c r="G5727" s="4" t="str">
        <f>HYPERLINK("http://141.218.60.56/~jnz1568/getInfo.php?workbook=16_08.xlsx&amp;sheet=U0&amp;row=5727&amp;col=7&amp;number=3.02e-05&amp;sourceID=14","3.02e-05")</f>
        <v>3.02e-05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HYPERLINK("http://141.218.60.56/~jnz1568/getInfo.php?workbook=16_08.xlsx&amp;sheet=U0&amp;row=5728&amp;col=6&amp;number=3.4&amp;sourceID=14","3.4")</f>
        <v>3.4</v>
      </c>
      <c r="G5728" s="4" t="str">
        <f>HYPERLINK("http://141.218.60.56/~jnz1568/getInfo.php?workbook=16_08.xlsx&amp;sheet=U0&amp;row=5728&amp;col=7&amp;number=3.02e-05&amp;sourceID=14","3.02e-05")</f>
        <v>3.02e-05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HYPERLINK("http://141.218.60.56/~jnz1568/getInfo.php?workbook=16_08.xlsx&amp;sheet=U0&amp;row=5729&amp;col=6&amp;number=3.5&amp;sourceID=14","3.5")</f>
        <v>3.5</v>
      </c>
      <c r="G5729" s="4" t="str">
        <f>HYPERLINK("http://141.218.60.56/~jnz1568/getInfo.php?workbook=16_08.xlsx&amp;sheet=U0&amp;row=5729&amp;col=7&amp;number=3.02e-05&amp;sourceID=14","3.02e-05")</f>
        <v>3.02e-05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HYPERLINK("http://141.218.60.56/~jnz1568/getInfo.php?workbook=16_08.xlsx&amp;sheet=U0&amp;row=5730&amp;col=6&amp;number=3.6&amp;sourceID=14","3.6")</f>
        <v>3.6</v>
      </c>
      <c r="G5730" s="4" t="str">
        <f>HYPERLINK("http://141.218.60.56/~jnz1568/getInfo.php?workbook=16_08.xlsx&amp;sheet=U0&amp;row=5730&amp;col=7&amp;number=3.02e-05&amp;sourceID=14","3.02e-05")</f>
        <v>3.02e-05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HYPERLINK("http://141.218.60.56/~jnz1568/getInfo.php?workbook=16_08.xlsx&amp;sheet=U0&amp;row=5731&amp;col=6&amp;number=3.7&amp;sourceID=14","3.7")</f>
        <v>3.7</v>
      </c>
      <c r="G5731" s="4" t="str">
        <f>HYPERLINK("http://141.218.60.56/~jnz1568/getInfo.php?workbook=16_08.xlsx&amp;sheet=U0&amp;row=5731&amp;col=7&amp;number=3.02e-05&amp;sourceID=14","3.02e-05")</f>
        <v>3.02e-05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HYPERLINK("http://141.218.60.56/~jnz1568/getInfo.php?workbook=16_08.xlsx&amp;sheet=U0&amp;row=5732&amp;col=6&amp;number=3.8&amp;sourceID=14","3.8")</f>
        <v>3.8</v>
      </c>
      <c r="G5732" s="4" t="str">
        <f>HYPERLINK("http://141.218.60.56/~jnz1568/getInfo.php?workbook=16_08.xlsx&amp;sheet=U0&amp;row=5732&amp;col=7&amp;number=3.02e-05&amp;sourceID=14","3.02e-05")</f>
        <v>3.02e-05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HYPERLINK("http://141.218.60.56/~jnz1568/getInfo.php?workbook=16_08.xlsx&amp;sheet=U0&amp;row=5733&amp;col=6&amp;number=3.9&amp;sourceID=14","3.9")</f>
        <v>3.9</v>
      </c>
      <c r="G5733" s="4" t="str">
        <f>HYPERLINK("http://141.218.60.56/~jnz1568/getInfo.php?workbook=16_08.xlsx&amp;sheet=U0&amp;row=5733&amp;col=7&amp;number=3.02e-05&amp;sourceID=14","3.02e-05")</f>
        <v>3.02e-05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HYPERLINK("http://141.218.60.56/~jnz1568/getInfo.php?workbook=16_08.xlsx&amp;sheet=U0&amp;row=5734&amp;col=6&amp;number=4&amp;sourceID=14","4")</f>
        <v>4</v>
      </c>
      <c r="G5734" s="4" t="str">
        <f>HYPERLINK("http://141.218.60.56/~jnz1568/getInfo.php?workbook=16_08.xlsx&amp;sheet=U0&amp;row=5734&amp;col=7&amp;number=3.02e-05&amp;sourceID=14","3.02e-05")</f>
        <v>3.02e-05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HYPERLINK("http://141.218.60.56/~jnz1568/getInfo.php?workbook=16_08.xlsx&amp;sheet=U0&amp;row=5735&amp;col=6&amp;number=4.1&amp;sourceID=14","4.1")</f>
        <v>4.1</v>
      </c>
      <c r="G5735" s="4" t="str">
        <f>HYPERLINK("http://141.218.60.56/~jnz1568/getInfo.php?workbook=16_08.xlsx&amp;sheet=U0&amp;row=5735&amp;col=7&amp;number=3.01e-05&amp;sourceID=14","3.01e-05")</f>
        <v>3.01e-05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HYPERLINK("http://141.218.60.56/~jnz1568/getInfo.php?workbook=16_08.xlsx&amp;sheet=U0&amp;row=5736&amp;col=6&amp;number=4.2&amp;sourceID=14","4.2")</f>
        <v>4.2</v>
      </c>
      <c r="G5736" s="4" t="str">
        <f>HYPERLINK("http://141.218.60.56/~jnz1568/getInfo.php?workbook=16_08.xlsx&amp;sheet=U0&amp;row=5736&amp;col=7&amp;number=3.01e-05&amp;sourceID=14","3.01e-05")</f>
        <v>3.01e-05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HYPERLINK("http://141.218.60.56/~jnz1568/getInfo.php?workbook=16_08.xlsx&amp;sheet=U0&amp;row=5737&amp;col=6&amp;number=4.3&amp;sourceID=14","4.3")</f>
        <v>4.3</v>
      </c>
      <c r="G5737" s="4" t="str">
        <f>HYPERLINK("http://141.218.60.56/~jnz1568/getInfo.php?workbook=16_08.xlsx&amp;sheet=U0&amp;row=5737&amp;col=7&amp;number=3.01e-05&amp;sourceID=14","3.01e-05")</f>
        <v>3.01e-05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HYPERLINK("http://141.218.60.56/~jnz1568/getInfo.php?workbook=16_08.xlsx&amp;sheet=U0&amp;row=5738&amp;col=6&amp;number=4.4&amp;sourceID=14","4.4")</f>
        <v>4.4</v>
      </c>
      <c r="G5738" s="4" t="str">
        <f>HYPERLINK("http://141.218.60.56/~jnz1568/getInfo.php?workbook=16_08.xlsx&amp;sheet=U0&amp;row=5738&amp;col=7&amp;number=3e-05&amp;sourceID=14","3e-05")</f>
        <v>3e-05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HYPERLINK("http://141.218.60.56/~jnz1568/getInfo.php?workbook=16_08.xlsx&amp;sheet=U0&amp;row=5739&amp;col=6&amp;number=4.5&amp;sourceID=14","4.5")</f>
        <v>4.5</v>
      </c>
      <c r="G5739" s="4" t="str">
        <f>HYPERLINK("http://141.218.60.56/~jnz1568/getInfo.php?workbook=16_08.xlsx&amp;sheet=U0&amp;row=5739&amp;col=7&amp;number=3e-05&amp;sourceID=14","3e-05")</f>
        <v>3e-05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HYPERLINK("http://141.218.60.56/~jnz1568/getInfo.php?workbook=16_08.xlsx&amp;sheet=U0&amp;row=5740&amp;col=6&amp;number=4.6&amp;sourceID=14","4.6")</f>
        <v>4.6</v>
      </c>
      <c r="G5740" s="4" t="str">
        <f>HYPERLINK("http://141.218.60.56/~jnz1568/getInfo.php?workbook=16_08.xlsx&amp;sheet=U0&amp;row=5740&amp;col=7&amp;number=2.99e-05&amp;sourceID=14","2.99e-05")</f>
        <v>2.99e-05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HYPERLINK("http://141.218.60.56/~jnz1568/getInfo.php?workbook=16_08.xlsx&amp;sheet=U0&amp;row=5741&amp;col=6&amp;number=4.7&amp;sourceID=14","4.7")</f>
        <v>4.7</v>
      </c>
      <c r="G5741" s="4" t="str">
        <f>HYPERLINK("http://141.218.60.56/~jnz1568/getInfo.php?workbook=16_08.xlsx&amp;sheet=U0&amp;row=5741&amp;col=7&amp;number=2.99e-05&amp;sourceID=14","2.99e-05")</f>
        <v>2.99e-05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HYPERLINK("http://141.218.60.56/~jnz1568/getInfo.php?workbook=16_08.xlsx&amp;sheet=U0&amp;row=5742&amp;col=6&amp;number=4.8&amp;sourceID=14","4.8")</f>
        <v>4.8</v>
      </c>
      <c r="G5742" s="4" t="str">
        <f>HYPERLINK("http://141.218.60.56/~jnz1568/getInfo.php?workbook=16_08.xlsx&amp;sheet=U0&amp;row=5742&amp;col=7&amp;number=2.98e-05&amp;sourceID=14","2.98e-05")</f>
        <v>2.98e-05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HYPERLINK("http://141.218.60.56/~jnz1568/getInfo.php?workbook=16_08.xlsx&amp;sheet=U0&amp;row=5743&amp;col=6&amp;number=4.9&amp;sourceID=14","4.9")</f>
        <v>4.9</v>
      </c>
      <c r="G5743" s="4" t="str">
        <f>HYPERLINK("http://141.218.60.56/~jnz1568/getInfo.php?workbook=16_08.xlsx&amp;sheet=U0&amp;row=5743&amp;col=7&amp;number=2.97e-05&amp;sourceID=14","2.97e-05")</f>
        <v>2.97e-05</v>
      </c>
    </row>
    <row r="5744" spans="1:7">
      <c r="A5744" s="3">
        <v>16</v>
      </c>
      <c r="B5744" s="3">
        <v>8</v>
      </c>
      <c r="C5744" s="3">
        <v>4</v>
      </c>
      <c r="D5744" s="3">
        <v>40</v>
      </c>
      <c r="E5744" s="3">
        <v>1</v>
      </c>
      <c r="F5744" s="4" t="str">
        <f>HYPERLINK("http://141.218.60.56/~jnz1568/getInfo.php?workbook=16_08.xlsx&amp;sheet=U0&amp;row=5744&amp;col=6&amp;number=3&amp;sourceID=14","3")</f>
        <v>3</v>
      </c>
      <c r="G5744" s="4" t="str">
        <f>HYPERLINK("http://141.218.60.56/~jnz1568/getInfo.php?workbook=16_08.xlsx&amp;sheet=U0&amp;row=5744&amp;col=7&amp;number=5.25e-05&amp;sourceID=14","5.25e-05")</f>
        <v>5.25e-05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HYPERLINK("http://141.218.60.56/~jnz1568/getInfo.php?workbook=16_08.xlsx&amp;sheet=U0&amp;row=5745&amp;col=6&amp;number=3.1&amp;sourceID=14","3.1")</f>
        <v>3.1</v>
      </c>
      <c r="G5745" s="4" t="str">
        <f>HYPERLINK("http://141.218.60.56/~jnz1568/getInfo.php?workbook=16_08.xlsx&amp;sheet=U0&amp;row=5745&amp;col=7&amp;number=5.25e-05&amp;sourceID=14","5.25e-05")</f>
        <v>5.25e-05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HYPERLINK("http://141.218.60.56/~jnz1568/getInfo.php?workbook=16_08.xlsx&amp;sheet=U0&amp;row=5746&amp;col=6&amp;number=3.2&amp;sourceID=14","3.2")</f>
        <v>3.2</v>
      </c>
      <c r="G5746" s="4" t="str">
        <f>HYPERLINK("http://141.218.60.56/~jnz1568/getInfo.php?workbook=16_08.xlsx&amp;sheet=U0&amp;row=5746&amp;col=7&amp;number=5.25e-05&amp;sourceID=14","5.25e-05")</f>
        <v>5.25e-05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HYPERLINK("http://141.218.60.56/~jnz1568/getInfo.php?workbook=16_08.xlsx&amp;sheet=U0&amp;row=5747&amp;col=6&amp;number=3.3&amp;sourceID=14","3.3")</f>
        <v>3.3</v>
      </c>
      <c r="G5747" s="4" t="str">
        <f>HYPERLINK("http://141.218.60.56/~jnz1568/getInfo.php?workbook=16_08.xlsx&amp;sheet=U0&amp;row=5747&amp;col=7&amp;number=5.25e-05&amp;sourceID=14","5.25e-05")</f>
        <v>5.25e-05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HYPERLINK("http://141.218.60.56/~jnz1568/getInfo.php?workbook=16_08.xlsx&amp;sheet=U0&amp;row=5748&amp;col=6&amp;number=3.4&amp;sourceID=14","3.4")</f>
        <v>3.4</v>
      </c>
      <c r="G5748" s="4" t="str">
        <f>HYPERLINK("http://141.218.60.56/~jnz1568/getInfo.php?workbook=16_08.xlsx&amp;sheet=U0&amp;row=5748&amp;col=7&amp;number=5.25e-05&amp;sourceID=14","5.25e-05")</f>
        <v>5.25e-05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HYPERLINK("http://141.218.60.56/~jnz1568/getInfo.php?workbook=16_08.xlsx&amp;sheet=U0&amp;row=5749&amp;col=6&amp;number=3.5&amp;sourceID=14","3.5")</f>
        <v>3.5</v>
      </c>
      <c r="G5749" s="4" t="str">
        <f>HYPERLINK("http://141.218.60.56/~jnz1568/getInfo.php?workbook=16_08.xlsx&amp;sheet=U0&amp;row=5749&amp;col=7&amp;number=5.25e-05&amp;sourceID=14","5.25e-05")</f>
        <v>5.25e-05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HYPERLINK("http://141.218.60.56/~jnz1568/getInfo.php?workbook=16_08.xlsx&amp;sheet=U0&amp;row=5750&amp;col=6&amp;number=3.6&amp;sourceID=14","3.6")</f>
        <v>3.6</v>
      </c>
      <c r="G5750" s="4" t="str">
        <f>HYPERLINK("http://141.218.60.56/~jnz1568/getInfo.php?workbook=16_08.xlsx&amp;sheet=U0&amp;row=5750&amp;col=7&amp;number=5.24e-05&amp;sourceID=14","5.24e-05")</f>
        <v>5.24e-05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HYPERLINK("http://141.218.60.56/~jnz1568/getInfo.php?workbook=16_08.xlsx&amp;sheet=U0&amp;row=5751&amp;col=6&amp;number=3.7&amp;sourceID=14","3.7")</f>
        <v>3.7</v>
      </c>
      <c r="G5751" s="4" t="str">
        <f>HYPERLINK("http://141.218.60.56/~jnz1568/getInfo.php?workbook=16_08.xlsx&amp;sheet=U0&amp;row=5751&amp;col=7&amp;number=5.24e-05&amp;sourceID=14","5.24e-05")</f>
        <v>5.24e-05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HYPERLINK("http://141.218.60.56/~jnz1568/getInfo.php?workbook=16_08.xlsx&amp;sheet=U0&amp;row=5752&amp;col=6&amp;number=3.8&amp;sourceID=14","3.8")</f>
        <v>3.8</v>
      </c>
      <c r="G5752" s="4" t="str">
        <f>HYPERLINK("http://141.218.60.56/~jnz1568/getInfo.php?workbook=16_08.xlsx&amp;sheet=U0&amp;row=5752&amp;col=7&amp;number=5.24e-05&amp;sourceID=14","5.24e-05")</f>
        <v>5.24e-05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HYPERLINK("http://141.218.60.56/~jnz1568/getInfo.php?workbook=16_08.xlsx&amp;sheet=U0&amp;row=5753&amp;col=6&amp;number=3.9&amp;sourceID=14","3.9")</f>
        <v>3.9</v>
      </c>
      <c r="G5753" s="4" t="str">
        <f>HYPERLINK("http://141.218.60.56/~jnz1568/getInfo.php?workbook=16_08.xlsx&amp;sheet=U0&amp;row=5753&amp;col=7&amp;number=5.24e-05&amp;sourceID=14","5.24e-05")</f>
        <v>5.24e-05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HYPERLINK("http://141.218.60.56/~jnz1568/getInfo.php?workbook=16_08.xlsx&amp;sheet=U0&amp;row=5754&amp;col=6&amp;number=4&amp;sourceID=14","4")</f>
        <v>4</v>
      </c>
      <c r="G5754" s="4" t="str">
        <f>HYPERLINK("http://141.218.60.56/~jnz1568/getInfo.php?workbook=16_08.xlsx&amp;sheet=U0&amp;row=5754&amp;col=7&amp;number=5.24e-05&amp;sourceID=14","5.24e-05")</f>
        <v>5.24e-05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HYPERLINK("http://141.218.60.56/~jnz1568/getInfo.php?workbook=16_08.xlsx&amp;sheet=U0&amp;row=5755&amp;col=6&amp;number=4.1&amp;sourceID=14","4.1")</f>
        <v>4.1</v>
      </c>
      <c r="G5755" s="4" t="str">
        <f>HYPERLINK("http://141.218.60.56/~jnz1568/getInfo.php?workbook=16_08.xlsx&amp;sheet=U0&amp;row=5755&amp;col=7&amp;number=5.23e-05&amp;sourceID=14","5.23e-05")</f>
        <v>5.23e-05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HYPERLINK("http://141.218.60.56/~jnz1568/getInfo.php?workbook=16_08.xlsx&amp;sheet=U0&amp;row=5756&amp;col=6&amp;number=4.2&amp;sourceID=14","4.2")</f>
        <v>4.2</v>
      </c>
      <c r="G5756" s="4" t="str">
        <f>HYPERLINK("http://141.218.60.56/~jnz1568/getInfo.php?workbook=16_08.xlsx&amp;sheet=U0&amp;row=5756&amp;col=7&amp;number=5.23e-05&amp;sourceID=14","5.23e-05")</f>
        <v>5.23e-05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HYPERLINK("http://141.218.60.56/~jnz1568/getInfo.php?workbook=16_08.xlsx&amp;sheet=U0&amp;row=5757&amp;col=6&amp;number=4.3&amp;sourceID=14","4.3")</f>
        <v>4.3</v>
      </c>
      <c r="G5757" s="4" t="str">
        <f>HYPERLINK("http://141.218.60.56/~jnz1568/getInfo.php?workbook=16_08.xlsx&amp;sheet=U0&amp;row=5757&amp;col=7&amp;number=5.22e-05&amp;sourceID=14","5.22e-05")</f>
        <v>5.22e-05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HYPERLINK("http://141.218.60.56/~jnz1568/getInfo.php?workbook=16_08.xlsx&amp;sheet=U0&amp;row=5758&amp;col=6&amp;number=4.4&amp;sourceID=14","4.4")</f>
        <v>4.4</v>
      </c>
      <c r="G5758" s="4" t="str">
        <f>HYPERLINK("http://141.218.60.56/~jnz1568/getInfo.php?workbook=16_08.xlsx&amp;sheet=U0&amp;row=5758&amp;col=7&amp;number=5.22e-05&amp;sourceID=14","5.22e-05")</f>
        <v>5.22e-05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HYPERLINK("http://141.218.60.56/~jnz1568/getInfo.php?workbook=16_08.xlsx&amp;sheet=U0&amp;row=5759&amp;col=6&amp;number=4.5&amp;sourceID=14","4.5")</f>
        <v>4.5</v>
      </c>
      <c r="G5759" s="4" t="str">
        <f>HYPERLINK("http://141.218.60.56/~jnz1568/getInfo.php?workbook=16_08.xlsx&amp;sheet=U0&amp;row=5759&amp;col=7&amp;number=5.21e-05&amp;sourceID=14","5.21e-05")</f>
        <v>5.21e-05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HYPERLINK("http://141.218.60.56/~jnz1568/getInfo.php?workbook=16_08.xlsx&amp;sheet=U0&amp;row=5760&amp;col=6&amp;number=4.6&amp;sourceID=14","4.6")</f>
        <v>4.6</v>
      </c>
      <c r="G5760" s="4" t="str">
        <f>HYPERLINK("http://141.218.60.56/~jnz1568/getInfo.php?workbook=16_08.xlsx&amp;sheet=U0&amp;row=5760&amp;col=7&amp;number=5.2e-05&amp;sourceID=14","5.2e-05")</f>
        <v>5.2e-05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HYPERLINK("http://141.218.60.56/~jnz1568/getInfo.php?workbook=16_08.xlsx&amp;sheet=U0&amp;row=5761&amp;col=6&amp;number=4.7&amp;sourceID=14","4.7")</f>
        <v>4.7</v>
      </c>
      <c r="G5761" s="4" t="str">
        <f>HYPERLINK("http://141.218.60.56/~jnz1568/getInfo.php?workbook=16_08.xlsx&amp;sheet=U0&amp;row=5761&amp;col=7&amp;number=5.19e-05&amp;sourceID=14","5.19e-05")</f>
        <v>5.19e-05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HYPERLINK("http://141.218.60.56/~jnz1568/getInfo.php?workbook=16_08.xlsx&amp;sheet=U0&amp;row=5762&amp;col=6&amp;number=4.8&amp;sourceID=14","4.8")</f>
        <v>4.8</v>
      </c>
      <c r="G5762" s="4" t="str">
        <f>HYPERLINK("http://141.218.60.56/~jnz1568/getInfo.php?workbook=16_08.xlsx&amp;sheet=U0&amp;row=5762&amp;col=7&amp;number=5.17e-05&amp;sourceID=14","5.17e-05")</f>
        <v>5.17e-05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HYPERLINK("http://141.218.60.56/~jnz1568/getInfo.php?workbook=16_08.xlsx&amp;sheet=U0&amp;row=5763&amp;col=6&amp;number=4.9&amp;sourceID=14","4.9")</f>
        <v>4.9</v>
      </c>
      <c r="G5763" s="4" t="str">
        <f>HYPERLINK("http://141.218.60.56/~jnz1568/getInfo.php?workbook=16_08.xlsx&amp;sheet=U0&amp;row=5763&amp;col=7&amp;number=5.15e-05&amp;sourceID=14","5.15e-05")</f>
        <v>5.15e-05</v>
      </c>
    </row>
    <row r="5764" spans="1:7">
      <c r="A5764" s="3">
        <v>16</v>
      </c>
      <c r="B5764" s="3">
        <v>8</v>
      </c>
      <c r="C5764" s="3">
        <v>4</v>
      </c>
      <c r="D5764" s="3">
        <v>41</v>
      </c>
      <c r="E5764" s="3">
        <v>1</v>
      </c>
      <c r="F5764" s="4" t="str">
        <f>HYPERLINK("http://141.218.60.56/~jnz1568/getInfo.php?workbook=16_08.xlsx&amp;sheet=U0&amp;row=5764&amp;col=6&amp;number=3&amp;sourceID=14","3")</f>
        <v>3</v>
      </c>
      <c r="G5764" s="4" t="str">
        <f>HYPERLINK("http://141.218.60.56/~jnz1568/getInfo.php?workbook=16_08.xlsx&amp;sheet=U0&amp;row=5764&amp;col=7&amp;number=7.92e-05&amp;sourceID=14","7.92e-05")</f>
        <v>7.92e-05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HYPERLINK("http://141.218.60.56/~jnz1568/getInfo.php?workbook=16_08.xlsx&amp;sheet=U0&amp;row=5765&amp;col=6&amp;number=3.1&amp;sourceID=14","3.1")</f>
        <v>3.1</v>
      </c>
      <c r="G5765" s="4" t="str">
        <f>HYPERLINK("http://141.218.60.56/~jnz1568/getInfo.php?workbook=16_08.xlsx&amp;sheet=U0&amp;row=5765&amp;col=7&amp;number=7.92e-05&amp;sourceID=14","7.92e-05")</f>
        <v>7.92e-05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HYPERLINK("http://141.218.60.56/~jnz1568/getInfo.php?workbook=16_08.xlsx&amp;sheet=U0&amp;row=5766&amp;col=6&amp;number=3.2&amp;sourceID=14","3.2")</f>
        <v>3.2</v>
      </c>
      <c r="G5766" s="4" t="str">
        <f>HYPERLINK("http://141.218.60.56/~jnz1568/getInfo.php?workbook=16_08.xlsx&amp;sheet=U0&amp;row=5766&amp;col=7&amp;number=7.92e-05&amp;sourceID=14","7.92e-05")</f>
        <v>7.92e-05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HYPERLINK("http://141.218.60.56/~jnz1568/getInfo.php?workbook=16_08.xlsx&amp;sheet=U0&amp;row=5767&amp;col=6&amp;number=3.3&amp;sourceID=14","3.3")</f>
        <v>3.3</v>
      </c>
      <c r="G5767" s="4" t="str">
        <f>HYPERLINK("http://141.218.60.56/~jnz1568/getInfo.php?workbook=16_08.xlsx&amp;sheet=U0&amp;row=5767&amp;col=7&amp;number=7.92e-05&amp;sourceID=14","7.92e-05")</f>
        <v>7.92e-05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HYPERLINK("http://141.218.60.56/~jnz1568/getInfo.php?workbook=16_08.xlsx&amp;sheet=U0&amp;row=5768&amp;col=6&amp;number=3.4&amp;sourceID=14","3.4")</f>
        <v>3.4</v>
      </c>
      <c r="G5768" s="4" t="str">
        <f>HYPERLINK("http://141.218.60.56/~jnz1568/getInfo.php?workbook=16_08.xlsx&amp;sheet=U0&amp;row=5768&amp;col=7&amp;number=7.92e-05&amp;sourceID=14","7.92e-05")</f>
        <v>7.92e-05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HYPERLINK("http://141.218.60.56/~jnz1568/getInfo.php?workbook=16_08.xlsx&amp;sheet=U0&amp;row=5769&amp;col=6&amp;number=3.5&amp;sourceID=14","3.5")</f>
        <v>3.5</v>
      </c>
      <c r="G5769" s="4" t="str">
        <f>HYPERLINK("http://141.218.60.56/~jnz1568/getInfo.php?workbook=16_08.xlsx&amp;sheet=U0&amp;row=5769&amp;col=7&amp;number=7.92e-05&amp;sourceID=14","7.92e-05")</f>
        <v>7.92e-05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HYPERLINK("http://141.218.60.56/~jnz1568/getInfo.php?workbook=16_08.xlsx&amp;sheet=U0&amp;row=5770&amp;col=6&amp;number=3.6&amp;sourceID=14","3.6")</f>
        <v>3.6</v>
      </c>
      <c r="G5770" s="4" t="str">
        <f>HYPERLINK("http://141.218.60.56/~jnz1568/getInfo.php?workbook=16_08.xlsx&amp;sheet=U0&amp;row=5770&amp;col=7&amp;number=7.91e-05&amp;sourceID=14","7.91e-05")</f>
        <v>7.91e-05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HYPERLINK("http://141.218.60.56/~jnz1568/getInfo.php?workbook=16_08.xlsx&amp;sheet=U0&amp;row=5771&amp;col=6&amp;number=3.7&amp;sourceID=14","3.7")</f>
        <v>3.7</v>
      </c>
      <c r="G5771" s="4" t="str">
        <f>HYPERLINK("http://141.218.60.56/~jnz1568/getInfo.php?workbook=16_08.xlsx&amp;sheet=U0&amp;row=5771&amp;col=7&amp;number=7.91e-05&amp;sourceID=14","7.91e-05")</f>
        <v>7.91e-05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HYPERLINK("http://141.218.60.56/~jnz1568/getInfo.php?workbook=16_08.xlsx&amp;sheet=U0&amp;row=5772&amp;col=6&amp;number=3.8&amp;sourceID=14","3.8")</f>
        <v>3.8</v>
      </c>
      <c r="G5772" s="4" t="str">
        <f>HYPERLINK("http://141.218.60.56/~jnz1568/getInfo.php?workbook=16_08.xlsx&amp;sheet=U0&amp;row=5772&amp;col=7&amp;number=7.91e-05&amp;sourceID=14","7.91e-05")</f>
        <v>7.91e-05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HYPERLINK("http://141.218.60.56/~jnz1568/getInfo.php?workbook=16_08.xlsx&amp;sheet=U0&amp;row=5773&amp;col=6&amp;number=3.9&amp;sourceID=14","3.9")</f>
        <v>3.9</v>
      </c>
      <c r="G5773" s="4" t="str">
        <f>HYPERLINK("http://141.218.60.56/~jnz1568/getInfo.php?workbook=16_08.xlsx&amp;sheet=U0&amp;row=5773&amp;col=7&amp;number=7.91e-05&amp;sourceID=14","7.91e-05")</f>
        <v>7.91e-05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HYPERLINK("http://141.218.60.56/~jnz1568/getInfo.php?workbook=16_08.xlsx&amp;sheet=U0&amp;row=5774&amp;col=6&amp;number=4&amp;sourceID=14","4")</f>
        <v>4</v>
      </c>
      <c r="G5774" s="4" t="str">
        <f>HYPERLINK("http://141.218.60.56/~jnz1568/getInfo.php?workbook=16_08.xlsx&amp;sheet=U0&amp;row=5774&amp;col=7&amp;number=7.9e-05&amp;sourceID=14","7.9e-05")</f>
        <v>7.9e-05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HYPERLINK("http://141.218.60.56/~jnz1568/getInfo.php?workbook=16_08.xlsx&amp;sheet=U0&amp;row=5775&amp;col=6&amp;number=4.1&amp;sourceID=14","4.1")</f>
        <v>4.1</v>
      </c>
      <c r="G5775" s="4" t="str">
        <f>HYPERLINK("http://141.218.60.56/~jnz1568/getInfo.php?workbook=16_08.xlsx&amp;sheet=U0&amp;row=5775&amp;col=7&amp;number=7.9e-05&amp;sourceID=14","7.9e-05")</f>
        <v>7.9e-05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HYPERLINK("http://141.218.60.56/~jnz1568/getInfo.php?workbook=16_08.xlsx&amp;sheet=U0&amp;row=5776&amp;col=6&amp;number=4.2&amp;sourceID=14","4.2")</f>
        <v>4.2</v>
      </c>
      <c r="G5776" s="4" t="str">
        <f>HYPERLINK("http://141.218.60.56/~jnz1568/getInfo.php?workbook=16_08.xlsx&amp;sheet=U0&amp;row=5776&amp;col=7&amp;number=7.89e-05&amp;sourceID=14","7.89e-05")</f>
        <v>7.89e-05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HYPERLINK("http://141.218.60.56/~jnz1568/getInfo.php?workbook=16_08.xlsx&amp;sheet=U0&amp;row=5777&amp;col=6&amp;number=4.3&amp;sourceID=14","4.3")</f>
        <v>4.3</v>
      </c>
      <c r="G5777" s="4" t="str">
        <f>HYPERLINK("http://141.218.60.56/~jnz1568/getInfo.php?workbook=16_08.xlsx&amp;sheet=U0&amp;row=5777&amp;col=7&amp;number=7.88e-05&amp;sourceID=14","7.88e-05")</f>
        <v>7.88e-05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HYPERLINK("http://141.218.60.56/~jnz1568/getInfo.php?workbook=16_08.xlsx&amp;sheet=U0&amp;row=5778&amp;col=6&amp;number=4.4&amp;sourceID=14","4.4")</f>
        <v>4.4</v>
      </c>
      <c r="G5778" s="4" t="str">
        <f>HYPERLINK("http://141.218.60.56/~jnz1568/getInfo.php?workbook=16_08.xlsx&amp;sheet=U0&amp;row=5778&amp;col=7&amp;number=7.88e-05&amp;sourceID=14","7.88e-05")</f>
        <v>7.88e-05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HYPERLINK("http://141.218.60.56/~jnz1568/getInfo.php?workbook=16_08.xlsx&amp;sheet=U0&amp;row=5779&amp;col=6&amp;number=4.5&amp;sourceID=14","4.5")</f>
        <v>4.5</v>
      </c>
      <c r="G5779" s="4" t="str">
        <f>HYPERLINK("http://141.218.60.56/~jnz1568/getInfo.php?workbook=16_08.xlsx&amp;sheet=U0&amp;row=5779&amp;col=7&amp;number=7.86e-05&amp;sourceID=14","7.86e-05")</f>
        <v>7.86e-05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HYPERLINK("http://141.218.60.56/~jnz1568/getInfo.php?workbook=16_08.xlsx&amp;sheet=U0&amp;row=5780&amp;col=6&amp;number=4.6&amp;sourceID=14","4.6")</f>
        <v>4.6</v>
      </c>
      <c r="G5780" s="4" t="str">
        <f>HYPERLINK("http://141.218.60.56/~jnz1568/getInfo.php?workbook=16_08.xlsx&amp;sheet=U0&amp;row=5780&amp;col=7&amp;number=7.85e-05&amp;sourceID=14","7.85e-05")</f>
        <v>7.85e-05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HYPERLINK("http://141.218.60.56/~jnz1568/getInfo.php?workbook=16_08.xlsx&amp;sheet=U0&amp;row=5781&amp;col=6&amp;number=4.7&amp;sourceID=14","4.7")</f>
        <v>4.7</v>
      </c>
      <c r="G5781" s="4" t="str">
        <f>HYPERLINK("http://141.218.60.56/~jnz1568/getInfo.php?workbook=16_08.xlsx&amp;sheet=U0&amp;row=5781&amp;col=7&amp;number=7.83e-05&amp;sourceID=14","7.83e-05")</f>
        <v>7.83e-05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HYPERLINK("http://141.218.60.56/~jnz1568/getInfo.php?workbook=16_08.xlsx&amp;sheet=U0&amp;row=5782&amp;col=6&amp;number=4.8&amp;sourceID=14","4.8")</f>
        <v>4.8</v>
      </c>
      <c r="G5782" s="4" t="str">
        <f>HYPERLINK("http://141.218.60.56/~jnz1568/getInfo.php?workbook=16_08.xlsx&amp;sheet=U0&amp;row=5782&amp;col=7&amp;number=7.8e-05&amp;sourceID=14","7.8e-05")</f>
        <v>7.8e-05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HYPERLINK("http://141.218.60.56/~jnz1568/getInfo.php?workbook=16_08.xlsx&amp;sheet=U0&amp;row=5783&amp;col=6&amp;number=4.9&amp;sourceID=14","4.9")</f>
        <v>4.9</v>
      </c>
      <c r="G5783" s="4" t="str">
        <f>HYPERLINK("http://141.218.60.56/~jnz1568/getInfo.php?workbook=16_08.xlsx&amp;sheet=U0&amp;row=5783&amp;col=7&amp;number=7.77e-05&amp;sourceID=14","7.77e-05")</f>
        <v>7.77e-05</v>
      </c>
    </row>
    <row r="5784" spans="1:7">
      <c r="A5784" s="3">
        <v>16</v>
      </c>
      <c r="B5784" s="3">
        <v>8</v>
      </c>
      <c r="C5784" s="3">
        <v>4</v>
      </c>
      <c r="D5784" s="3">
        <v>42</v>
      </c>
      <c r="E5784" s="3">
        <v>1</v>
      </c>
      <c r="F5784" s="4" t="str">
        <f>HYPERLINK("http://141.218.60.56/~jnz1568/getInfo.php?workbook=16_08.xlsx&amp;sheet=U0&amp;row=5784&amp;col=6&amp;number=3&amp;sourceID=14","3")</f>
        <v>3</v>
      </c>
      <c r="G5784" s="4" t="str">
        <f>HYPERLINK("http://141.218.60.56/~jnz1568/getInfo.php?workbook=16_08.xlsx&amp;sheet=U0&amp;row=5784&amp;col=7&amp;number=0.000156&amp;sourceID=14","0.000156")</f>
        <v>0.000156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HYPERLINK("http://141.218.60.56/~jnz1568/getInfo.php?workbook=16_08.xlsx&amp;sheet=U0&amp;row=5785&amp;col=6&amp;number=3.1&amp;sourceID=14","3.1")</f>
        <v>3.1</v>
      </c>
      <c r="G5785" s="4" t="str">
        <f>HYPERLINK("http://141.218.60.56/~jnz1568/getInfo.php?workbook=16_08.xlsx&amp;sheet=U0&amp;row=5785&amp;col=7&amp;number=0.000156&amp;sourceID=14","0.000156")</f>
        <v>0.000156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HYPERLINK("http://141.218.60.56/~jnz1568/getInfo.php?workbook=16_08.xlsx&amp;sheet=U0&amp;row=5786&amp;col=6&amp;number=3.2&amp;sourceID=14","3.2")</f>
        <v>3.2</v>
      </c>
      <c r="G5786" s="4" t="str">
        <f>HYPERLINK("http://141.218.60.56/~jnz1568/getInfo.php?workbook=16_08.xlsx&amp;sheet=U0&amp;row=5786&amp;col=7&amp;number=0.000156&amp;sourceID=14","0.000156")</f>
        <v>0.000156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HYPERLINK("http://141.218.60.56/~jnz1568/getInfo.php?workbook=16_08.xlsx&amp;sheet=U0&amp;row=5787&amp;col=6&amp;number=3.3&amp;sourceID=14","3.3")</f>
        <v>3.3</v>
      </c>
      <c r="G5787" s="4" t="str">
        <f>HYPERLINK("http://141.218.60.56/~jnz1568/getInfo.php?workbook=16_08.xlsx&amp;sheet=U0&amp;row=5787&amp;col=7&amp;number=0.000156&amp;sourceID=14","0.000156")</f>
        <v>0.000156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HYPERLINK("http://141.218.60.56/~jnz1568/getInfo.php?workbook=16_08.xlsx&amp;sheet=U0&amp;row=5788&amp;col=6&amp;number=3.4&amp;sourceID=14","3.4")</f>
        <v>3.4</v>
      </c>
      <c r="G5788" s="4" t="str">
        <f>HYPERLINK("http://141.218.60.56/~jnz1568/getInfo.php?workbook=16_08.xlsx&amp;sheet=U0&amp;row=5788&amp;col=7&amp;number=0.000156&amp;sourceID=14","0.000156")</f>
        <v>0.000156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HYPERLINK("http://141.218.60.56/~jnz1568/getInfo.php?workbook=16_08.xlsx&amp;sheet=U0&amp;row=5789&amp;col=6&amp;number=3.5&amp;sourceID=14","3.5")</f>
        <v>3.5</v>
      </c>
      <c r="G5789" s="4" t="str">
        <f>HYPERLINK("http://141.218.60.56/~jnz1568/getInfo.php?workbook=16_08.xlsx&amp;sheet=U0&amp;row=5789&amp;col=7&amp;number=0.000156&amp;sourceID=14","0.000156")</f>
        <v>0.000156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HYPERLINK("http://141.218.60.56/~jnz1568/getInfo.php?workbook=16_08.xlsx&amp;sheet=U0&amp;row=5790&amp;col=6&amp;number=3.6&amp;sourceID=14","3.6")</f>
        <v>3.6</v>
      </c>
      <c r="G5790" s="4" t="str">
        <f>HYPERLINK("http://141.218.60.56/~jnz1568/getInfo.php?workbook=16_08.xlsx&amp;sheet=U0&amp;row=5790&amp;col=7&amp;number=0.000156&amp;sourceID=14","0.000156")</f>
        <v>0.000156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HYPERLINK("http://141.218.60.56/~jnz1568/getInfo.php?workbook=16_08.xlsx&amp;sheet=U0&amp;row=5791&amp;col=6&amp;number=3.7&amp;sourceID=14","3.7")</f>
        <v>3.7</v>
      </c>
      <c r="G5791" s="4" t="str">
        <f>HYPERLINK("http://141.218.60.56/~jnz1568/getInfo.php?workbook=16_08.xlsx&amp;sheet=U0&amp;row=5791&amp;col=7&amp;number=0.000156&amp;sourceID=14","0.000156")</f>
        <v>0.000156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HYPERLINK("http://141.218.60.56/~jnz1568/getInfo.php?workbook=16_08.xlsx&amp;sheet=U0&amp;row=5792&amp;col=6&amp;number=3.8&amp;sourceID=14","3.8")</f>
        <v>3.8</v>
      </c>
      <c r="G5792" s="4" t="str">
        <f>HYPERLINK("http://141.218.60.56/~jnz1568/getInfo.php?workbook=16_08.xlsx&amp;sheet=U0&amp;row=5792&amp;col=7&amp;number=0.000156&amp;sourceID=14","0.000156")</f>
        <v>0.000156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HYPERLINK("http://141.218.60.56/~jnz1568/getInfo.php?workbook=16_08.xlsx&amp;sheet=U0&amp;row=5793&amp;col=6&amp;number=3.9&amp;sourceID=14","3.9")</f>
        <v>3.9</v>
      </c>
      <c r="G5793" s="4" t="str">
        <f>HYPERLINK("http://141.218.60.56/~jnz1568/getInfo.php?workbook=16_08.xlsx&amp;sheet=U0&amp;row=5793&amp;col=7&amp;number=0.000156&amp;sourceID=14","0.000156")</f>
        <v>0.000156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HYPERLINK("http://141.218.60.56/~jnz1568/getInfo.php?workbook=16_08.xlsx&amp;sheet=U0&amp;row=5794&amp;col=6&amp;number=4&amp;sourceID=14","4")</f>
        <v>4</v>
      </c>
      <c r="G5794" s="4" t="str">
        <f>HYPERLINK("http://141.218.60.56/~jnz1568/getInfo.php?workbook=16_08.xlsx&amp;sheet=U0&amp;row=5794&amp;col=7&amp;number=0.000156&amp;sourceID=14","0.000156")</f>
        <v>0.000156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HYPERLINK("http://141.218.60.56/~jnz1568/getInfo.php?workbook=16_08.xlsx&amp;sheet=U0&amp;row=5795&amp;col=6&amp;number=4.1&amp;sourceID=14","4.1")</f>
        <v>4.1</v>
      </c>
      <c r="G5795" s="4" t="str">
        <f>HYPERLINK("http://141.218.60.56/~jnz1568/getInfo.php?workbook=16_08.xlsx&amp;sheet=U0&amp;row=5795&amp;col=7&amp;number=0.000155&amp;sourceID=14","0.000155")</f>
        <v>0.000155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HYPERLINK("http://141.218.60.56/~jnz1568/getInfo.php?workbook=16_08.xlsx&amp;sheet=U0&amp;row=5796&amp;col=6&amp;number=4.2&amp;sourceID=14","4.2")</f>
        <v>4.2</v>
      </c>
      <c r="G5796" s="4" t="str">
        <f>HYPERLINK("http://141.218.60.56/~jnz1568/getInfo.php?workbook=16_08.xlsx&amp;sheet=U0&amp;row=5796&amp;col=7&amp;number=0.000155&amp;sourceID=14","0.000155")</f>
        <v>0.000155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HYPERLINK("http://141.218.60.56/~jnz1568/getInfo.php?workbook=16_08.xlsx&amp;sheet=U0&amp;row=5797&amp;col=6&amp;number=4.3&amp;sourceID=14","4.3")</f>
        <v>4.3</v>
      </c>
      <c r="G5797" s="4" t="str">
        <f>HYPERLINK("http://141.218.60.56/~jnz1568/getInfo.php?workbook=16_08.xlsx&amp;sheet=U0&amp;row=5797&amp;col=7&amp;number=0.000155&amp;sourceID=14","0.000155")</f>
        <v>0.000155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HYPERLINK("http://141.218.60.56/~jnz1568/getInfo.php?workbook=16_08.xlsx&amp;sheet=U0&amp;row=5798&amp;col=6&amp;number=4.4&amp;sourceID=14","4.4")</f>
        <v>4.4</v>
      </c>
      <c r="G5798" s="4" t="str">
        <f>HYPERLINK("http://141.218.60.56/~jnz1568/getInfo.php?workbook=16_08.xlsx&amp;sheet=U0&amp;row=5798&amp;col=7&amp;number=0.000154&amp;sourceID=14","0.000154")</f>
        <v>0.000154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HYPERLINK("http://141.218.60.56/~jnz1568/getInfo.php?workbook=16_08.xlsx&amp;sheet=U0&amp;row=5799&amp;col=6&amp;number=4.5&amp;sourceID=14","4.5")</f>
        <v>4.5</v>
      </c>
      <c r="G5799" s="4" t="str">
        <f>HYPERLINK("http://141.218.60.56/~jnz1568/getInfo.php?workbook=16_08.xlsx&amp;sheet=U0&amp;row=5799&amp;col=7&amp;number=0.000154&amp;sourceID=14","0.000154")</f>
        <v>0.000154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HYPERLINK("http://141.218.60.56/~jnz1568/getInfo.php?workbook=16_08.xlsx&amp;sheet=U0&amp;row=5800&amp;col=6&amp;number=4.6&amp;sourceID=14","4.6")</f>
        <v>4.6</v>
      </c>
      <c r="G5800" s="4" t="str">
        <f>HYPERLINK("http://141.218.60.56/~jnz1568/getInfo.php?workbook=16_08.xlsx&amp;sheet=U0&amp;row=5800&amp;col=7&amp;number=0.000153&amp;sourceID=14","0.000153")</f>
        <v>0.000153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HYPERLINK("http://141.218.60.56/~jnz1568/getInfo.php?workbook=16_08.xlsx&amp;sheet=U0&amp;row=5801&amp;col=6&amp;number=4.7&amp;sourceID=14","4.7")</f>
        <v>4.7</v>
      </c>
      <c r="G5801" s="4" t="str">
        <f>HYPERLINK("http://141.218.60.56/~jnz1568/getInfo.php?workbook=16_08.xlsx&amp;sheet=U0&amp;row=5801&amp;col=7&amp;number=0.000153&amp;sourceID=14","0.000153")</f>
        <v>0.000153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HYPERLINK("http://141.218.60.56/~jnz1568/getInfo.php?workbook=16_08.xlsx&amp;sheet=U0&amp;row=5802&amp;col=6&amp;number=4.8&amp;sourceID=14","4.8")</f>
        <v>4.8</v>
      </c>
      <c r="G5802" s="4" t="str">
        <f>HYPERLINK("http://141.218.60.56/~jnz1568/getInfo.php?workbook=16_08.xlsx&amp;sheet=U0&amp;row=5802&amp;col=7&amp;number=0.000152&amp;sourceID=14","0.000152")</f>
        <v>0.000152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HYPERLINK("http://141.218.60.56/~jnz1568/getInfo.php?workbook=16_08.xlsx&amp;sheet=U0&amp;row=5803&amp;col=6&amp;number=4.9&amp;sourceID=14","4.9")</f>
        <v>4.9</v>
      </c>
      <c r="G5803" s="4" t="str">
        <f>HYPERLINK("http://141.218.60.56/~jnz1568/getInfo.php?workbook=16_08.xlsx&amp;sheet=U0&amp;row=5803&amp;col=7&amp;number=0.000151&amp;sourceID=14","0.000151")</f>
        <v>0.000151</v>
      </c>
    </row>
    <row r="5804" spans="1:7">
      <c r="A5804" s="3">
        <v>16</v>
      </c>
      <c r="B5804" s="3">
        <v>8</v>
      </c>
      <c r="C5804" s="3">
        <v>4</v>
      </c>
      <c r="D5804" s="3">
        <v>43</v>
      </c>
      <c r="E5804" s="3">
        <v>1</v>
      </c>
      <c r="F5804" s="4" t="str">
        <f>HYPERLINK("http://141.218.60.56/~jnz1568/getInfo.php?workbook=16_08.xlsx&amp;sheet=U0&amp;row=5804&amp;col=6&amp;number=3&amp;sourceID=14","3")</f>
        <v>3</v>
      </c>
      <c r="G5804" s="4" t="str">
        <f>HYPERLINK("http://141.218.60.56/~jnz1568/getInfo.php?workbook=16_08.xlsx&amp;sheet=U0&amp;row=5804&amp;col=7&amp;number=0.00703&amp;sourceID=14","0.00703")</f>
        <v>0.00703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HYPERLINK("http://141.218.60.56/~jnz1568/getInfo.php?workbook=16_08.xlsx&amp;sheet=U0&amp;row=5805&amp;col=6&amp;number=3.1&amp;sourceID=14","3.1")</f>
        <v>3.1</v>
      </c>
      <c r="G5805" s="4" t="str">
        <f>HYPERLINK("http://141.218.60.56/~jnz1568/getInfo.php?workbook=16_08.xlsx&amp;sheet=U0&amp;row=5805&amp;col=7&amp;number=0.00702&amp;sourceID=14","0.00702")</f>
        <v>0.00702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HYPERLINK("http://141.218.60.56/~jnz1568/getInfo.php?workbook=16_08.xlsx&amp;sheet=U0&amp;row=5806&amp;col=6&amp;number=3.2&amp;sourceID=14","3.2")</f>
        <v>3.2</v>
      </c>
      <c r="G5806" s="4" t="str">
        <f>HYPERLINK("http://141.218.60.56/~jnz1568/getInfo.php?workbook=16_08.xlsx&amp;sheet=U0&amp;row=5806&amp;col=7&amp;number=0.00702&amp;sourceID=14","0.00702")</f>
        <v>0.00702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HYPERLINK("http://141.218.60.56/~jnz1568/getInfo.php?workbook=16_08.xlsx&amp;sheet=U0&amp;row=5807&amp;col=6&amp;number=3.3&amp;sourceID=14","3.3")</f>
        <v>3.3</v>
      </c>
      <c r="G5807" s="4" t="str">
        <f>HYPERLINK("http://141.218.60.56/~jnz1568/getInfo.php?workbook=16_08.xlsx&amp;sheet=U0&amp;row=5807&amp;col=7&amp;number=0.00702&amp;sourceID=14","0.00702")</f>
        <v>0.00702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HYPERLINK("http://141.218.60.56/~jnz1568/getInfo.php?workbook=16_08.xlsx&amp;sheet=U0&amp;row=5808&amp;col=6&amp;number=3.4&amp;sourceID=14","3.4")</f>
        <v>3.4</v>
      </c>
      <c r="G5808" s="4" t="str">
        <f>HYPERLINK("http://141.218.60.56/~jnz1568/getInfo.php?workbook=16_08.xlsx&amp;sheet=U0&amp;row=5808&amp;col=7&amp;number=0.00702&amp;sourceID=14","0.00702")</f>
        <v>0.00702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HYPERLINK("http://141.218.60.56/~jnz1568/getInfo.php?workbook=16_08.xlsx&amp;sheet=U0&amp;row=5809&amp;col=6&amp;number=3.5&amp;sourceID=14","3.5")</f>
        <v>3.5</v>
      </c>
      <c r="G5809" s="4" t="str">
        <f>HYPERLINK("http://141.218.60.56/~jnz1568/getInfo.php?workbook=16_08.xlsx&amp;sheet=U0&amp;row=5809&amp;col=7&amp;number=0.00702&amp;sourceID=14","0.00702")</f>
        <v>0.00702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HYPERLINK("http://141.218.60.56/~jnz1568/getInfo.php?workbook=16_08.xlsx&amp;sheet=U0&amp;row=5810&amp;col=6&amp;number=3.6&amp;sourceID=14","3.6")</f>
        <v>3.6</v>
      </c>
      <c r="G5810" s="4" t="str">
        <f>HYPERLINK("http://141.218.60.56/~jnz1568/getInfo.php?workbook=16_08.xlsx&amp;sheet=U0&amp;row=5810&amp;col=7&amp;number=0.00702&amp;sourceID=14","0.00702")</f>
        <v>0.00702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HYPERLINK("http://141.218.60.56/~jnz1568/getInfo.php?workbook=16_08.xlsx&amp;sheet=U0&amp;row=5811&amp;col=6&amp;number=3.7&amp;sourceID=14","3.7")</f>
        <v>3.7</v>
      </c>
      <c r="G5811" s="4" t="str">
        <f>HYPERLINK("http://141.218.60.56/~jnz1568/getInfo.php?workbook=16_08.xlsx&amp;sheet=U0&amp;row=5811&amp;col=7&amp;number=0.00701&amp;sourceID=14","0.00701")</f>
        <v>0.00701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HYPERLINK("http://141.218.60.56/~jnz1568/getInfo.php?workbook=16_08.xlsx&amp;sheet=U0&amp;row=5812&amp;col=6&amp;number=3.8&amp;sourceID=14","3.8")</f>
        <v>3.8</v>
      </c>
      <c r="G5812" s="4" t="str">
        <f>HYPERLINK("http://141.218.60.56/~jnz1568/getInfo.php?workbook=16_08.xlsx&amp;sheet=U0&amp;row=5812&amp;col=7&amp;number=0.00701&amp;sourceID=14","0.00701")</f>
        <v>0.00701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HYPERLINK("http://141.218.60.56/~jnz1568/getInfo.php?workbook=16_08.xlsx&amp;sheet=U0&amp;row=5813&amp;col=6&amp;number=3.9&amp;sourceID=14","3.9")</f>
        <v>3.9</v>
      </c>
      <c r="G5813" s="4" t="str">
        <f>HYPERLINK("http://141.218.60.56/~jnz1568/getInfo.php?workbook=16_08.xlsx&amp;sheet=U0&amp;row=5813&amp;col=7&amp;number=0.00701&amp;sourceID=14","0.00701")</f>
        <v>0.00701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HYPERLINK("http://141.218.60.56/~jnz1568/getInfo.php?workbook=16_08.xlsx&amp;sheet=U0&amp;row=5814&amp;col=6&amp;number=4&amp;sourceID=14","4")</f>
        <v>4</v>
      </c>
      <c r="G5814" s="4" t="str">
        <f>HYPERLINK("http://141.218.60.56/~jnz1568/getInfo.php?workbook=16_08.xlsx&amp;sheet=U0&amp;row=5814&amp;col=7&amp;number=0.007&amp;sourceID=14","0.007")</f>
        <v>0.007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HYPERLINK("http://141.218.60.56/~jnz1568/getInfo.php?workbook=16_08.xlsx&amp;sheet=U0&amp;row=5815&amp;col=6&amp;number=4.1&amp;sourceID=14","4.1")</f>
        <v>4.1</v>
      </c>
      <c r="G5815" s="4" t="str">
        <f>HYPERLINK("http://141.218.60.56/~jnz1568/getInfo.php?workbook=16_08.xlsx&amp;sheet=U0&amp;row=5815&amp;col=7&amp;number=0.00699&amp;sourceID=14","0.00699")</f>
        <v>0.00699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HYPERLINK("http://141.218.60.56/~jnz1568/getInfo.php?workbook=16_08.xlsx&amp;sheet=U0&amp;row=5816&amp;col=6&amp;number=4.2&amp;sourceID=14","4.2")</f>
        <v>4.2</v>
      </c>
      <c r="G5816" s="4" t="str">
        <f>HYPERLINK("http://141.218.60.56/~jnz1568/getInfo.php?workbook=16_08.xlsx&amp;sheet=U0&amp;row=5816&amp;col=7&amp;number=0.00699&amp;sourceID=14","0.00699")</f>
        <v>0.00699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HYPERLINK("http://141.218.60.56/~jnz1568/getInfo.php?workbook=16_08.xlsx&amp;sheet=U0&amp;row=5817&amp;col=6&amp;number=4.3&amp;sourceID=14","4.3")</f>
        <v>4.3</v>
      </c>
      <c r="G5817" s="4" t="str">
        <f>HYPERLINK("http://141.218.60.56/~jnz1568/getInfo.php?workbook=16_08.xlsx&amp;sheet=U0&amp;row=5817&amp;col=7&amp;number=0.00698&amp;sourceID=14","0.00698")</f>
        <v>0.00698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HYPERLINK("http://141.218.60.56/~jnz1568/getInfo.php?workbook=16_08.xlsx&amp;sheet=U0&amp;row=5818&amp;col=6&amp;number=4.4&amp;sourceID=14","4.4")</f>
        <v>4.4</v>
      </c>
      <c r="G5818" s="4" t="str">
        <f>HYPERLINK("http://141.218.60.56/~jnz1568/getInfo.php?workbook=16_08.xlsx&amp;sheet=U0&amp;row=5818&amp;col=7&amp;number=0.00696&amp;sourceID=14","0.00696")</f>
        <v>0.00696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HYPERLINK("http://141.218.60.56/~jnz1568/getInfo.php?workbook=16_08.xlsx&amp;sheet=U0&amp;row=5819&amp;col=6&amp;number=4.5&amp;sourceID=14","4.5")</f>
        <v>4.5</v>
      </c>
      <c r="G5819" s="4" t="str">
        <f>HYPERLINK("http://141.218.60.56/~jnz1568/getInfo.php?workbook=16_08.xlsx&amp;sheet=U0&amp;row=5819&amp;col=7&amp;number=0.00695&amp;sourceID=14","0.00695")</f>
        <v>0.00695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HYPERLINK("http://141.218.60.56/~jnz1568/getInfo.php?workbook=16_08.xlsx&amp;sheet=U0&amp;row=5820&amp;col=6&amp;number=4.6&amp;sourceID=14","4.6")</f>
        <v>4.6</v>
      </c>
      <c r="G5820" s="4" t="str">
        <f>HYPERLINK("http://141.218.60.56/~jnz1568/getInfo.php?workbook=16_08.xlsx&amp;sheet=U0&amp;row=5820&amp;col=7&amp;number=0.00692&amp;sourceID=14","0.00692")</f>
        <v>0.00692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HYPERLINK("http://141.218.60.56/~jnz1568/getInfo.php?workbook=16_08.xlsx&amp;sheet=U0&amp;row=5821&amp;col=6&amp;number=4.7&amp;sourceID=14","4.7")</f>
        <v>4.7</v>
      </c>
      <c r="G5821" s="4" t="str">
        <f>HYPERLINK("http://141.218.60.56/~jnz1568/getInfo.php?workbook=16_08.xlsx&amp;sheet=U0&amp;row=5821&amp;col=7&amp;number=0.0069&amp;sourceID=14","0.0069")</f>
        <v>0.0069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HYPERLINK("http://141.218.60.56/~jnz1568/getInfo.php?workbook=16_08.xlsx&amp;sheet=U0&amp;row=5822&amp;col=6&amp;number=4.8&amp;sourceID=14","4.8")</f>
        <v>4.8</v>
      </c>
      <c r="G5822" s="4" t="str">
        <f>HYPERLINK("http://141.218.60.56/~jnz1568/getInfo.php?workbook=16_08.xlsx&amp;sheet=U0&amp;row=5822&amp;col=7&amp;number=0.00687&amp;sourceID=14","0.00687")</f>
        <v>0.00687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HYPERLINK("http://141.218.60.56/~jnz1568/getInfo.php?workbook=16_08.xlsx&amp;sheet=U0&amp;row=5823&amp;col=6&amp;number=4.9&amp;sourceID=14","4.9")</f>
        <v>4.9</v>
      </c>
      <c r="G5823" s="4" t="str">
        <f>HYPERLINK("http://141.218.60.56/~jnz1568/getInfo.php?workbook=16_08.xlsx&amp;sheet=U0&amp;row=5823&amp;col=7&amp;number=0.00682&amp;sourceID=14","0.00682")</f>
        <v>0.00682</v>
      </c>
    </row>
    <row r="5824" spans="1:7">
      <c r="A5824" s="3">
        <v>16</v>
      </c>
      <c r="B5824" s="3">
        <v>8</v>
      </c>
      <c r="C5824" s="3">
        <v>4</v>
      </c>
      <c r="D5824" s="3">
        <v>44</v>
      </c>
      <c r="E5824" s="3">
        <v>1</v>
      </c>
      <c r="F5824" s="4" t="str">
        <f>HYPERLINK("http://141.218.60.56/~jnz1568/getInfo.php?workbook=16_08.xlsx&amp;sheet=U0&amp;row=5824&amp;col=6&amp;number=3&amp;sourceID=14","3")</f>
        <v>3</v>
      </c>
      <c r="G5824" s="4" t="str">
        <f>HYPERLINK("http://141.218.60.56/~jnz1568/getInfo.php?workbook=16_08.xlsx&amp;sheet=U0&amp;row=5824&amp;col=7&amp;number=0.0764&amp;sourceID=14","0.0764")</f>
        <v>0.0764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HYPERLINK("http://141.218.60.56/~jnz1568/getInfo.php?workbook=16_08.xlsx&amp;sheet=U0&amp;row=5825&amp;col=6&amp;number=3.1&amp;sourceID=14","3.1")</f>
        <v>3.1</v>
      </c>
      <c r="G5825" s="4" t="str">
        <f>HYPERLINK("http://141.218.60.56/~jnz1568/getInfo.php?workbook=16_08.xlsx&amp;sheet=U0&amp;row=5825&amp;col=7&amp;number=0.0764&amp;sourceID=14","0.0764")</f>
        <v>0.0764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HYPERLINK("http://141.218.60.56/~jnz1568/getInfo.php?workbook=16_08.xlsx&amp;sheet=U0&amp;row=5826&amp;col=6&amp;number=3.2&amp;sourceID=14","3.2")</f>
        <v>3.2</v>
      </c>
      <c r="G5826" s="4" t="str">
        <f>HYPERLINK("http://141.218.60.56/~jnz1568/getInfo.php?workbook=16_08.xlsx&amp;sheet=U0&amp;row=5826&amp;col=7&amp;number=0.0764&amp;sourceID=14","0.0764")</f>
        <v>0.0764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HYPERLINK("http://141.218.60.56/~jnz1568/getInfo.php?workbook=16_08.xlsx&amp;sheet=U0&amp;row=5827&amp;col=6&amp;number=3.3&amp;sourceID=14","3.3")</f>
        <v>3.3</v>
      </c>
      <c r="G5827" s="4" t="str">
        <f>HYPERLINK("http://141.218.60.56/~jnz1568/getInfo.php?workbook=16_08.xlsx&amp;sheet=U0&amp;row=5827&amp;col=7&amp;number=0.0764&amp;sourceID=14","0.0764")</f>
        <v>0.0764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HYPERLINK("http://141.218.60.56/~jnz1568/getInfo.php?workbook=16_08.xlsx&amp;sheet=U0&amp;row=5828&amp;col=6&amp;number=3.4&amp;sourceID=14","3.4")</f>
        <v>3.4</v>
      </c>
      <c r="G5828" s="4" t="str">
        <f>HYPERLINK("http://141.218.60.56/~jnz1568/getInfo.php?workbook=16_08.xlsx&amp;sheet=U0&amp;row=5828&amp;col=7&amp;number=0.0764&amp;sourceID=14","0.0764")</f>
        <v>0.0764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HYPERLINK("http://141.218.60.56/~jnz1568/getInfo.php?workbook=16_08.xlsx&amp;sheet=U0&amp;row=5829&amp;col=6&amp;number=3.5&amp;sourceID=14","3.5")</f>
        <v>3.5</v>
      </c>
      <c r="G5829" s="4" t="str">
        <f>HYPERLINK("http://141.218.60.56/~jnz1568/getInfo.php?workbook=16_08.xlsx&amp;sheet=U0&amp;row=5829&amp;col=7&amp;number=0.0764&amp;sourceID=14","0.0764")</f>
        <v>0.0764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HYPERLINK("http://141.218.60.56/~jnz1568/getInfo.php?workbook=16_08.xlsx&amp;sheet=U0&amp;row=5830&amp;col=6&amp;number=3.6&amp;sourceID=14","3.6")</f>
        <v>3.6</v>
      </c>
      <c r="G5830" s="4" t="str">
        <f>HYPERLINK("http://141.218.60.56/~jnz1568/getInfo.php?workbook=16_08.xlsx&amp;sheet=U0&amp;row=5830&amp;col=7&amp;number=0.0764&amp;sourceID=14","0.0764")</f>
        <v>0.0764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HYPERLINK("http://141.218.60.56/~jnz1568/getInfo.php?workbook=16_08.xlsx&amp;sheet=U0&amp;row=5831&amp;col=6&amp;number=3.7&amp;sourceID=14","3.7")</f>
        <v>3.7</v>
      </c>
      <c r="G5831" s="4" t="str">
        <f>HYPERLINK("http://141.218.60.56/~jnz1568/getInfo.php?workbook=16_08.xlsx&amp;sheet=U0&amp;row=5831&amp;col=7&amp;number=0.0764&amp;sourceID=14","0.0764")</f>
        <v>0.0764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HYPERLINK("http://141.218.60.56/~jnz1568/getInfo.php?workbook=16_08.xlsx&amp;sheet=U0&amp;row=5832&amp;col=6&amp;number=3.8&amp;sourceID=14","3.8")</f>
        <v>3.8</v>
      </c>
      <c r="G5832" s="4" t="str">
        <f>HYPERLINK("http://141.218.60.56/~jnz1568/getInfo.php?workbook=16_08.xlsx&amp;sheet=U0&amp;row=5832&amp;col=7&amp;number=0.0764&amp;sourceID=14","0.0764")</f>
        <v>0.0764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HYPERLINK("http://141.218.60.56/~jnz1568/getInfo.php?workbook=16_08.xlsx&amp;sheet=U0&amp;row=5833&amp;col=6&amp;number=3.9&amp;sourceID=14","3.9")</f>
        <v>3.9</v>
      </c>
      <c r="G5833" s="4" t="str">
        <f>HYPERLINK("http://141.218.60.56/~jnz1568/getInfo.php?workbook=16_08.xlsx&amp;sheet=U0&amp;row=5833&amp;col=7&amp;number=0.0764&amp;sourceID=14","0.0764")</f>
        <v>0.0764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HYPERLINK("http://141.218.60.56/~jnz1568/getInfo.php?workbook=16_08.xlsx&amp;sheet=U0&amp;row=5834&amp;col=6&amp;number=4&amp;sourceID=14","4")</f>
        <v>4</v>
      </c>
      <c r="G5834" s="4" t="str">
        <f>HYPERLINK("http://141.218.60.56/~jnz1568/getInfo.php?workbook=16_08.xlsx&amp;sheet=U0&amp;row=5834&amp;col=7&amp;number=0.0764&amp;sourceID=14","0.0764")</f>
        <v>0.0764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HYPERLINK("http://141.218.60.56/~jnz1568/getInfo.php?workbook=16_08.xlsx&amp;sheet=U0&amp;row=5835&amp;col=6&amp;number=4.1&amp;sourceID=14","4.1")</f>
        <v>4.1</v>
      </c>
      <c r="G5835" s="4" t="str">
        <f>HYPERLINK("http://141.218.60.56/~jnz1568/getInfo.php?workbook=16_08.xlsx&amp;sheet=U0&amp;row=5835&amp;col=7&amp;number=0.0764&amp;sourceID=14","0.0764")</f>
        <v>0.0764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HYPERLINK("http://141.218.60.56/~jnz1568/getInfo.php?workbook=16_08.xlsx&amp;sheet=U0&amp;row=5836&amp;col=6&amp;number=4.2&amp;sourceID=14","4.2")</f>
        <v>4.2</v>
      </c>
      <c r="G5836" s="4" t="str">
        <f>HYPERLINK("http://141.218.60.56/~jnz1568/getInfo.php?workbook=16_08.xlsx&amp;sheet=U0&amp;row=5836&amp;col=7&amp;number=0.0765&amp;sourceID=14","0.0765")</f>
        <v>0.0765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HYPERLINK("http://141.218.60.56/~jnz1568/getInfo.php?workbook=16_08.xlsx&amp;sheet=U0&amp;row=5837&amp;col=6&amp;number=4.3&amp;sourceID=14","4.3")</f>
        <v>4.3</v>
      </c>
      <c r="G5837" s="4" t="str">
        <f>HYPERLINK("http://141.218.60.56/~jnz1568/getInfo.php?workbook=16_08.xlsx&amp;sheet=U0&amp;row=5837&amp;col=7&amp;number=0.0765&amp;sourceID=14","0.0765")</f>
        <v>0.0765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HYPERLINK("http://141.218.60.56/~jnz1568/getInfo.php?workbook=16_08.xlsx&amp;sheet=U0&amp;row=5838&amp;col=6&amp;number=4.4&amp;sourceID=14","4.4")</f>
        <v>4.4</v>
      </c>
      <c r="G5838" s="4" t="str">
        <f>HYPERLINK("http://141.218.60.56/~jnz1568/getInfo.php?workbook=16_08.xlsx&amp;sheet=U0&amp;row=5838&amp;col=7&amp;number=0.0765&amp;sourceID=14","0.0765")</f>
        <v>0.0765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HYPERLINK("http://141.218.60.56/~jnz1568/getInfo.php?workbook=16_08.xlsx&amp;sheet=U0&amp;row=5839&amp;col=6&amp;number=4.5&amp;sourceID=14","4.5")</f>
        <v>4.5</v>
      </c>
      <c r="G5839" s="4" t="str">
        <f>HYPERLINK("http://141.218.60.56/~jnz1568/getInfo.php?workbook=16_08.xlsx&amp;sheet=U0&amp;row=5839&amp;col=7&amp;number=0.0765&amp;sourceID=14","0.0765")</f>
        <v>0.0765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HYPERLINK("http://141.218.60.56/~jnz1568/getInfo.php?workbook=16_08.xlsx&amp;sheet=U0&amp;row=5840&amp;col=6&amp;number=4.6&amp;sourceID=14","4.6")</f>
        <v>4.6</v>
      </c>
      <c r="G5840" s="4" t="str">
        <f>HYPERLINK("http://141.218.60.56/~jnz1568/getInfo.php?workbook=16_08.xlsx&amp;sheet=U0&amp;row=5840&amp;col=7&amp;number=0.0766&amp;sourceID=14","0.0766")</f>
        <v>0.0766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HYPERLINK("http://141.218.60.56/~jnz1568/getInfo.php?workbook=16_08.xlsx&amp;sheet=U0&amp;row=5841&amp;col=6&amp;number=4.7&amp;sourceID=14","4.7")</f>
        <v>4.7</v>
      </c>
      <c r="G5841" s="4" t="str">
        <f>HYPERLINK("http://141.218.60.56/~jnz1568/getInfo.php?workbook=16_08.xlsx&amp;sheet=U0&amp;row=5841&amp;col=7&amp;number=0.0766&amp;sourceID=14","0.0766")</f>
        <v>0.0766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HYPERLINK("http://141.218.60.56/~jnz1568/getInfo.php?workbook=16_08.xlsx&amp;sheet=U0&amp;row=5842&amp;col=6&amp;number=4.8&amp;sourceID=14","4.8")</f>
        <v>4.8</v>
      </c>
      <c r="G5842" s="4" t="str">
        <f>HYPERLINK("http://141.218.60.56/~jnz1568/getInfo.php?workbook=16_08.xlsx&amp;sheet=U0&amp;row=5842&amp;col=7&amp;number=0.0767&amp;sourceID=14","0.0767")</f>
        <v>0.0767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HYPERLINK("http://141.218.60.56/~jnz1568/getInfo.php?workbook=16_08.xlsx&amp;sheet=U0&amp;row=5843&amp;col=6&amp;number=4.9&amp;sourceID=14","4.9")</f>
        <v>4.9</v>
      </c>
      <c r="G5843" s="4" t="str">
        <f>HYPERLINK("http://141.218.60.56/~jnz1568/getInfo.php?workbook=16_08.xlsx&amp;sheet=U0&amp;row=5843&amp;col=7&amp;number=0.0767&amp;sourceID=14","0.0767")</f>
        <v>0.0767</v>
      </c>
    </row>
    <row r="5844" spans="1:7">
      <c r="A5844" s="3">
        <v>16</v>
      </c>
      <c r="B5844" s="3">
        <v>8</v>
      </c>
      <c r="C5844" s="3">
        <v>4</v>
      </c>
      <c r="D5844" s="3">
        <v>45</v>
      </c>
      <c r="E5844" s="3">
        <v>1</v>
      </c>
      <c r="F5844" s="4" t="str">
        <f>HYPERLINK("http://141.218.60.56/~jnz1568/getInfo.php?workbook=16_08.xlsx&amp;sheet=U0&amp;row=5844&amp;col=6&amp;number=3&amp;sourceID=14","3")</f>
        <v>3</v>
      </c>
      <c r="G5844" s="4" t="str">
        <f>HYPERLINK("http://141.218.60.56/~jnz1568/getInfo.php?workbook=16_08.xlsx&amp;sheet=U0&amp;row=5844&amp;col=7&amp;number=0.00625&amp;sourceID=14","0.00625")</f>
        <v>0.00625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HYPERLINK("http://141.218.60.56/~jnz1568/getInfo.php?workbook=16_08.xlsx&amp;sheet=U0&amp;row=5845&amp;col=6&amp;number=3.1&amp;sourceID=14","3.1")</f>
        <v>3.1</v>
      </c>
      <c r="G5845" s="4" t="str">
        <f>HYPERLINK("http://141.218.60.56/~jnz1568/getInfo.php?workbook=16_08.xlsx&amp;sheet=U0&amp;row=5845&amp;col=7&amp;number=0.00625&amp;sourceID=14","0.00625")</f>
        <v>0.00625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HYPERLINK("http://141.218.60.56/~jnz1568/getInfo.php?workbook=16_08.xlsx&amp;sheet=U0&amp;row=5846&amp;col=6&amp;number=3.2&amp;sourceID=14","3.2")</f>
        <v>3.2</v>
      </c>
      <c r="G5846" s="4" t="str">
        <f>HYPERLINK("http://141.218.60.56/~jnz1568/getInfo.php?workbook=16_08.xlsx&amp;sheet=U0&amp;row=5846&amp;col=7&amp;number=0.00625&amp;sourceID=14","0.00625")</f>
        <v>0.00625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HYPERLINK("http://141.218.60.56/~jnz1568/getInfo.php?workbook=16_08.xlsx&amp;sheet=U0&amp;row=5847&amp;col=6&amp;number=3.3&amp;sourceID=14","3.3")</f>
        <v>3.3</v>
      </c>
      <c r="G5847" s="4" t="str">
        <f>HYPERLINK("http://141.218.60.56/~jnz1568/getInfo.php?workbook=16_08.xlsx&amp;sheet=U0&amp;row=5847&amp;col=7&amp;number=0.00625&amp;sourceID=14","0.00625")</f>
        <v>0.00625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HYPERLINK("http://141.218.60.56/~jnz1568/getInfo.php?workbook=16_08.xlsx&amp;sheet=U0&amp;row=5848&amp;col=6&amp;number=3.4&amp;sourceID=14","3.4")</f>
        <v>3.4</v>
      </c>
      <c r="G5848" s="4" t="str">
        <f>HYPERLINK("http://141.218.60.56/~jnz1568/getInfo.php?workbook=16_08.xlsx&amp;sheet=U0&amp;row=5848&amp;col=7&amp;number=0.00625&amp;sourceID=14","0.00625")</f>
        <v>0.00625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HYPERLINK("http://141.218.60.56/~jnz1568/getInfo.php?workbook=16_08.xlsx&amp;sheet=U0&amp;row=5849&amp;col=6&amp;number=3.5&amp;sourceID=14","3.5")</f>
        <v>3.5</v>
      </c>
      <c r="G5849" s="4" t="str">
        <f>HYPERLINK("http://141.218.60.56/~jnz1568/getInfo.php?workbook=16_08.xlsx&amp;sheet=U0&amp;row=5849&amp;col=7&amp;number=0.00625&amp;sourceID=14","0.00625")</f>
        <v>0.00625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HYPERLINK("http://141.218.60.56/~jnz1568/getInfo.php?workbook=16_08.xlsx&amp;sheet=U0&amp;row=5850&amp;col=6&amp;number=3.6&amp;sourceID=14","3.6")</f>
        <v>3.6</v>
      </c>
      <c r="G5850" s="4" t="str">
        <f>HYPERLINK("http://141.218.60.56/~jnz1568/getInfo.php?workbook=16_08.xlsx&amp;sheet=U0&amp;row=5850&amp;col=7&amp;number=0.00625&amp;sourceID=14","0.00625")</f>
        <v>0.00625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HYPERLINK("http://141.218.60.56/~jnz1568/getInfo.php?workbook=16_08.xlsx&amp;sheet=U0&amp;row=5851&amp;col=6&amp;number=3.7&amp;sourceID=14","3.7")</f>
        <v>3.7</v>
      </c>
      <c r="G5851" s="4" t="str">
        <f>HYPERLINK("http://141.218.60.56/~jnz1568/getInfo.php?workbook=16_08.xlsx&amp;sheet=U0&amp;row=5851&amp;col=7&amp;number=0.00625&amp;sourceID=14","0.00625")</f>
        <v>0.00625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HYPERLINK("http://141.218.60.56/~jnz1568/getInfo.php?workbook=16_08.xlsx&amp;sheet=U0&amp;row=5852&amp;col=6&amp;number=3.8&amp;sourceID=14","3.8")</f>
        <v>3.8</v>
      </c>
      <c r="G5852" s="4" t="str">
        <f>HYPERLINK("http://141.218.60.56/~jnz1568/getInfo.php?workbook=16_08.xlsx&amp;sheet=U0&amp;row=5852&amp;col=7&amp;number=0.00625&amp;sourceID=14","0.00625")</f>
        <v>0.00625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HYPERLINK("http://141.218.60.56/~jnz1568/getInfo.php?workbook=16_08.xlsx&amp;sheet=U0&amp;row=5853&amp;col=6&amp;number=3.9&amp;sourceID=14","3.9")</f>
        <v>3.9</v>
      </c>
      <c r="G5853" s="4" t="str">
        <f>HYPERLINK("http://141.218.60.56/~jnz1568/getInfo.php?workbook=16_08.xlsx&amp;sheet=U0&amp;row=5853&amp;col=7&amp;number=0.00624&amp;sourceID=14","0.00624")</f>
        <v>0.00624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HYPERLINK("http://141.218.60.56/~jnz1568/getInfo.php?workbook=16_08.xlsx&amp;sheet=U0&amp;row=5854&amp;col=6&amp;number=4&amp;sourceID=14","4")</f>
        <v>4</v>
      </c>
      <c r="G5854" s="4" t="str">
        <f>HYPERLINK("http://141.218.60.56/~jnz1568/getInfo.php?workbook=16_08.xlsx&amp;sheet=U0&amp;row=5854&amp;col=7&amp;number=0.00624&amp;sourceID=14","0.00624")</f>
        <v>0.00624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HYPERLINK("http://141.218.60.56/~jnz1568/getInfo.php?workbook=16_08.xlsx&amp;sheet=U0&amp;row=5855&amp;col=6&amp;number=4.1&amp;sourceID=14","4.1")</f>
        <v>4.1</v>
      </c>
      <c r="G5855" s="4" t="str">
        <f>HYPERLINK("http://141.218.60.56/~jnz1568/getInfo.php?workbook=16_08.xlsx&amp;sheet=U0&amp;row=5855&amp;col=7&amp;number=0.00624&amp;sourceID=14","0.00624")</f>
        <v>0.00624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HYPERLINK("http://141.218.60.56/~jnz1568/getInfo.php?workbook=16_08.xlsx&amp;sheet=U0&amp;row=5856&amp;col=6&amp;number=4.2&amp;sourceID=14","4.2")</f>
        <v>4.2</v>
      </c>
      <c r="G5856" s="4" t="str">
        <f>HYPERLINK("http://141.218.60.56/~jnz1568/getInfo.php?workbook=16_08.xlsx&amp;sheet=U0&amp;row=5856&amp;col=7&amp;number=0.00624&amp;sourceID=14","0.00624")</f>
        <v>0.00624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HYPERLINK("http://141.218.60.56/~jnz1568/getInfo.php?workbook=16_08.xlsx&amp;sheet=U0&amp;row=5857&amp;col=6&amp;number=4.3&amp;sourceID=14","4.3")</f>
        <v>4.3</v>
      </c>
      <c r="G5857" s="4" t="str">
        <f>HYPERLINK("http://141.218.60.56/~jnz1568/getInfo.php?workbook=16_08.xlsx&amp;sheet=U0&amp;row=5857&amp;col=7&amp;number=0.00623&amp;sourceID=14","0.00623")</f>
        <v>0.00623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HYPERLINK("http://141.218.60.56/~jnz1568/getInfo.php?workbook=16_08.xlsx&amp;sheet=U0&amp;row=5858&amp;col=6&amp;number=4.4&amp;sourceID=14","4.4")</f>
        <v>4.4</v>
      </c>
      <c r="G5858" s="4" t="str">
        <f>HYPERLINK("http://141.218.60.56/~jnz1568/getInfo.php?workbook=16_08.xlsx&amp;sheet=U0&amp;row=5858&amp;col=7&amp;number=0.00622&amp;sourceID=14","0.00622")</f>
        <v>0.00622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HYPERLINK("http://141.218.60.56/~jnz1568/getInfo.php?workbook=16_08.xlsx&amp;sheet=U0&amp;row=5859&amp;col=6&amp;number=4.5&amp;sourceID=14","4.5")</f>
        <v>4.5</v>
      </c>
      <c r="G5859" s="4" t="str">
        <f>HYPERLINK("http://141.218.60.56/~jnz1568/getInfo.php?workbook=16_08.xlsx&amp;sheet=U0&amp;row=5859&amp;col=7&amp;number=0.00622&amp;sourceID=14","0.00622")</f>
        <v>0.00622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HYPERLINK("http://141.218.60.56/~jnz1568/getInfo.php?workbook=16_08.xlsx&amp;sheet=U0&amp;row=5860&amp;col=6&amp;number=4.6&amp;sourceID=14","4.6")</f>
        <v>4.6</v>
      </c>
      <c r="G5860" s="4" t="str">
        <f>HYPERLINK("http://141.218.60.56/~jnz1568/getInfo.php?workbook=16_08.xlsx&amp;sheet=U0&amp;row=5860&amp;col=7&amp;number=0.00621&amp;sourceID=14","0.00621")</f>
        <v>0.00621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HYPERLINK("http://141.218.60.56/~jnz1568/getInfo.php?workbook=16_08.xlsx&amp;sheet=U0&amp;row=5861&amp;col=6&amp;number=4.7&amp;sourceID=14","4.7")</f>
        <v>4.7</v>
      </c>
      <c r="G5861" s="4" t="str">
        <f>HYPERLINK("http://141.218.60.56/~jnz1568/getInfo.php?workbook=16_08.xlsx&amp;sheet=U0&amp;row=5861&amp;col=7&amp;number=0.00619&amp;sourceID=14","0.00619")</f>
        <v>0.00619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HYPERLINK("http://141.218.60.56/~jnz1568/getInfo.php?workbook=16_08.xlsx&amp;sheet=U0&amp;row=5862&amp;col=6&amp;number=4.8&amp;sourceID=14","4.8")</f>
        <v>4.8</v>
      </c>
      <c r="G5862" s="4" t="str">
        <f>HYPERLINK("http://141.218.60.56/~jnz1568/getInfo.php?workbook=16_08.xlsx&amp;sheet=U0&amp;row=5862&amp;col=7&amp;number=0.00618&amp;sourceID=14","0.00618")</f>
        <v>0.00618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HYPERLINK("http://141.218.60.56/~jnz1568/getInfo.php?workbook=16_08.xlsx&amp;sheet=U0&amp;row=5863&amp;col=6&amp;number=4.9&amp;sourceID=14","4.9")</f>
        <v>4.9</v>
      </c>
      <c r="G5863" s="4" t="str">
        <f>HYPERLINK("http://141.218.60.56/~jnz1568/getInfo.php?workbook=16_08.xlsx&amp;sheet=U0&amp;row=5863&amp;col=7&amp;number=0.00616&amp;sourceID=14","0.00616")</f>
        <v>0.00616</v>
      </c>
    </row>
    <row r="5864" spans="1:7">
      <c r="A5864" s="3">
        <v>16</v>
      </c>
      <c r="B5864" s="3">
        <v>8</v>
      </c>
      <c r="C5864" s="3">
        <v>4</v>
      </c>
      <c r="D5864" s="3">
        <v>46</v>
      </c>
      <c r="E5864" s="3">
        <v>1</v>
      </c>
      <c r="F5864" s="4" t="str">
        <f>HYPERLINK("http://141.218.60.56/~jnz1568/getInfo.php?workbook=16_08.xlsx&amp;sheet=U0&amp;row=5864&amp;col=6&amp;number=3&amp;sourceID=14","3")</f>
        <v>3</v>
      </c>
      <c r="G5864" s="4" t="str">
        <f>HYPERLINK("http://141.218.60.56/~jnz1568/getInfo.php?workbook=16_08.xlsx&amp;sheet=U0&amp;row=5864&amp;col=7&amp;number=0.0137&amp;sourceID=14","0.0137")</f>
        <v>0.0137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HYPERLINK("http://141.218.60.56/~jnz1568/getInfo.php?workbook=16_08.xlsx&amp;sheet=U0&amp;row=5865&amp;col=6&amp;number=3.1&amp;sourceID=14","3.1")</f>
        <v>3.1</v>
      </c>
      <c r="G5865" s="4" t="str">
        <f>HYPERLINK("http://141.218.60.56/~jnz1568/getInfo.php?workbook=16_08.xlsx&amp;sheet=U0&amp;row=5865&amp;col=7&amp;number=0.0137&amp;sourceID=14","0.0137")</f>
        <v>0.0137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HYPERLINK("http://141.218.60.56/~jnz1568/getInfo.php?workbook=16_08.xlsx&amp;sheet=U0&amp;row=5866&amp;col=6&amp;number=3.2&amp;sourceID=14","3.2")</f>
        <v>3.2</v>
      </c>
      <c r="G5866" s="4" t="str">
        <f>HYPERLINK("http://141.218.60.56/~jnz1568/getInfo.php?workbook=16_08.xlsx&amp;sheet=U0&amp;row=5866&amp;col=7&amp;number=0.0137&amp;sourceID=14","0.0137")</f>
        <v>0.0137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HYPERLINK("http://141.218.60.56/~jnz1568/getInfo.php?workbook=16_08.xlsx&amp;sheet=U0&amp;row=5867&amp;col=6&amp;number=3.3&amp;sourceID=14","3.3")</f>
        <v>3.3</v>
      </c>
      <c r="G5867" s="4" t="str">
        <f>HYPERLINK("http://141.218.60.56/~jnz1568/getInfo.php?workbook=16_08.xlsx&amp;sheet=U0&amp;row=5867&amp;col=7&amp;number=0.0137&amp;sourceID=14","0.0137")</f>
        <v>0.0137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HYPERLINK("http://141.218.60.56/~jnz1568/getInfo.php?workbook=16_08.xlsx&amp;sheet=U0&amp;row=5868&amp;col=6&amp;number=3.4&amp;sourceID=14","3.4")</f>
        <v>3.4</v>
      </c>
      <c r="G5868" s="4" t="str">
        <f>HYPERLINK("http://141.218.60.56/~jnz1568/getInfo.php?workbook=16_08.xlsx&amp;sheet=U0&amp;row=5868&amp;col=7&amp;number=0.0137&amp;sourceID=14","0.0137")</f>
        <v>0.0137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HYPERLINK("http://141.218.60.56/~jnz1568/getInfo.php?workbook=16_08.xlsx&amp;sheet=U0&amp;row=5869&amp;col=6&amp;number=3.5&amp;sourceID=14","3.5")</f>
        <v>3.5</v>
      </c>
      <c r="G5869" s="4" t="str">
        <f>HYPERLINK("http://141.218.60.56/~jnz1568/getInfo.php?workbook=16_08.xlsx&amp;sheet=U0&amp;row=5869&amp;col=7&amp;number=0.0137&amp;sourceID=14","0.0137")</f>
        <v>0.0137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HYPERLINK("http://141.218.60.56/~jnz1568/getInfo.php?workbook=16_08.xlsx&amp;sheet=U0&amp;row=5870&amp;col=6&amp;number=3.6&amp;sourceID=14","3.6")</f>
        <v>3.6</v>
      </c>
      <c r="G5870" s="4" t="str">
        <f>HYPERLINK("http://141.218.60.56/~jnz1568/getInfo.php?workbook=16_08.xlsx&amp;sheet=U0&amp;row=5870&amp;col=7&amp;number=0.0137&amp;sourceID=14","0.0137")</f>
        <v>0.0137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HYPERLINK("http://141.218.60.56/~jnz1568/getInfo.php?workbook=16_08.xlsx&amp;sheet=U0&amp;row=5871&amp;col=6&amp;number=3.7&amp;sourceID=14","3.7")</f>
        <v>3.7</v>
      </c>
      <c r="G5871" s="4" t="str">
        <f>HYPERLINK("http://141.218.60.56/~jnz1568/getInfo.php?workbook=16_08.xlsx&amp;sheet=U0&amp;row=5871&amp;col=7&amp;number=0.0137&amp;sourceID=14","0.0137")</f>
        <v>0.0137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HYPERLINK("http://141.218.60.56/~jnz1568/getInfo.php?workbook=16_08.xlsx&amp;sheet=U0&amp;row=5872&amp;col=6&amp;number=3.8&amp;sourceID=14","3.8")</f>
        <v>3.8</v>
      </c>
      <c r="G5872" s="4" t="str">
        <f>HYPERLINK("http://141.218.60.56/~jnz1568/getInfo.php?workbook=16_08.xlsx&amp;sheet=U0&amp;row=5872&amp;col=7&amp;number=0.0137&amp;sourceID=14","0.0137")</f>
        <v>0.0137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HYPERLINK("http://141.218.60.56/~jnz1568/getInfo.php?workbook=16_08.xlsx&amp;sheet=U0&amp;row=5873&amp;col=6&amp;number=3.9&amp;sourceID=14","3.9")</f>
        <v>3.9</v>
      </c>
      <c r="G5873" s="4" t="str">
        <f>HYPERLINK("http://141.218.60.56/~jnz1568/getInfo.php?workbook=16_08.xlsx&amp;sheet=U0&amp;row=5873&amp;col=7&amp;number=0.0137&amp;sourceID=14","0.0137")</f>
        <v>0.0137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HYPERLINK("http://141.218.60.56/~jnz1568/getInfo.php?workbook=16_08.xlsx&amp;sheet=U0&amp;row=5874&amp;col=6&amp;number=4&amp;sourceID=14","4")</f>
        <v>4</v>
      </c>
      <c r="G5874" s="4" t="str">
        <f>HYPERLINK("http://141.218.60.56/~jnz1568/getInfo.php?workbook=16_08.xlsx&amp;sheet=U0&amp;row=5874&amp;col=7&amp;number=0.0137&amp;sourceID=14","0.0137")</f>
        <v>0.0137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HYPERLINK("http://141.218.60.56/~jnz1568/getInfo.php?workbook=16_08.xlsx&amp;sheet=U0&amp;row=5875&amp;col=6&amp;number=4.1&amp;sourceID=14","4.1")</f>
        <v>4.1</v>
      </c>
      <c r="G5875" s="4" t="str">
        <f>HYPERLINK("http://141.218.60.56/~jnz1568/getInfo.php?workbook=16_08.xlsx&amp;sheet=U0&amp;row=5875&amp;col=7&amp;number=0.0137&amp;sourceID=14","0.0137")</f>
        <v>0.0137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HYPERLINK("http://141.218.60.56/~jnz1568/getInfo.php?workbook=16_08.xlsx&amp;sheet=U0&amp;row=5876&amp;col=6&amp;number=4.2&amp;sourceID=14","4.2")</f>
        <v>4.2</v>
      </c>
      <c r="G5876" s="4" t="str">
        <f>HYPERLINK("http://141.218.60.56/~jnz1568/getInfo.php?workbook=16_08.xlsx&amp;sheet=U0&amp;row=5876&amp;col=7&amp;number=0.0137&amp;sourceID=14","0.0137")</f>
        <v>0.0137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HYPERLINK("http://141.218.60.56/~jnz1568/getInfo.php?workbook=16_08.xlsx&amp;sheet=U0&amp;row=5877&amp;col=6&amp;number=4.3&amp;sourceID=14","4.3")</f>
        <v>4.3</v>
      </c>
      <c r="G5877" s="4" t="str">
        <f>HYPERLINK("http://141.218.60.56/~jnz1568/getInfo.php?workbook=16_08.xlsx&amp;sheet=U0&amp;row=5877&amp;col=7&amp;number=0.0137&amp;sourceID=14","0.0137")</f>
        <v>0.0137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HYPERLINK("http://141.218.60.56/~jnz1568/getInfo.php?workbook=16_08.xlsx&amp;sheet=U0&amp;row=5878&amp;col=6&amp;number=4.4&amp;sourceID=14","4.4")</f>
        <v>4.4</v>
      </c>
      <c r="G5878" s="4" t="str">
        <f>HYPERLINK("http://141.218.60.56/~jnz1568/getInfo.php?workbook=16_08.xlsx&amp;sheet=U0&amp;row=5878&amp;col=7&amp;number=0.0137&amp;sourceID=14","0.0137")</f>
        <v>0.0137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HYPERLINK("http://141.218.60.56/~jnz1568/getInfo.php?workbook=16_08.xlsx&amp;sheet=U0&amp;row=5879&amp;col=6&amp;number=4.5&amp;sourceID=14","4.5")</f>
        <v>4.5</v>
      </c>
      <c r="G5879" s="4" t="str">
        <f>HYPERLINK("http://141.218.60.56/~jnz1568/getInfo.php?workbook=16_08.xlsx&amp;sheet=U0&amp;row=5879&amp;col=7&amp;number=0.0137&amp;sourceID=14","0.0137")</f>
        <v>0.0137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HYPERLINK("http://141.218.60.56/~jnz1568/getInfo.php?workbook=16_08.xlsx&amp;sheet=U0&amp;row=5880&amp;col=6&amp;number=4.6&amp;sourceID=14","4.6")</f>
        <v>4.6</v>
      </c>
      <c r="G5880" s="4" t="str">
        <f>HYPERLINK("http://141.218.60.56/~jnz1568/getInfo.php?workbook=16_08.xlsx&amp;sheet=U0&amp;row=5880&amp;col=7&amp;number=0.0136&amp;sourceID=14","0.0136")</f>
        <v>0.0136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HYPERLINK("http://141.218.60.56/~jnz1568/getInfo.php?workbook=16_08.xlsx&amp;sheet=U0&amp;row=5881&amp;col=6&amp;number=4.7&amp;sourceID=14","4.7")</f>
        <v>4.7</v>
      </c>
      <c r="G5881" s="4" t="str">
        <f>HYPERLINK("http://141.218.60.56/~jnz1568/getInfo.php?workbook=16_08.xlsx&amp;sheet=U0&amp;row=5881&amp;col=7&amp;number=0.0136&amp;sourceID=14","0.0136")</f>
        <v>0.0136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HYPERLINK("http://141.218.60.56/~jnz1568/getInfo.php?workbook=16_08.xlsx&amp;sheet=U0&amp;row=5882&amp;col=6&amp;number=4.8&amp;sourceID=14","4.8")</f>
        <v>4.8</v>
      </c>
      <c r="G5882" s="4" t="str">
        <f>HYPERLINK("http://141.218.60.56/~jnz1568/getInfo.php?workbook=16_08.xlsx&amp;sheet=U0&amp;row=5882&amp;col=7&amp;number=0.0136&amp;sourceID=14","0.0136")</f>
        <v>0.0136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HYPERLINK("http://141.218.60.56/~jnz1568/getInfo.php?workbook=16_08.xlsx&amp;sheet=U0&amp;row=5883&amp;col=6&amp;number=4.9&amp;sourceID=14","4.9")</f>
        <v>4.9</v>
      </c>
      <c r="G5883" s="4" t="str">
        <f>HYPERLINK("http://141.218.60.56/~jnz1568/getInfo.php?workbook=16_08.xlsx&amp;sheet=U0&amp;row=5883&amp;col=7&amp;number=0.0135&amp;sourceID=14","0.0135")</f>
        <v>0.0135</v>
      </c>
    </row>
    <row r="5884" spans="1:7">
      <c r="A5884" s="3">
        <v>16</v>
      </c>
      <c r="B5884" s="3">
        <v>8</v>
      </c>
      <c r="C5884" s="3">
        <v>4</v>
      </c>
      <c r="D5884" s="3">
        <v>47</v>
      </c>
      <c r="E5884" s="3">
        <v>1</v>
      </c>
      <c r="F5884" s="4" t="str">
        <f>HYPERLINK("http://141.218.60.56/~jnz1568/getInfo.php?workbook=16_08.xlsx&amp;sheet=U0&amp;row=5884&amp;col=6&amp;number=3&amp;sourceID=14","3")</f>
        <v>3</v>
      </c>
      <c r="G5884" s="4" t="str">
        <f>HYPERLINK("http://141.218.60.56/~jnz1568/getInfo.php?workbook=16_08.xlsx&amp;sheet=U0&amp;row=5884&amp;col=7&amp;number=0.0347&amp;sourceID=14","0.0347")</f>
        <v>0.0347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HYPERLINK("http://141.218.60.56/~jnz1568/getInfo.php?workbook=16_08.xlsx&amp;sheet=U0&amp;row=5885&amp;col=6&amp;number=3.1&amp;sourceID=14","3.1")</f>
        <v>3.1</v>
      </c>
      <c r="G5885" s="4" t="str">
        <f>HYPERLINK("http://141.218.60.56/~jnz1568/getInfo.php?workbook=16_08.xlsx&amp;sheet=U0&amp;row=5885&amp;col=7&amp;number=0.0347&amp;sourceID=14","0.0347")</f>
        <v>0.0347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HYPERLINK("http://141.218.60.56/~jnz1568/getInfo.php?workbook=16_08.xlsx&amp;sheet=U0&amp;row=5886&amp;col=6&amp;number=3.2&amp;sourceID=14","3.2")</f>
        <v>3.2</v>
      </c>
      <c r="G5886" s="4" t="str">
        <f>HYPERLINK("http://141.218.60.56/~jnz1568/getInfo.php?workbook=16_08.xlsx&amp;sheet=U0&amp;row=5886&amp;col=7&amp;number=0.0347&amp;sourceID=14","0.0347")</f>
        <v>0.0347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HYPERLINK("http://141.218.60.56/~jnz1568/getInfo.php?workbook=16_08.xlsx&amp;sheet=U0&amp;row=5887&amp;col=6&amp;number=3.3&amp;sourceID=14","3.3")</f>
        <v>3.3</v>
      </c>
      <c r="G5887" s="4" t="str">
        <f>HYPERLINK("http://141.218.60.56/~jnz1568/getInfo.php?workbook=16_08.xlsx&amp;sheet=U0&amp;row=5887&amp;col=7&amp;number=0.0347&amp;sourceID=14","0.0347")</f>
        <v>0.0347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HYPERLINK("http://141.218.60.56/~jnz1568/getInfo.php?workbook=16_08.xlsx&amp;sheet=U0&amp;row=5888&amp;col=6&amp;number=3.4&amp;sourceID=14","3.4")</f>
        <v>3.4</v>
      </c>
      <c r="G5888" s="4" t="str">
        <f>HYPERLINK("http://141.218.60.56/~jnz1568/getInfo.php?workbook=16_08.xlsx&amp;sheet=U0&amp;row=5888&amp;col=7&amp;number=0.0347&amp;sourceID=14","0.0347")</f>
        <v>0.0347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HYPERLINK("http://141.218.60.56/~jnz1568/getInfo.php?workbook=16_08.xlsx&amp;sheet=U0&amp;row=5889&amp;col=6&amp;number=3.5&amp;sourceID=14","3.5")</f>
        <v>3.5</v>
      </c>
      <c r="G5889" s="4" t="str">
        <f>HYPERLINK("http://141.218.60.56/~jnz1568/getInfo.php?workbook=16_08.xlsx&amp;sheet=U0&amp;row=5889&amp;col=7&amp;number=0.0347&amp;sourceID=14","0.0347")</f>
        <v>0.0347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HYPERLINK("http://141.218.60.56/~jnz1568/getInfo.php?workbook=16_08.xlsx&amp;sheet=U0&amp;row=5890&amp;col=6&amp;number=3.6&amp;sourceID=14","3.6")</f>
        <v>3.6</v>
      </c>
      <c r="G5890" s="4" t="str">
        <f>HYPERLINK("http://141.218.60.56/~jnz1568/getInfo.php?workbook=16_08.xlsx&amp;sheet=U0&amp;row=5890&amp;col=7&amp;number=0.0347&amp;sourceID=14","0.0347")</f>
        <v>0.0347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HYPERLINK("http://141.218.60.56/~jnz1568/getInfo.php?workbook=16_08.xlsx&amp;sheet=U0&amp;row=5891&amp;col=6&amp;number=3.7&amp;sourceID=14","3.7")</f>
        <v>3.7</v>
      </c>
      <c r="G5891" s="4" t="str">
        <f>HYPERLINK("http://141.218.60.56/~jnz1568/getInfo.php?workbook=16_08.xlsx&amp;sheet=U0&amp;row=5891&amp;col=7&amp;number=0.0347&amp;sourceID=14","0.0347")</f>
        <v>0.0347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HYPERLINK("http://141.218.60.56/~jnz1568/getInfo.php?workbook=16_08.xlsx&amp;sheet=U0&amp;row=5892&amp;col=6&amp;number=3.8&amp;sourceID=14","3.8")</f>
        <v>3.8</v>
      </c>
      <c r="G5892" s="4" t="str">
        <f>HYPERLINK("http://141.218.60.56/~jnz1568/getInfo.php?workbook=16_08.xlsx&amp;sheet=U0&amp;row=5892&amp;col=7&amp;number=0.0347&amp;sourceID=14","0.0347")</f>
        <v>0.0347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HYPERLINK("http://141.218.60.56/~jnz1568/getInfo.php?workbook=16_08.xlsx&amp;sheet=U0&amp;row=5893&amp;col=6&amp;number=3.9&amp;sourceID=14","3.9")</f>
        <v>3.9</v>
      </c>
      <c r="G5893" s="4" t="str">
        <f>HYPERLINK("http://141.218.60.56/~jnz1568/getInfo.php?workbook=16_08.xlsx&amp;sheet=U0&amp;row=5893&amp;col=7&amp;number=0.0347&amp;sourceID=14","0.0347")</f>
        <v>0.0347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HYPERLINK("http://141.218.60.56/~jnz1568/getInfo.php?workbook=16_08.xlsx&amp;sheet=U0&amp;row=5894&amp;col=6&amp;number=4&amp;sourceID=14","4")</f>
        <v>4</v>
      </c>
      <c r="G5894" s="4" t="str">
        <f>HYPERLINK("http://141.218.60.56/~jnz1568/getInfo.php?workbook=16_08.xlsx&amp;sheet=U0&amp;row=5894&amp;col=7&amp;number=0.0347&amp;sourceID=14","0.0347")</f>
        <v>0.0347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HYPERLINK("http://141.218.60.56/~jnz1568/getInfo.php?workbook=16_08.xlsx&amp;sheet=U0&amp;row=5895&amp;col=6&amp;number=4.1&amp;sourceID=14","4.1")</f>
        <v>4.1</v>
      </c>
      <c r="G5895" s="4" t="str">
        <f>HYPERLINK("http://141.218.60.56/~jnz1568/getInfo.php?workbook=16_08.xlsx&amp;sheet=U0&amp;row=5895&amp;col=7&amp;number=0.0347&amp;sourceID=14","0.0347")</f>
        <v>0.0347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HYPERLINK("http://141.218.60.56/~jnz1568/getInfo.php?workbook=16_08.xlsx&amp;sheet=U0&amp;row=5896&amp;col=6&amp;number=4.2&amp;sourceID=14","4.2")</f>
        <v>4.2</v>
      </c>
      <c r="G5896" s="4" t="str">
        <f>HYPERLINK("http://141.218.60.56/~jnz1568/getInfo.php?workbook=16_08.xlsx&amp;sheet=U0&amp;row=5896&amp;col=7&amp;number=0.0347&amp;sourceID=14","0.0347")</f>
        <v>0.0347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HYPERLINK("http://141.218.60.56/~jnz1568/getInfo.php?workbook=16_08.xlsx&amp;sheet=U0&amp;row=5897&amp;col=6&amp;number=4.3&amp;sourceID=14","4.3")</f>
        <v>4.3</v>
      </c>
      <c r="G5897" s="4" t="str">
        <f>HYPERLINK("http://141.218.60.56/~jnz1568/getInfo.php?workbook=16_08.xlsx&amp;sheet=U0&amp;row=5897&amp;col=7&amp;number=0.0347&amp;sourceID=14","0.0347")</f>
        <v>0.0347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HYPERLINK("http://141.218.60.56/~jnz1568/getInfo.php?workbook=16_08.xlsx&amp;sheet=U0&amp;row=5898&amp;col=6&amp;number=4.4&amp;sourceID=14","4.4")</f>
        <v>4.4</v>
      </c>
      <c r="G5898" s="4" t="str">
        <f>HYPERLINK("http://141.218.60.56/~jnz1568/getInfo.php?workbook=16_08.xlsx&amp;sheet=U0&amp;row=5898&amp;col=7&amp;number=0.0348&amp;sourceID=14","0.0348")</f>
        <v>0.0348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HYPERLINK("http://141.218.60.56/~jnz1568/getInfo.php?workbook=16_08.xlsx&amp;sheet=U0&amp;row=5899&amp;col=6&amp;number=4.5&amp;sourceID=14","4.5")</f>
        <v>4.5</v>
      </c>
      <c r="G5899" s="4" t="str">
        <f>HYPERLINK("http://141.218.60.56/~jnz1568/getInfo.php?workbook=16_08.xlsx&amp;sheet=U0&amp;row=5899&amp;col=7&amp;number=0.0348&amp;sourceID=14","0.0348")</f>
        <v>0.0348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HYPERLINK("http://141.218.60.56/~jnz1568/getInfo.php?workbook=16_08.xlsx&amp;sheet=U0&amp;row=5900&amp;col=6&amp;number=4.6&amp;sourceID=14","4.6")</f>
        <v>4.6</v>
      </c>
      <c r="G5900" s="4" t="str">
        <f>HYPERLINK("http://141.218.60.56/~jnz1568/getInfo.php?workbook=16_08.xlsx&amp;sheet=U0&amp;row=5900&amp;col=7&amp;number=0.0348&amp;sourceID=14","0.0348")</f>
        <v>0.0348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HYPERLINK("http://141.218.60.56/~jnz1568/getInfo.php?workbook=16_08.xlsx&amp;sheet=U0&amp;row=5901&amp;col=6&amp;number=4.7&amp;sourceID=14","4.7")</f>
        <v>4.7</v>
      </c>
      <c r="G5901" s="4" t="str">
        <f>HYPERLINK("http://141.218.60.56/~jnz1568/getInfo.php?workbook=16_08.xlsx&amp;sheet=U0&amp;row=5901&amp;col=7&amp;number=0.0348&amp;sourceID=14","0.0348")</f>
        <v>0.0348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HYPERLINK("http://141.218.60.56/~jnz1568/getInfo.php?workbook=16_08.xlsx&amp;sheet=U0&amp;row=5902&amp;col=6&amp;number=4.8&amp;sourceID=14","4.8")</f>
        <v>4.8</v>
      </c>
      <c r="G5902" s="4" t="str">
        <f>HYPERLINK("http://141.218.60.56/~jnz1568/getInfo.php?workbook=16_08.xlsx&amp;sheet=U0&amp;row=5902&amp;col=7&amp;number=0.0348&amp;sourceID=14","0.0348")</f>
        <v>0.0348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HYPERLINK("http://141.218.60.56/~jnz1568/getInfo.php?workbook=16_08.xlsx&amp;sheet=U0&amp;row=5903&amp;col=6&amp;number=4.9&amp;sourceID=14","4.9")</f>
        <v>4.9</v>
      </c>
      <c r="G5903" s="4" t="str">
        <f>HYPERLINK("http://141.218.60.56/~jnz1568/getInfo.php?workbook=16_08.xlsx&amp;sheet=U0&amp;row=5903&amp;col=7&amp;number=0.0348&amp;sourceID=14","0.0348")</f>
        <v>0.0348</v>
      </c>
    </row>
    <row r="5904" spans="1:7">
      <c r="A5904" s="3">
        <v>16</v>
      </c>
      <c r="B5904" s="3">
        <v>8</v>
      </c>
      <c r="C5904" s="3">
        <v>4</v>
      </c>
      <c r="D5904" s="3">
        <v>48</v>
      </c>
      <c r="E5904" s="3">
        <v>1</v>
      </c>
      <c r="F5904" s="4" t="str">
        <f>HYPERLINK("http://141.218.60.56/~jnz1568/getInfo.php?workbook=16_08.xlsx&amp;sheet=U0&amp;row=5904&amp;col=6&amp;number=3&amp;sourceID=14","3")</f>
        <v>3</v>
      </c>
      <c r="G5904" s="4" t="str">
        <f>HYPERLINK("http://141.218.60.56/~jnz1568/getInfo.php?workbook=16_08.xlsx&amp;sheet=U0&amp;row=5904&amp;col=7&amp;number=0.00542&amp;sourceID=14","0.00542")</f>
        <v>0.00542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HYPERLINK("http://141.218.60.56/~jnz1568/getInfo.php?workbook=16_08.xlsx&amp;sheet=U0&amp;row=5905&amp;col=6&amp;number=3.1&amp;sourceID=14","3.1")</f>
        <v>3.1</v>
      </c>
      <c r="G5905" s="4" t="str">
        <f>HYPERLINK("http://141.218.60.56/~jnz1568/getInfo.php?workbook=16_08.xlsx&amp;sheet=U0&amp;row=5905&amp;col=7&amp;number=0.00542&amp;sourceID=14","0.00542")</f>
        <v>0.00542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HYPERLINK("http://141.218.60.56/~jnz1568/getInfo.php?workbook=16_08.xlsx&amp;sheet=U0&amp;row=5906&amp;col=6&amp;number=3.2&amp;sourceID=14","3.2")</f>
        <v>3.2</v>
      </c>
      <c r="G5906" s="4" t="str">
        <f>HYPERLINK("http://141.218.60.56/~jnz1568/getInfo.php?workbook=16_08.xlsx&amp;sheet=U0&amp;row=5906&amp;col=7&amp;number=0.00542&amp;sourceID=14","0.00542")</f>
        <v>0.00542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HYPERLINK("http://141.218.60.56/~jnz1568/getInfo.php?workbook=16_08.xlsx&amp;sheet=U0&amp;row=5907&amp;col=6&amp;number=3.3&amp;sourceID=14","3.3")</f>
        <v>3.3</v>
      </c>
      <c r="G5907" s="4" t="str">
        <f>HYPERLINK("http://141.218.60.56/~jnz1568/getInfo.php?workbook=16_08.xlsx&amp;sheet=U0&amp;row=5907&amp;col=7&amp;number=0.00542&amp;sourceID=14","0.00542")</f>
        <v>0.00542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HYPERLINK("http://141.218.60.56/~jnz1568/getInfo.php?workbook=16_08.xlsx&amp;sheet=U0&amp;row=5908&amp;col=6&amp;number=3.4&amp;sourceID=14","3.4")</f>
        <v>3.4</v>
      </c>
      <c r="G5908" s="4" t="str">
        <f>HYPERLINK("http://141.218.60.56/~jnz1568/getInfo.php?workbook=16_08.xlsx&amp;sheet=U0&amp;row=5908&amp;col=7&amp;number=0.00542&amp;sourceID=14","0.00542")</f>
        <v>0.00542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HYPERLINK("http://141.218.60.56/~jnz1568/getInfo.php?workbook=16_08.xlsx&amp;sheet=U0&amp;row=5909&amp;col=6&amp;number=3.5&amp;sourceID=14","3.5")</f>
        <v>3.5</v>
      </c>
      <c r="G5909" s="4" t="str">
        <f>HYPERLINK("http://141.218.60.56/~jnz1568/getInfo.php?workbook=16_08.xlsx&amp;sheet=U0&amp;row=5909&amp;col=7&amp;number=0.00542&amp;sourceID=14","0.00542")</f>
        <v>0.00542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HYPERLINK("http://141.218.60.56/~jnz1568/getInfo.php?workbook=16_08.xlsx&amp;sheet=U0&amp;row=5910&amp;col=6&amp;number=3.6&amp;sourceID=14","3.6")</f>
        <v>3.6</v>
      </c>
      <c r="G5910" s="4" t="str">
        <f>HYPERLINK("http://141.218.60.56/~jnz1568/getInfo.php?workbook=16_08.xlsx&amp;sheet=U0&amp;row=5910&amp;col=7&amp;number=0.00542&amp;sourceID=14","0.00542")</f>
        <v>0.00542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HYPERLINK("http://141.218.60.56/~jnz1568/getInfo.php?workbook=16_08.xlsx&amp;sheet=U0&amp;row=5911&amp;col=6&amp;number=3.7&amp;sourceID=14","3.7")</f>
        <v>3.7</v>
      </c>
      <c r="G5911" s="4" t="str">
        <f>HYPERLINK("http://141.218.60.56/~jnz1568/getInfo.php?workbook=16_08.xlsx&amp;sheet=U0&amp;row=5911&amp;col=7&amp;number=0.00542&amp;sourceID=14","0.00542")</f>
        <v>0.00542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HYPERLINK("http://141.218.60.56/~jnz1568/getInfo.php?workbook=16_08.xlsx&amp;sheet=U0&amp;row=5912&amp;col=6&amp;number=3.8&amp;sourceID=14","3.8")</f>
        <v>3.8</v>
      </c>
      <c r="G5912" s="4" t="str">
        <f>HYPERLINK("http://141.218.60.56/~jnz1568/getInfo.php?workbook=16_08.xlsx&amp;sheet=U0&amp;row=5912&amp;col=7&amp;number=0.00542&amp;sourceID=14","0.00542")</f>
        <v>0.00542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HYPERLINK("http://141.218.60.56/~jnz1568/getInfo.php?workbook=16_08.xlsx&amp;sheet=U0&amp;row=5913&amp;col=6&amp;number=3.9&amp;sourceID=14","3.9")</f>
        <v>3.9</v>
      </c>
      <c r="G5913" s="4" t="str">
        <f>HYPERLINK("http://141.218.60.56/~jnz1568/getInfo.php?workbook=16_08.xlsx&amp;sheet=U0&amp;row=5913&amp;col=7&amp;number=0.00542&amp;sourceID=14","0.00542")</f>
        <v>0.00542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HYPERLINK("http://141.218.60.56/~jnz1568/getInfo.php?workbook=16_08.xlsx&amp;sheet=U0&amp;row=5914&amp;col=6&amp;number=4&amp;sourceID=14","4")</f>
        <v>4</v>
      </c>
      <c r="G5914" s="4" t="str">
        <f>HYPERLINK("http://141.218.60.56/~jnz1568/getInfo.php?workbook=16_08.xlsx&amp;sheet=U0&amp;row=5914&amp;col=7&amp;number=0.00542&amp;sourceID=14","0.00542")</f>
        <v>0.00542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HYPERLINK("http://141.218.60.56/~jnz1568/getInfo.php?workbook=16_08.xlsx&amp;sheet=U0&amp;row=5915&amp;col=6&amp;number=4.1&amp;sourceID=14","4.1")</f>
        <v>4.1</v>
      </c>
      <c r="G5915" s="4" t="str">
        <f>HYPERLINK("http://141.218.60.56/~jnz1568/getInfo.php?workbook=16_08.xlsx&amp;sheet=U0&amp;row=5915&amp;col=7&amp;number=0.00542&amp;sourceID=14","0.00542")</f>
        <v>0.00542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HYPERLINK("http://141.218.60.56/~jnz1568/getInfo.php?workbook=16_08.xlsx&amp;sheet=U0&amp;row=5916&amp;col=6&amp;number=4.2&amp;sourceID=14","4.2")</f>
        <v>4.2</v>
      </c>
      <c r="G5916" s="4" t="str">
        <f>HYPERLINK("http://141.218.60.56/~jnz1568/getInfo.php?workbook=16_08.xlsx&amp;sheet=U0&amp;row=5916&amp;col=7&amp;number=0.00542&amp;sourceID=14","0.00542")</f>
        <v>0.00542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HYPERLINK("http://141.218.60.56/~jnz1568/getInfo.php?workbook=16_08.xlsx&amp;sheet=U0&amp;row=5917&amp;col=6&amp;number=4.3&amp;sourceID=14","4.3")</f>
        <v>4.3</v>
      </c>
      <c r="G5917" s="4" t="str">
        <f>HYPERLINK("http://141.218.60.56/~jnz1568/getInfo.php?workbook=16_08.xlsx&amp;sheet=U0&amp;row=5917&amp;col=7&amp;number=0.00542&amp;sourceID=14","0.00542")</f>
        <v>0.00542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HYPERLINK("http://141.218.60.56/~jnz1568/getInfo.php?workbook=16_08.xlsx&amp;sheet=U0&amp;row=5918&amp;col=6&amp;number=4.4&amp;sourceID=14","4.4")</f>
        <v>4.4</v>
      </c>
      <c r="G5918" s="4" t="str">
        <f>HYPERLINK("http://141.218.60.56/~jnz1568/getInfo.php?workbook=16_08.xlsx&amp;sheet=U0&amp;row=5918&amp;col=7&amp;number=0.00542&amp;sourceID=14","0.00542")</f>
        <v>0.00542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HYPERLINK("http://141.218.60.56/~jnz1568/getInfo.php?workbook=16_08.xlsx&amp;sheet=U0&amp;row=5919&amp;col=6&amp;number=4.5&amp;sourceID=14","4.5")</f>
        <v>4.5</v>
      </c>
      <c r="G5919" s="4" t="str">
        <f>HYPERLINK("http://141.218.60.56/~jnz1568/getInfo.php?workbook=16_08.xlsx&amp;sheet=U0&amp;row=5919&amp;col=7&amp;number=0.00542&amp;sourceID=14","0.00542")</f>
        <v>0.00542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HYPERLINK("http://141.218.60.56/~jnz1568/getInfo.php?workbook=16_08.xlsx&amp;sheet=U0&amp;row=5920&amp;col=6&amp;number=4.6&amp;sourceID=14","4.6")</f>
        <v>4.6</v>
      </c>
      <c r="G5920" s="4" t="str">
        <f>HYPERLINK("http://141.218.60.56/~jnz1568/getInfo.php?workbook=16_08.xlsx&amp;sheet=U0&amp;row=5920&amp;col=7&amp;number=0.00542&amp;sourceID=14","0.00542")</f>
        <v>0.00542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HYPERLINK("http://141.218.60.56/~jnz1568/getInfo.php?workbook=16_08.xlsx&amp;sheet=U0&amp;row=5921&amp;col=6&amp;number=4.7&amp;sourceID=14","4.7")</f>
        <v>4.7</v>
      </c>
      <c r="G5921" s="4" t="str">
        <f>HYPERLINK("http://141.218.60.56/~jnz1568/getInfo.php?workbook=16_08.xlsx&amp;sheet=U0&amp;row=5921&amp;col=7&amp;number=0.00542&amp;sourceID=14","0.00542")</f>
        <v>0.00542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HYPERLINK("http://141.218.60.56/~jnz1568/getInfo.php?workbook=16_08.xlsx&amp;sheet=U0&amp;row=5922&amp;col=6&amp;number=4.8&amp;sourceID=14","4.8")</f>
        <v>4.8</v>
      </c>
      <c r="G5922" s="4" t="str">
        <f>HYPERLINK("http://141.218.60.56/~jnz1568/getInfo.php?workbook=16_08.xlsx&amp;sheet=U0&amp;row=5922&amp;col=7&amp;number=0.00542&amp;sourceID=14","0.00542")</f>
        <v>0.00542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HYPERLINK("http://141.218.60.56/~jnz1568/getInfo.php?workbook=16_08.xlsx&amp;sheet=U0&amp;row=5923&amp;col=6&amp;number=4.9&amp;sourceID=14","4.9")</f>
        <v>4.9</v>
      </c>
      <c r="G5923" s="4" t="str">
        <f>HYPERLINK("http://141.218.60.56/~jnz1568/getInfo.php?workbook=16_08.xlsx&amp;sheet=U0&amp;row=5923&amp;col=7&amp;number=0.00542&amp;sourceID=14","0.00542")</f>
        <v>0.00542</v>
      </c>
    </row>
    <row r="5924" spans="1:7">
      <c r="A5924" s="3">
        <v>16</v>
      </c>
      <c r="B5924" s="3">
        <v>8</v>
      </c>
      <c r="C5924" s="3">
        <v>4</v>
      </c>
      <c r="D5924" s="3">
        <v>49</v>
      </c>
      <c r="E5924" s="3">
        <v>1</v>
      </c>
      <c r="F5924" s="4" t="str">
        <f>HYPERLINK("http://141.218.60.56/~jnz1568/getInfo.php?workbook=16_08.xlsx&amp;sheet=U0&amp;row=5924&amp;col=6&amp;number=3&amp;sourceID=14","3")</f>
        <v>3</v>
      </c>
      <c r="G5924" s="4" t="str">
        <f>HYPERLINK("http://141.218.60.56/~jnz1568/getInfo.php?workbook=16_08.xlsx&amp;sheet=U0&amp;row=5924&amp;col=7&amp;number=0.00242&amp;sourceID=14","0.00242")</f>
        <v>0.00242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HYPERLINK("http://141.218.60.56/~jnz1568/getInfo.php?workbook=16_08.xlsx&amp;sheet=U0&amp;row=5925&amp;col=6&amp;number=3.1&amp;sourceID=14","3.1")</f>
        <v>3.1</v>
      </c>
      <c r="G5925" s="4" t="str">
        <f>HYPERLINK("http://141.218.60.56/~jnz1568/getInfo.php?workbook=16_08.xlsx&amp;sheet=U0&amp;row=5925&amp;col=7&amp;number=0.00242&amp;sourceID=14","0.00242")</f>
        <v>0.00242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HYPERLINK("http://141.218.60.56/~jnz1568/getInfo.php?workbook=16_08.xlsx&amp;sheet=U0&amp;row=5926&amp;col=6&amp;number=3.2&amp;sourceID=14","3.2")</f>
        <v>3.2</v>
      </c>
      <c r="G5926" s="4" t="str">
        <f>HYPERLINK("http://141.218.60.56/~jnz1568/getInfo.php?workbook=16_08.xlsx&amp;sheet=U0&amp;row=5926&amp;col=7&amp;number=0.00242&amp;sourceID=14","0.00242")</f>
        <v>0.00242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HYPERLINK("http://141.218.60.56/~jnz1568/getInfo.php?workbook=16_08.xlsx&amp;sheet=U0&amp;row=5927&amp;col=6&amp;number=3.3&amp;sourceID=14","3.3")</f>
        <v>3.3</v>
      </c>
      <c r="G5927" s="4" t="str">
        <f>HYPERLINK("http://141.218.60.56/~jnz1568/getInfo.php?workbook=16_08.xlsx&amp;sheet=U0&amp;row=5927&amp;col=7&amp;number=0.00242&amp;sourceID=14","0.00242")</f>
        <v>0.00242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HYPERLINK("http://141.218.60.56/~jnz1568/getInfo.php?workbook=16_08.xlsx&amp;sheet=U0&amp;row=5928&amp;col=6&amp;number=3.4&amp;sourceID=14","3.4")</f>
        <v>3.4</v>
      </c>
      <c r="G5928" s="4" t="str">
        <f>HYPERLINK("http://141.218.60.56/~jnz1568/getInfo.php?workbook=16_08.xlsx&amp;sheet=U0&amp;row=5928&amp;col=7&amp;number=0.00242&amp;sourceID=14","0.00242")</f>
        <v>0.00242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HYPERLINK("http://141.218.60.56/~jnz1568/getInfo.php?workbook=16_08.xlsx&amp;sheet=U0&amp;row=5929&amp;col=6&amp;number=3.5&amp;sourceID=14","3.5")</f>
        <v>3.5</v>
      </c>
      <c r="G5929" s="4" t="str">
        <f>HYPERLINK("http://141.218.60.56/~jnz1568/getInfo.php?workbook=16_08.xlsx&amp;sheet=U0&amp;row=5929&amp;col=7&amp;number=0.00242&amp;sourceID=14","0.00242")</f>
        <v>0.00242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HYPERLINK("http://141.218.60.56/~jnz1568/getInfo.php?workbook=16_08.xlsx&amp;sheet=U0&amp;row=5930&amp;col=6&amp;number=3.6&amp;sourceID=14","3.6")</f>
        <v>3.6</v>
      </c>
      <c r="G5930" s="4" t="str">
        <f>HYPERLINK("http://141.218.60.56/~jnz1568/getInfo.php?workbook=16_08.xlsx&amp;sheet=U0&amp;row=5930&amp;col=7&amp;number=0.00242&amp;sourceID=14","0.00242")</f>
        <v>0.00242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HYPERLINK("http://141.218.60.56/~jnz1568/getInfo.php?workbook=16_08.xlsx&amp;sheet=U0&amp;row=5931&amp;col=6&amp;number=3.7&amp;sourceID=14","3.7")</f>
        <v>3.7</v>
      </c>
      <c r="G5931" s="4" t="str">
        <f>HYPERLINK("http://141.218.60.56/~jnz1568/getInfo.php?workbook=16_08.xlsx&amp;sheet=U0&amp;row=5931&amp;col=7&amp;number=0.00242&amp;sourceID=14","0.00242")</f>
        <v>0.00242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HYPERLINK("http://141.218.60.56/~jnz1568/getInfo.php?workbook=16_08.xlsx&amp;sheet=U0&amp;row=5932&amp;col=6&amp;number=3.8&amp;sourceID=14","3.8")</f>
        <v>3.8</v>
      </c>
      <c r="G5932" s="4" t="str">
        <f>HYPERLINK("http://141.218.60.56/~jnz1568/getInfo.php?workbook=16_08.xlsx&amp;sheet=U0&amp;row=5932&amp;col=7&amp;number=0.00242&amp;sourceID=14","0.00242")</f>
        <v>0.00242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HYPERLINK("http://141.218.60.56/~jnz1568/getInfo.php?workbook=16_08.xlsx&amp;sheet=U0&amp;row=5933&amp;col=6&amp;number=3.9&amp;sourceID=14","3.9")</f>
        <v>3.9</v>
      </c>
      <c r="G5933" s="4" t="str">
        <f>HYPERLINK("http://141.218.60.56/~jnz1568/getInfo.php?workbook=16_08.xlsx&amp;sheet=U0&amp;row=5933&amp;col=7&amp;number=0.00242&amp;sourceID=14","0.00242")</f>
        <v>0.00242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HYPERLINK("http://141.218.60.56/~jnz1568/getInfo.php?workbook=16_08.xlsx&amp;sheet=U0&amp;row=5934&amp;col=6&amp;number=4&amp;sourceID=14","4")</f>
        <v>4</v>
      </c>
      <c r="G5934" s="4" t="str">
        <f>HYPERLINK("http://141.218.60.56/~jnz1568/getInfo.php?workbook=16_08.xlsx&amp;sheet=U0&amp;row=5934&amp;col=7&amp;number=0.00242&amp;sourceID=14","0.00242")</f>
        <v>0.00242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HYPERLINK("http://141.218.60.56/~jnz1568/getInfo.php?workbook=16_08.xlsx&amp;sheet=U0&amp;row=5935&amp;col=6&amp;number=4.1&amp;sourceID=14","4.1")</f>
        <v>4.1</v>
      </c>
      <c r="G5935" s="4" t="str">
        <f>HYPERLINK("http://141.218.60.56/~jnz1568/getInfo.php?workbook=16_08.xlsx&amp;sheet=U0&amp;row=5935&amp;col=7&amp;number=0.00242&amp;sourceID=14","0.00242")</f>
        <v>0.00242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HYPERLINK("http://141.218.60.56/~jnz1568/getInfo.php?workbook=16_08.xlsx&amp;sheet=U0&amp;row=5936&amp;col=6&amp;number=4.2&amp;sourceID=14","4.2")</f>
        <v>4.2</v>
      </c>
      <c r="G5936" s="4" t="str">
        <f>HYPERLINK("http://141.218.60.56/~jnz1568/getInfo.php?workbook=16_08.xlsx&amp;sheet=U0&amp;row=5936&amp;col=7&amp;number=0.00242&amp;sourceID=14","0.00242")</f>
        <v>0.00242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HYPERLINK("http://141.218.60.56/~jnz1568/getInfo.php?workbook=16_08.xlsx&amp;sheet=U0&amp;row=5937&amp;col=6&amp;number=4.3&amp;sourceID=14","4.3")</f>
        <v>4.3</v>
      </c>
      <c r="G5937" s="4" t="str">
        <f>HYPERLINK("http://141.218.60.56/~jnz1568/getInfo.php?workbook=16_08.xlsx&amp;sheet=U0&amp;row=5937&amp;col=7&amp;number=0.00241&amp;sourceID=14","0.00241")</f>
        <v>0.00241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HYPERLINK("http://141.218.60.56/~jnz1568/getInfo.php?workbook=16_08.xlsx&amp;sheet=U0&amp;row=5938&amp;col=6&amp;number=4.4&amp;sourceID=14","4.4")</f>
        <v>4.4</v>
      </c>
      <c r="G5938" s="4" t="str">
        <f>HYPERLINK("http://141.218.60.56/~jnz1568/getInfo.php?workbook=16_08.xlsx&amp;sheet=U0&amp;row=5938&amp;col=7&amp;number=0.00241&amp;sourceID=14","0.00241")</f>
        <v>0.00241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HYPERLINK("http://141.218.60.56/~jnz1568/getInfo.php?workbook=16_08.xlsx&amp;sheet=U0&amp;row=5939&amp;col=6&amp;number=4.5&amp;sourceID=14","4.5")</f>
        <v>4.5</v>
      </c>
      <c r="G5939" s="4" t="str">
        <f>HYPERLINK("http://141.218.60.56/~jnz1568/getInfo.php?workbook=16_08.xlsx&amp;sheet=U0&amp;row=5939&amp;col=7&amp;number=0.00241&amp;sourceID=14","0.00241")</f>
        <v>0.00241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HYPERLINK("http://141.218.60.56/~jnz1568/getInfo.php?workbook=16_08.xlsx&amp;sheet=U0&amp;row=5940&amp;col=6&amp;number=4.6&amp;sourceID=14","4.6")</f>
        <v>4.6</v>
      </c>
      <c r="G5940" s="4" t="str">
        <f>HYPERLINK("http://141.218.60.56/~jnz1568/getInfo.php?workbook=16_08.xlsx&amp;sheet=U0&amp;row=5940&amp;col=7&amp;number=0.0024&amp;sourceID=14","0.0024")</f>
        <v>0.0024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HYPERLINK("http://141.218.60.56/~jnz1568/getInfo.php?workbook=16_08.xlsx&amp;sheet=U0&amp;row=5941&amp;col=6&amp;number=4.7&amp;sourceID=14","4.7")</f>
        <v>4.7</v>
      </c>
      <c r="G5941" s="4" t="str">
        <f>HYPERLINK("http://141.218.60.56/~jnz1568/getInfo.php?workbook=16_08.xlsx&amp;sheet=U0&amp;row=5941&amp;col=7&amp;number=0.0024&amp;sourceID=14","0.0024")</f>
        <v>0.0024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HYPERLINK("http://141.218.60.56/~jnz1568/getInfo.php?workbook=16_08.xlsx&amp;sheet=U0&amp;row=5942&amp;col=6&amp;number=4.8&amp;sourceID=14","4.8")</f>
        <v>4.8</v>
      </c>
      <c r="G5942" s="4" t="str">
        <f>HYPERLINK("http://141.218.60.56/~jnz1568/getInfo.php?workbook=16_08.xlsx&amp;sheet=U0&amp;row=5942&amp;col=7&amp;number=0.00239&amp;sourceID=14","0.00239")</f>
        <v>0.00239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HYPERLINK("http://141.218.60.56/~jnz1568/getInfo.php?workbook=16_08.xlsx&amp;sheet=U0&amp;row=5943&amp;col=6&amp;number=4.9&amp;sourceID=14","4.9")</f>
        <v>4.9</v>
      </c>
      <c r="G5943" s="4" t="str">
        <f>HYPERLINK("http://141.218.60.56/~jnz1568/getInfo.php?workbook=16_08.xlsx&amp;sheet=U0&amp;row=5943&amp;col=7&amp;number=0.00239&amp;sourceID=14","0.00239")</f>
        <v>0.00239</v>
      </c>
    </row>
    <row r="5944" spans="1:7">
      <c r="A5944" s="3">
        <v>16</v>
      </c>
      <c r="B5944" s="3">
        <v>8</v>
      </c>
      <c r="C5944" s="3">
        <v>4</v>
      </c>
      <c r="D5944" s="3">
        <v>50</v>
      </c>
      <c r="E5944" s="3">
        <v>1</v>
      </c>
      <c r="F5944" s="4" t="str">
        <f>HYPERLINK("http://141.218.60.56/~jnz1568/getInfo.php?workbook=16_08.xlsx&amp;sheet=U0&amp;row=5944&amp;col=6&amp;number=3&amp;sourceID=14","3")</f>
        <v>3</v>
      </c>
      <c r="G5944" s="4" t="str">
        <f>HYPERLINK("http://141.218.60.56/~jnz1568/getInfo.php?workbook=16_08.xlsx&amp;sheet=U0&amp;row=5944&amp;col=7&amp;number=0.00139&amp;sourceID=14","0.00139")</f>
        <v>0.00139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HYPERLINK("http://141.218.60.56/~jnz1568/getInfo.php?workbook=16_08.xlsx&amp;sheet=U0&amp;row=5945&amp;col=6&amp;number=3.1&amp;sourceID=14","3.1")</f>
        <v>3.1</v>
      </c>
      <c r="G5945" s="4" t="str">
        <f>HYPERLINK("http://141.218.60.56/~jnz1568/getInfo.php?workbook=16_08.xlsx&amp;sheet=U0&amp;row=5945&amp;col=7&amp;number=0.00139&amp;sourceID=14","0.00139")</f>
        <v>0.00139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HYPERLINK("http://141.218.60.56/~jnz1568/getInfo.php?workbook=16_08.xlsx&amp;sheet=U0&amp;row=5946&amp;col=6&amp;number=3.2&amp;sourceID=14","3.2")</f>
        <v>3.2</v>
      </c>
      <c r="G5946" s="4" t="str">
        <f>HYPERLINK("http://141.218.60.56/~jnz1568/getInfo.php?workbook=16_08.xlsx&amp;sheet=U0&amp;row=5946&amp;col=7&amp;number=0.00139&amp;sourceID=14","0.00139")</f>
        <v>0.00139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HYPERLINK("http://141.218.60.56/~jnz1568/getInfo.php?workbook=16_08.xlsx&amp;sheet=U0&amp;row=5947&amp;col=6&amp;number=3.3&amp;sourceID=14","3.3")</f>
        <v>3.3</v>
      </c>
      <c r="G5947" s="4" t="str">
        <f>HYPERLINK("http://141.218.60.56/~jnz1568/getInfo.php?workbook=16_08.xlsx&amp;sheet=U0&amp;row=5947&amp;col=7&amp;number=0.00139&amp;sourceID=14","0.00139")</f>
        <v>0.00139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HYPERLINK("http://141.218.60.56/~jnz1568/getInfo.php?workbook=16_08.xlsx&amp;sheet=U0&amp;row=5948&amp;col=6&amp;number=3.4&amp;sourceID=14","3.4")</f>
        <v>3.4</v>
      </c>
      <c r="G5948" s="4" t="str">
        <f>HYPERLINK("http://141.218.60.56/~jnz1568/getInfo.php?workbook=16_08.xlsx&amp;sheet=U0&amp;row=5948&amp;col=7&amp;number=0.00139&amp;sourceID=14","0.00139")</f>
        <v>0.00139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HYPERLINK("http://141.218.60.56/~jnz1568/getInfo.php?workbook=16_08.xlsx&amp;sheet=U0&amp;row=5949&amp;col=6&amp;number=3.5&amp;sourceID=14","3.5")</f>
        <v>3.5</v>
      </c>
      <c r="G5949" s="4" t="str">
        <f>HYPERLINK("http://141.218.60.56/~jnz1568/getInfo.php?workbook=16_08.xlsx&amp;sheet=U0&amp;row=5949&amp;col=7&amp;number=0.00139&amp;sourceID=14","0.00139")</f>
        <v>0.00139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HYPERLINK("http://141.218.60.56/~jnz1568/getInfo.php?workbook=16_08.xlsx&amp;sheet=U0&amp;row=5950&amp;col=6&amp;number=3.6&amp;sourceID=14","3.6")</f>
        <v>3.6</v>
      </c>
      <c r="G5950" s="4" t="str">
        <f>HYPERLINK("http://141.218.60.56/~jnz1568/getInfo.php?workbook=16_08.xlsx&amp;sheet=U0&amp;row=5950&amp;col=7&amp;number=0.00139&amp;sourceID=14","0.00139")</f>
        <v>0.00139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HYPERLINK("http://141.218.60.56/~jnz1568/getInfo.php?workbook=16_08.xlsx&amp;sheet=U0&amp;row=5951&amp;col=6&amp;number=3.7&amp;sourceID=14","3.7")</f>
        <v>3.7</v>
      </c>
      <c r="G5951" s="4" t="str">
        <f>HYPERLINK("http://141.218.60.56/~jnz1568/getInfo.php?workbook=16_08.xlsx&amp;sheet=U0&amp;row=5951&amp;col=7&amp;number=0.00139&amp;sourceID=14","0.00139")</f>
        <v>0.00139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HYPERLINK("http://141.218.60.56/~jnz1568/getInfo.php?workbook=16_08.xlsx&amp;sheet=U0&amp;row=5952&amp;col=6&amp;number=3.8&amp;sourceID=14","3.8")</f>
        <v>3.8</v>
      </c>
      <c r="G5952" s="4" t="str">
        <f>HYPERLINK("http://141.218.60.56/~jnz1568/getInfo.php?workbook=16_08.xlsx&amp;sheet=U0&amp;row=5952&amp;col=7&amp;number=0.00139&amp;sourceID=14","0.00139")</f>
        <v>0.00139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HYPERLINK("http://141.218.60.56/~jnz1568/getInfo.php?workbook=16_08.xlsx&amp;sheet=U0&amp;row=5953&amp;col=6&amp;number=3.9&amp;sourceID=14","3.9")</f>
        <v>3.9</v>
      </c>
      <c r="G5953" s="4" t="str">
        <f>HYPERLINK("http://141.218.60.56/~jnz1568/getInfo.php?workbook=16_08.xlsx&amp;sheet=U0&amp;row=5953&amp;col=7&amp;number=0.00139&amp;sourceID=14","0.00139")</f>
        <v>0.00139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HYPERLINK("http://141.218.60.56/~jnz1568/getInfo.php?workbook=16_08.xlsx&amp;sheet=U0&amp;row=5954&amp;col=6&amp;number=4&amp;sourceID=14","4")</f>
        <v>4</v>
      </c>
      <c r="G5954" s="4" t="str">
        <f>HYPERLINK("http://141.218.60.56/~jnz1568/getInfo.php?workbook=16_08.xlsx&amp;sheet=U0&amp;row=5954&amp;col=7&amp;number=0.00139&amp;sourceID=14","0.00139")</f>
        <v>0.00139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HYPERLINK("http://141.218.60.56/~jnz1568/getInfo.php?workbook=16_08.xlsx&amp;sheet=U0&amp;row=5955&amp;col=6&amp;number=4.1&amp;sourceID=14","4.1")</f>
        <v>4.1</v>
      </c>
      <c r="G5955" s="4" t="str">
        <f>HYPERLINK("http://141.218.60.56/~jnz1568/getInfo.php?workbook=16_08.xlsx&amp;sheet=U0&amp;row=5955&amp;col=7&amp;number=0.00139&amp;sourceID=14","0.00139")</f>
        <v>0.00139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HYPERLINK("http://141.218.60.56/~jnz1568/getInfo.php?workbook=16_08.xlsx&amp;sheet=U0&amp;row=5956&amp;col=6&amp;number=4.2&amp;sourceID=14","4.2")</f>
        <v>4.2</v>
      </c>
      <c r="G5956" s="4" t="str">
        <f>HYPERLINK("http://141.218.60.56/~jnz1568/getInfo.php?workbook=16_08.xlsx&amp;sheet=U0&amp;row=5956&amp;col=7&amp;number=0.00139&amp;sourceID=14","0.00139")</f>
        <v>0.00139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HYPERLINK("http://141.218.60.56/~jnz1568/getInfo.php?workbook=16_08.xlsx&amp;sheet=U0&amp;row=5957&amp;col=6&amp;number=4.3&amp;sourceID=14","4.3")</f>
        <v>4.3</v>
      </c>
      <c r="G5957" s="4" t="str">
        <f>HYPERLINK("http://141.218.60.56/~jnz1568/getInfo.php?workbook=16_08.xlsx&amp;sheet=U0&amp;row=5957&amp;col=7&amp;number=0.00138&amp;sourceID=14","0.00138")</f>
        <v>0.00138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HYPERLINK("http://141.218.60.56/~jnz1568/getInfo.php?workbook=16_08.xlsx&amp;sheet=U0&amp;row=5958&amp;col=6&amp;number=4.4&amp;sourceID=14","4.4")</f>
        <v>4.4</v>
      </c>
      <c r="G5958" s="4" t="str">
        <f>HYPERLINK("http://141.218.60.56/~jnz1568/getInfo.php?workbook=16_08.xlsx&amp;sheet=U0&amp;row=5958&amp;col=7&amp;number=0.00138&amp;sourceID=14","0.00138")</f>
        <v>0.00138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HYPERLINK("http://141.218.60.56/~jnz1568/getInfo.php?workbook=16_08.xlsx&amp;sheet=U0&amp;row=5959&amp;col=6&amp;number=4.5&amp;sourceID=14","4.5")</f>
        <v>4.5</v>
      </c>
      <c r="G5959" s="4" t="str">
        <f>HYPERLINK("http://141.218.60.56/~jnz1568/getInfo.php?workbook=16_08.xlsx&amp;sheet=U0&amp;row=5959&amp;col=7&amp;number=0.00138&amp;sourceID=14","0.00138")</f>
        <v>0.00138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HYPERLINK("http://141.218.60.56/~jnz1568/getInfo.php?workbook=16_08.xlsx&amp;sheet=U0&amp;row=5960&amp;col=6&amp;number=4.6&amp;sourceID=14","4.6")</f>
        <v>4.6</v>
      </c>
      <c r="G5960" s="4" t="str">
        <f>HYPERLINK("http://141.218.60.56/~jnz1568/getInfo.php?workbook=16_08.xlsx&amp;sheet=U0&amp;row=5960&amp;col=7&amp;number=0.00138&amp;sourceID=14","0.00138")</f>
        <v>0.00138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HYPERLINK("http://141.218.60.56/~jnz1568/getInfo.php?workbook=16_08.xlsx&amp;sheet=U0&amp;row=5961&amp;col=6&amp;number=4.7&amp;sourceID=14","4.7")</f>
        <v>4.7</v>
      </c>
      <c r="G5961" s="4" t="str">
        <f>HYPERLINK("http://141.218.60.56/~jnz1568/getInfo.php?workbook=16_08.xlsx&amp;sheet=U0&amp;row=5961&amp;col=7&amp;number=0.00138&amp;sourceID=14","0.00138")</f>
        <v>0.00138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HYPERLINK("http://141.218.60.56/~jnz1568/getInfo.php?workbook=16_08.xlsx&amp;sheet=U0&amp;row=5962&amp;col=6&amp;number=4.8&amp;sourceID=14","4.8")</f>
        <v>4.8</v>
      </c>
      <c r="G5962" s="4" t="str">
        <f>HYPERLINK("http://141.218.60.56/~jnz1568/getInfo.php?workbook=16_08.xlsx&amp;sheet=U0&amp;row=5962&amp;col=7&amp;number=0.00137&amp;sourceID=14","0.00137")</f>
        <v>0.00137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HYPERLINK("http://141.218.60.56/~jnz1568/getInfo.php?workbook=16_08.xlsx&amp;sheet=U0&amp;row=5963&amp;col=6&amp;number=4.9&amp;sourceID=14","4.9")</f>
        <v>4.9</v>
      </c>
      <c r="G5963" s="4" t="str">
        <f>HYPERLINK("http://141.218.60.56/~jnz1568/getInfo.php?workbook=16_08.xlsx&amp;sheet=U0&amp;row=5963&amp;col=7&amp;number=0.00137&amp;sourceID=14","0.00137")</f>
        <v>0.00137</v>
      </c>
    </row>
    <row r="5964" spans="1:7">
      <c r="A5964" s="3">
        <v>16</v>
      </c>
      <c r="B5964" s="3">
        <v>8</v>
      </c>
      <c r="C5964" s="3">
        <v>4</v>
      </c>
      <c r="D5964" s="3">
        <v>51</v>
      </c>
      <c r="E5964" s="3">
        <v>1</v>
      </c>
      <c r="F5964" s="4" t="str">
        <f>HYPERLINK("http://141.218.60.56/~jnz1568/getInfo.php?workbook=16_08.xlsx&amp;sheet=U0&amp;row=5964&amp;col=6&amp;number=3&amp;sourceID=14","3")</f>
        <v>3</v>
      </c>
      <c r="G5964" s="4" t="str">
        <f>HYPERLINK("http://141.218.60.56/~jnz1568/getInfo.php?workbook=16_08.xlsx&amp;sheet=U0&amp;row=5964&amp;col=7&amp;number=0.00364&amp;sourceID=14","0.00364")</f>
        <v>0.00364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HYPERLINK("http://141.218.60.56/~jnz1568/getInfo.php?workbook=16_08.xlsx&amp;sheet=U0&amp;row=5965&amp;col=6&amp;number=3.1&amp;sourceID=14","3.1")</f>
        <v>3.1</v>
      </c>
      <c r="G5965" s="4" t="str">
        <f>HYPERLINK("http://141.218.60.56/~jnz1568/getInfo.php?workbook=16_08.xlsx&amp;sheet=U0&amp;row=5965&amp;col=7&amp;number=0.00364&amp;sourceID=14","0.00364")</f>
        <v>0.00364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HYPERLINK("http://141.218.60.56/~jnz1568/getInfo.php?workbook=16_08.xlsx&amp;sheet=U0&amp;row=5966&amp;col=6&amp;number=3.2&amp;sourceID=14","3.2")</f>
        <v>3.2</v>
      </c>
      <c r="G5966" s="4" t="str">
        <f>HYPERLINK("http://141.218.60.56/~jnz1568/getInfo.php?workbook=16_08.xlsx&amp;sheet=U0&amp;row=5966&amp;col=7&amp;number=0.00364&amp;sourceID=14","0.00364")</f>
        <v>0.00364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HYPERLINK("http://141.218.60.56/~jnz1568/getInfo.php?workbook=16_08.xlsx&amp;sheet=U0&amp;row=5967&amp;col=6&amp;number=3.3&amp;sourceID=14","3.3")</f>
        <v>3.3</v>
      </c>
      <c r="G5967" s="4" t="str">
        <f>HYPERLINK("http://141.218.60.56/~jnz1568/getInfo.php?workbook=16_08.xlsx&amp;sheet=U0&amp;row=5967&amp;col=7&amp;number=0.00364&amp;sourceID=14","0.00364")</f>
        <v>0.00364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HYPERLINK("http://141.218.60.56/~jnz1568/getInfo.php?workbook=16_08.xlsx&amp;sheet=U0&amp;row=5968&amp;col=6&amp;number=3.4&amp;sourceID=14","3.4")</f>
        <v>3.4</v>
      </c>
      <c r="G5968" s="4" t="str">
        <f>HYPERLINK("http://141.218.60.56/~jnz1568/getInfo.php?workbook=16_08.xlsx&amp;sheet=U0&amp;row=5968&amp;col=7&amp;number=0.00364&amp;sourceID=14","0.00364")</f>
        <v>0.00364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HYPERLINK("http://141.218.60.56/~jnz1568/getInfo.php?workbook=16_08.xlsx&amp;sheet=U0&amp;row=5969&amp;col=6&amp;number=3.5&amp;sourceID=14","3.5")</f>
        <v>3.5</v>
      </c>
      <c r="G5969" s="4" t="str">
        <f>HYPERLINK("http://141.218.60.56/~jnz1568/getInfo.php?workbook=16_08.xlsx&amp;sheet=U0&amp;row=5969&amp;col=7&amp;number=0.00364&amp;sourceID=14","0.00364")</f>
        <v>0.00364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HYPERLINK("http://141.218.60.56/~jnz1568/getInfo.php?workbook=16_08.xlsx&amp;sheet=U0&amp;row=5970&amp;col=6&amp;number=3.6&amp;sourceID=14","3.6")</f>
        <v>3.6</v>
      </c>
      <c r="G5970" s="4" t="str">
        <f>HYPERLINK("http://141.218.60.56/~jnz1568/getInfo.php?workbook=16_08.xlsx&amp;sheet=U0&amp;row=5970&amp;col=7&amp;number=0.00364&amp;sourceID=14","0.00364")</f>
        <v>0.00364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HYPERLINK("http://141.218.60.56/~jnz1568/getInfo.php?workbook=16_08.xlsx&amp;sheet=U0&amp;row=5971&amp;col=6&amp;number=3.7&amp;sourceID=14","3.7")</f>
        <v>3.7</v>
      </c>
      <c r="G5971" s="4" t="str">
        <f>HYPERLINK("http://141.218.60.56/~jnz1568/getInfo.php?workbook=16_08.xlsx&amp;sheet=U0&amp;row=5971&amp;col=7&amp;number=0.00364&amp;sourceID=14","0.00364")</f>
        <v>0.00364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HYPERLINK("http://141.218.60.56/~jnz1568/getInfo.php?workbook=16_08.xlsx&amp;sheet=U0&amp;row=5972&amp;col=6&amp;number=3.8&amp;sourceID=14","3.8")</f>
        <v>3.8</v>
      </c>
      <c r="G5972" s="4" t="str">
        <f>HYPERLINK("http://141.218.60.56/~jnz1568/getInfo.php?workbook=16_08.xlsx&amp;sheet=U0&amp;row=5972&amp;col=7&amp;number=0.00364&amp;sourceID=14","0.00364")</f>
        <v>0.00364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HYPERLINK("http://141.218.60.56/~jnz1568/getInfo.php?workbook=16_08.xlsx&amp;sheet=U0&amp;row=5973&amp;col=6&amp;number=3.9&amp;sourceID=14","3.9")</f>
        <v>3.9</v>
      </c>
      <c r="G5973" s="4" t="str">
        <f>HYPERLINK("http://141.218.60.56/~jnz1568/getInfo.php?workbook=16_08.xlsx&amp;sheet=U0&amp;row=5973&amp;col=7&amp;number=0.00364&amp;sourceID=14","0.00364")</f>
        <v>0.00364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HYPERLINK("http://141.218.60.56/~jnz1568/getInfo.php?workbook=16_08.xlsx&amp;sheet=U0&amp;row=5974&amp;col=6&amp;number=4&amp;sourceID=14","4")</f>
        <v>4</v>
      </c>
      <c r="G5974" s="4" t="str">
        <f>HYPERLINK("http://141.218.60.56/~jnz1568/getInfo.php?workbook=16_08.xlsx&amp;sheet=U0&amp;row=5974&amp;col=7&amp;number=0.00364&amp;sourceID=14","0.00364")</f>
        <v>0.00364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HYPERLINK("http://141.218.60.56/~jnz1568/getInfo.php?workbook=16_08.xlsx&amp;sheet=U0&amp;row=5975&amp;col=6&amp;number=4.1&amp;sourceID=14","4.1")</f>
        <v>4.1</v>
      </c>
      <c r="G5975" s="4" t="str">
        <f>HYPERLINK("http://141.218.60.56/~jnz1568/getInfo.php?workbook=16_08.xlsx&amp;sheet=U0&amp;row=5975&amp;col=7&amp;number=0.00364&amp;sourceID=14","0.00364")</f>
        <v>0.00364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HYPERLINK("http://141.218.60.56/~jnz1568/getInfo.php?workbook=16_08.xlsx&amp;sheet=U0&amp;row=5976&amp;col=6&amp;number=4.2&amp;sourceID=14","4.2")</f>
        <v>4.2</v>
      </c>
      <c r="G5976" s="4" t="str">
        <f>HYPERLINK("http://141.218.60.56/~jnz1568/getInfo.php?workbook=16_08.xlsx&amp;sheet=U0&amp;row=5976&amp;col=7&amp;number=0.00363&amp;sourceID=14","0.00363")</f>
        <v>0.00363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HYPERLINK("http://141.218.60.56/~jnz1568/getInfo.php?workbook=16_08.xlsx&amp;sheet=U0&amp;row=5977&amp;col=6&amp;number=4.3&amp;sourceID=14","4.3")</f>
        <v>4.3</v>
      </c>
      <c r="G5977" s="4" t="str">
        <f>HYPERLINK("http://141.218.60.56/~jnz1568/getInfo.php?workbook=16_08.xlsx&amp;sheet=U0&amp;row=5977&amp;col=7&amp;number=0.00363&amp;sourceID=14","0.00363")</f>
        <v>0.00363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HYPERLINK("http://141.218.60.56/~jnz1568/getInfo.php?workbook=16_08.xlsx&amp;sheet=U0&amp;row=5978&amp;col=6&amp;number=4.4&amp;sourceID=14","4.4")</f>
        <v>4.4</v>
      </c>
      <c r="G5978" s="4" t="str">
        <f>HYPERLINK("http://141.218.60.56/~jnz1568/getInfo.php?workbook=16_08.xlsx&amp;sheet=U0&amp;row=5978&amp;col=7&amp;number=0.00363&amp;sourceID=14","0.00363")</f>
        <v>0.00363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HYPERLINK("http://141.218.60.56/~jnz1568/getInfo.php?workbook=16_08.xlsx&amp;sheet=U0&amp;row=5979&amp;col=6&amp;number=4.5&amp;sourceID=14","4.5")</f>
        <v>4.5</v>
      </c>
      <c r="G5979" s="4" t="str">
        <f>HYPERLINK("http://141.218.60.56/~jnz1568/getInfo.php?workbook=16_08.xlsx&amp;sheet=U0&amp;row=5979&amp;col=7&amp;number=0.00362&amp;sourceID=14","0.00362")</f>
        <v>0.00362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HYPERLINK("http://141.218.60.56/~jnz1568/getInfo.php?workbook=16_08.xlsx&amp;sheet=U0&amp;row=5980&amp;col=6&amp;number=4.6&amp;sourceID=14","4.6")</f>
        <v>4.6</v>
      </c>
      <c r="G5980" s="4" t="str">
        <f>HYPERLINK("http://141.218.60.56/~jnz1568/getInfo.php?workbook=16_08.xlsx&amp;sheet=U0&amp;row=5980&amp;col=7&amp;number=0.00362&amp;sourceID=14","0.00362")</f>
        <v>0.00362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HYPERLINK("http://141.218.60.56/~jnz1568/getInfo.php?workbook=16_08.xlsx&amp;sheet=U0&amp;row=5981&amp;col=6&amp;number=4.7&amp;sourceID=14","4.7")</f>
        <v>4.7</v>
      </c>
      <c r="G5981" s="4" t="str">
        <f>HYPERLINK("http://141.218.60.56/~jnz1568/getInfo.php?workbook=16_08.xlsx&amp;sheet=U0&amp;row=5981&amp;col=7&amp;number=0.00361&amp;sourceID=14","0.00361")</f>
        <v>0.00361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HYPERLINK("http://141.218.60.56/~jnz1568/getInfo.php?workbook=16_08.xlsx&amp;sheet=U0&amp;row=5982&amp;col=6&amp;number=4.8&amp;sourceID=14","4.8")</f>
        <v>4.8</v>
      </c>
      <c r="G5982" s="4" t="str">
        <f>HYPERLINK("http://141.218.60.56/~jnz1568/getInfo.php?workbook=16_08.xlsx&amp;sheet=U0&amp;row=5982&amp;col=7&amp;number=0.0036&amp;sourceID=14","0.0036")</f>
        <v>0.0036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HYPERLINK("http://141.218.60.56/~jnz1568/getInfo.php?workbook=16_08.xlsx&amp;sheet=U0&amp;row=5983&amp;col=6&amp;number=4.9&amp;sourceID=14","4.9")</f>
        <v>4.9</v>
      </c>
      <c r="G5983" s="4" t="str">
        <f>HYPERLINK("http://141.218.60.56/~jnz1568/getInfo.php?workbook=16_08.xlsx&amp;sheet=U0&amp;row=5983&amp;col=7&amp;number=0.00359&amp;sourceID=14","0.00359")</f>
        <v>0.00359</v>
      </c>
    </row>
    <row r="5984" spans="1:7">
      <c r="A5984" s="3">
        <v>16</v>
      </c>
      <c r="B5984" s="3">
        <v>8</v>
      </c>
      <c r="C5984" s="3">
        <v>4</v>
      </c>
      <c r="D5984" s="3">
        <v>52</v>
      </c>
      <c r="E5984" s="3">
        <v>1</v>
      </c>
      <c r="F5984" s="4" t="str">
        <f>HYPERLINK("http://141.218.60.56/~jnz1568/getInfo.php?workbook=16_08.xlsx&amp;sheet=U0&amp;row=5984&amp;col=6&amp;number=3&amp;sourceID=14","3")</f>
        <v>3</v>
      </c>
      <c r="G5984" s="4" t="str">
        <f>HYPERLINK("http://141.218.60.56/~jnz1568/getInfo.php?workbook=16_08.xlsx&amp;sheet=U0&amp;row=5984&amp;col=7&amp;number=0.00851&amp;sourceID=14","0.00851")</f>
        <v>0.00851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HYPERLINK("http://141.218.60.56/~jnz1568/getInfo.php?workbook=16_08.xlsx&amp;sheet=U0&amp;row=5985&amp;col=6&amp;number=3.1&amp;sourceID=14","3.1")</f>
        <v>3.1</v>
      </c>
      <c r="G5985" s="4" t="str">
        <f>HYPERLINK("http://141.218.60.56/~jnz1568/getInfo.php?workbook=16_08.xlsx&amp;sheet=U0&amp;row=5985&amp;col=7&amp;number=0.00851&amp;sourceID=14","0.00851")</f>
        <v>0.00851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HYPERLINK("http://141.218.60.56/~jnz1568/getInfo.php?workbook=16_08.xlsx&amp;sheet=U0&amp;row=5986&amp;col=6&amp;number=3.2&amp;sourceID=14","3.2")</f>
        <v>3.2</v>
      </c>
      <c r="G5986" s="4" t="str">
        <f>HYPERLINK("http://141.218.60.56/~jnz1568/getInfo.php?workbook=16_08.xlsx&amp;sheet=U0&amp;row=5986&amp;col=7&amp;number=0.00851&amp;sourceID=14","0.00851")</f>
        <v>0.00851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HYPERLINK("http://141.218.60.56/~jnz1568/getInfo.php?workbook=16_08.xlsx&amp;sheet=U0&amp;row=5987&amp;col=6&amp;number=3.3&amp;sourceID=14","3.3")</f>
        <v>3.3</v>
      </c>
      <c r="G5987" s="4" t="str">
        <f>HYPERLINK("http://141.218.60.56/~jnz1568/getInfo.php?workbook=16_08.xlsx&amp;sheet=U0&amp;row=5987&amp;col=7&amp;number=0.00851&amp;sourceID=14","0.00851")</f>
        <v>0.00851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HYPERLINK("http://141.218.60.56/~jnz1568/getInfo.php?workbook=16_08.xlsx&amp;sheet=U0&amp;row=5988&amp;col=6&amp;number=3.4&amp;sourceID=14","3.4")</f>
        <v>3.4</v>
      </c>
      <c r="G5988" s="4" t="str">
        <f>HYPERLINK("http://141.218.60.56/~jnz1568/getInfo.php?workbook=16_08.xlsx&amp;sheet=U0&amp;row=5988&amp;col=7&amp;number=0.00851&amp;sourceID=14","0.00851")</f>
        <v>0.00851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HYPERLINK("http://141.218.60.56/~jnz1568/getInfo.php?workbook=16_08.xlsx&amp;sheet=U0&amp;row=5989&amp;col=6&amp;number=3.5&amp;sourceID=14","3.5")</f>
        <v>3.5</v>
      </c>
      <c r="G5989" s="4" t="str">
        <f>HYPERLINK("http://141.218.60.56/~jnz1568/getInfo.php?workbook=16_08.xlsx&amp;sheet=U0&amp;row=5989&amp;col=7&amp;number=0.00851&amp;sourceID=14","0.00851")</f>
        <v>0.00851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HYPERLINK("http://141.218.60.56/~jnz1568/getInfo.php?workbook=16_08.xlsx&amp;sheet=U0&amp;row=5990&amp;col=6&amp;number=3.6&amp;sourceID=14","3.6")</f>
        <v>3.6</v>
      </c>
      <c r="G5990" s="4" t="str">
        <f>HYPERLINK("http://141.218.60.56/~jnz1568/getInfo.php?workbook=16_08.xlsx&amp;sheet=U0&amp;row=5990&amp;col=7&amp;number=0.0085&amp;sourceID=14","0.0085")</f>
        <v>0.0085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HYPERLINK("http://141.218.60.56/~jnz1568/getInfo.php?workbook=16_08.xlsx&amp;sheet=U0&amp;row=5991&amp;col=6&amp;number=3.7&amp;sourceID=14","3.7")</f>
        <v>3.7</v>
      </c>
      <c r="G5991" s="4" t="str">
        <f>HYPERLINK("http://141.218.60.56/~jnz1568/getInfo.php?workbook=16_08.xlsx&amp;sheet=U0&amp;row=5991&amp;col=7&amp;number=0.0085&amp;sourceID=14","0.0085")</f>
        <v>0.0085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HYPERLINK("http://141.218.60.56/~jnz1568/getInfo.php?workbook=16_08.xlsx&amp;sheet=U0&amp;row=5992&amp;col=6&amp;number=3.8&amp;sourceID=14","3.8")</f>
        <v>3.8</v>
      </c>
      <c r="G5992" s="4" t="str">
        <f>HYPERLINK("http://141.218.60.56/~jnz1568/getInfo.php?workbook=16_08.xlsx&amp;sheet=U0&amp;row=5992&amp;col=7&amp;number=0.0085&amp;sourceID=14","0.0085")</f>
        <v>0.0085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HYPERLINK("http://141.218.60.56/~jnz1568/getInfo.php?workbook=16_08.xlsx&amp;sheet=U0&amp;row=5993&amp;col=6&amp;number=3.9&amp;sourceID=14","3.9")</f>
        <v>3.9</v>
      </c>
      <c r="G5993" s="4" t="str">
        <f>HYPERLINK("http://141.218.60.56/~jnz1568/getInfo.php?workbook=16_08.xlsx&amp;sheet=U0&amp;row=5993&amp;col=7&amp;number=0.0085&amp;sourceID=14","0.0085")</f>
        <v>0.0085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HYPERLINK("http://141.218.60.56/~jnz1568/getInfo.php?workbook=16_08.xlsx&amp;sheet=U0&amp;row=5994&amp;col=6&amp;number=4&amp;sourceID=14","4")</f>
        <v>4</v>
      </c>
      <c r="G5994" s="4" t="str">
        <f>HYPERLINK("http://141.218.60.56/~jnz1568/getInfo.php?workbook=16_08.xlsx&amp;sheet=U0&amp;row=5994&amp;col=7&amp;number=0.0085&amp;sourceID=14","0.0085")</f>
        <v>0.0085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HYPERLINK("http://141.218.60.56/~jnz1568/getInfo.php?workbook=16_08.xlsx&amp;sheet=U0&amp;row=5995&amp;col=6&amp;number=4.1&amp;sourceID=14","4.1")</f>
        <v>4.1</v>
      </c>
      <c r="G5995" s="4" t="str">
        <f>HYPERLINK("http://141.218.60.56/~jnz1568/getInfo.php?workbook=16_08.xlsx&amp;sheet=U0&amp;row=5995&amp;col=7&amp;number=0.00849&amp;sourceID=14","0.00849")</f>
        <v>0.00849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HYPERLINK("http://141.218.60.56/~jnz1568/getInfo.php?workbook=16_08.xlsx&amp;sheet=U0&amp;row=5996&amp;col=6&amp;number=4.2&amp;sourceID=14","4.2")</f>
        <v>4.2</v>
      </c>
      <c r="G5996" s="4" t="str">
        <f>HYPERLINK("http://141.218.60.56/~jnz1568/getInfo.php?workbook=16_08.xlsx&amp;sheet=U0&amp;row=5996&amp;col=7&amp;number=0.00849&amp;sourceID=14","0.00849")</f>
        <v>0.00849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HYPERLINK("http://141.218.60.56/~jnz1568/getInfo.php?workbook=16_08.xlsx&amp;sheet=U0&amp;row=5997&amp;col=6&amp;number=4.3&amp;sourceID=14","4.3")</f>
        <v>4.3</v>
      </c>
      <c r="G5997" s="4" t="str">
        <f>HYPERLINK("http://141.218.60.56/~jnz1568/getInfo.php?workbook=16_08.xlsx&amp;sheet=U0&amp;row=5997&amp;col=7&amp;number=0.00848&amp;sourceID=14","0.00848")</f>
        <v>0.00848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HYPERLINK("http://141.218.60.56/~jnz1568/getInfo.php?workbook=16_08.xlsx&amp;sheet=U0&amp;row=5998&amp;col=6&amp;number=4.4&amp;sourceID=14","4.4")</f>
        <v>4.4</v>
      </c>
      <c r="G5998" s="4" t="str">
        <f>HYPERLINK("http://141.218.60.56/~jnz1568/getInfo.php?workbook=16_08.xlsx&amp;sheet=U0&amp;row=5998&amp;col=7&amp;number=0.00847&amp;sourceID=14","0.00847")</f>
        <v>0.00847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HYPERLINK("http://141.218.60.56/~jnz1568/getInfo.php?workbook=16_08.xlsx&amp;sheet=U0&amp;row=5999&amp;col=6&amp;number=4.5&amp;sourceID=14","4.5")</f>
        <v>4.5</v>
      </c>
      <c r="G5999" s="4" t="str">
        <f>HYPERLINK("http://141.218.60.56/~jnz1568/getInfo.php?workbook=16_08.xlsx&amp;sheet=U0&amp;row=5999&amp;col=7&amp;number=0.00846&amp;sourceID=14","0.00846")</f>
        <v>0.00846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HYPERLINK("http://141.218.60.56/~jnz1568/getInfo.php?workbook=16_08.xlsx&amp;sheet=U0&amp;row=6000&amp;col=6&amp;number=4.6&amp;sourceID=14","4.6")</f>
        <v>4.6</v>
      </c>
      <c r="G6000" s="4" t="str">
        <f>HYPERLINK("http://141.218.60.56/~jnz1568/getInfo.php?workbook=16_08.xlsx&amp;sheet=U0&amp;row=6000&amp;col=7&amp;number=0.00845&amp;sourceID=14","0.00845")</f>
        <v>0.00845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HYPERLINK("http://141.218.60.56/~jnz1568/getInfo.php?workbook=16_08.xlsx&amp;sheet=U0&amp;row=6001&amp;col=6&amp;number=4.7&amp;sourceID=14","4.7")</f>
        <v>4.7</v>
      </c>
      <c r="G6001" s="4" t="str">
        <f>HYPERLINK("http://141.218.60.56/~jnz1568/getInfo.php?workbook=16_08.xlsx&amp;sheet=U0&amp;row=6001&amp;col=7&amp;number=0.00843&amp;sourceID=14","0.00843")</f>
        <v>0.00843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HYPERLINK("http://141.218.60.56/~jnz1568/getInfo.php?workbook=16_08.xlsx&amp;sheet=U0&amp;row=6002&amp;col=6&amp;number=4.8&amp;sourceID=14","4.8")</f>
        <v>4.8</v>
      </c>
      <c r="G6002" s="4" t="str">
        <f>HYPERLINK("http://141.218.60.56/~jnz1568/getInfo.php?workbook=16_08.xlsx&amp;sheet=U0&amp;row=6002&amp;col=7&amp;number=0.00841&amp;sourceID=14","0.00841")</f>
        <v>0.00841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HYPERLINK("http://141.218.60.56/~jnz1568/getInfo.php?workbook=16_08.xlsx&amp;sheet=U0&amp;row=6003&amp;col=6&amp;number=4.9&amp;sourceID=14","4.9")</f>
        <v>4.9</v>
      </c>
      <c r="G6003" s="4" t="str">
        <f>HYPERLINK("http://141.218.60.56/~jnz1568/getInfo.php?workbook=16_08.xlsx&amp;sheet=U0&amp;row=6003&amp;col=7&amp;number=0.00839&amp;sourceID=14","0.00839")</f>
        <v>0.00839</v>
      </c>
    </row>
    <row r="6004" spans="1:7">
      <c r="A6004" s="3">
        <v>16</v>
      </c>
      <c r="B6004" s="3">
        <v>8</v>
      </c>
      <c r="C6004" s="3">
        <v>4</v>
      </c>
      <c r="D6004" s="3">
        <v>53</v>
      </c>
      <c r="E6004" s="3">
        <v>1</v>
      </c>
      <c r="F6004" s="4" t="str">
        <f>HYPERLINK("http://141.218.60.56/~jnz1568/getInfo.php?workbook=16_08.xlsx&amp;sheet=U0&amp;row=6004&amp;col=6&amp;number=3&amp;sourceID=14","3")</f>
        <v>3</v>
      </c>
      <c r="G6004" s="4" t="str">
        <f>HYPERLINK("http://141.218.60.56/~jnz1568/getInfo.php?workbook=16_08.xlsx&amp;sheet=U0&amp;row=6004&amp;col=7&amp;number=0.00613&amp;sourceID=14","0.00613")</f>
        <v>0.00613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HYPERLINK("http://141.218.60.56/~jnz1568/getInfo.php?workbook=16_08.xlsx&amp;sheet=U0&amp;row=6005&amp;col=6&amp;number=3.1&amp;sourceID=14","3.1")</f>
        <v>3.1</v>
      </c>
      <c r="G6005" s="4" t="str">
        <f>HYPERLINK("http://141.218.60.56/~jnz1568/getInfo.php?workbook=16_08.xlsx&amp;sheet=U0&amp;row=6005&amp;col=7&amp;number=0.00613&amp;sourceID=14","0.00613")</f>
        <v>0.00613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HYPERLINK("http://141.218.60.56/~jnz1568/getInfo.php?workbook=16_08.xlsx&amp;sheet=U0&amp;row=6006&amp;col=6&amp;number=3.2&amp;sourceID=14","3.2")</f>
        <v>3.2</v>
      </c>
      <c r="G6006" s="4" t="str">
        <f>HYPERLINK("http://141.218.60.56/~jnz1568/getInfo.php?workbook=16_08.xlsx&amp;sheet=U0&amp;row=6006&amp;col=7&amp;number=0.00613&amp;sourceID=14","0.00613")</f>
        <v>0.00613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HYPERLINK("http://141.218.60.56/~jnz1568/getInfo.php?workbook=16_08.xlsx&amp;sheet=U0&amp;row=6007&amp;col=6&amp;number=3.3&amp;sourceID=14","3.3")</f>
        <v>3.3</v>
      </c>
      <c r="G6007" s="4" t="str">
        <f>HYPERLINK("http://141.218.60.56/~jnz1568/getInfo.php?workbook=16_08.xlsx&amp;sheet=U0&amp;row=6007&amp;col=7&amp;number=0.00613&amp;sourceID=14","0.00613")</f>
        <v>0.00613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HYPERLINK("http://141.218.60.56/~jnz1568/getInfo.php?workbook=16_08.xlsx&amp;sheet=U0&amp;row=6008&amp;col=6&amp;number=3.4&amp;sourceID=14","3.4")</f>
        <v>3.4</v>
      </c>
      <c r="G6008" s="4" t="str">
        <f>HYPERLINK("http://141.218.60.56/~jnz1568/getInfo.php?workbook=16_08.xlsx&amp;sheet=U0&amp;row=6008&amp;col=7&amp;number=0.00613&amp;sourceID=14","0.00613")</f>
        <v>0.00613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HYPERLINK("http://141.218.60.56/~jnz1568/getInfo.php?workbook=16_08.xlsx&amp;sheet=U0&amp;row=6009&amp;col=6&amp;number=3.5&amp;sourceID=14","3.5")</f>
        <v>3.5</v>
      </c>
      <c r="G6009" s="4" t="str">
        <f>HYPERLINK("http://141.218.60.56/~jnz1568/getInfo.php?workbook=16_08.xlsx&amp;sheet=U0&amp;row=6009&amp;col=7&amp;number=0.00613&amp;sourceID=14","0.00613")</f>
        <v>0.00613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HYPERLINK("http://141.218.60.56/~jnz1568/getInfo.php?workbook=16_08.xlsx&amp;sheet=U0&amp;row=6010&amp;col=6&amp;number=3.6&amp;sourceID=14","3.6")</f>
        <v>3.6</v>
      </c>
      <c r="G6010" s="4" t="str">
        <f>HYPERLINK("http://141.218.60.56/~jnz1568/getInfo.php?workbook=16_08.xlsx&amp;sheet=U0&amp;row=6010&amp;col=7&amp;number=0.00613&amp;sourceID=14","0.00613")</f>
        <v>0.00613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HYPERLINK("http://141.218.60.56/~jnz1568/getInfo.php?workbook=16_08.xlsx&amp;sheet=U0&amp;row=6011&amp;col=6&amp;number=3.7&amp;sourceID=14","3.7")</f>
        <v>3.7</v>
      </c>
      <c r="G6011" s="4" t="str">
        <f>HYPERLINK("http://141.218.60.56/~jnz1568/getInfo.php?workbook=16_08.xlsx&amp;sheet=U0&amp;row=6011&amp;col=7&amp;number=0.00613&amp;sourceID=14","0.00613")</f>
        <v>0.00613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HYPERLINK("http://141.218.60.56/~jnz1568/getInfo.php?workbook=16_08.xlsx&amp;sheet=U0&amp;row=6012&amp;col=6&amp;number=3.8&amp;sourceID=14","3.8")</f>
        <v>3.8</v>
      </c>
      <c r="G6012" s="4" t="str">
        <f>HYPERLINK("http://141.218.60.56/~jnz1568/getInfo.php?workbook=16_08.xlsx&amp;sheet=U0&amp;row=6012&amp;col=7&amp;number=0.00612&amp;sourceID=14","0.00612")</f>
        <v>0.00612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HYPERLINK("http://141.218.60.56/~jnz1568/getInfo.php?workbook=16_08.xlsx&amp;sheet=U0&amp;row=6013&amp;col=6&amp;number=3.9&amp;sourceID=14","3.9")</f>
        <v>3.9</v>
      </c>
      <c r="G6013" s="4" t="str">
        <f>HYPERLINK("http://141.218.60.56/~jnz1568/getInfo.php?workbook=16_08.xlsx&amp;sheet=U0&amp;row=6013&amp;col=7&amp;number=0.00612&amp;sourceID=14","0.00612")</f>
        <v>0.00612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HYPERLINK("http://141.218.60.56/~jnz1568/getInfo.php?workbook=16_08.xlsx&amp;sheet=U0&amp;row=6014&amp;col=6&amp;number=4&amp;sourceID=14","4")</f>
        <v>4</v>
      </c>
      <c r="G6014" s="4" t="str">
        <f>HYPERLINK("http://141.218.60.56/~jnz1568/getInfo.php?workbook=16_08.xlsx&amp;sheet=U0&amp;row=6014&amp;col=7&amp;number=0.00612&amp;sourceID=14","0.00612")</f>
        <v>0.00612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HYPERLINK("http://141.218.60.56/~jnz1568/getInfo.php?workbook=16_08.xlsx&amp;sheet=U0&amp;row=6015&amp;col=6&amp;number=4.1&amp;sourceID=14","4.1")</f>
        <v>4.1</v>
      </c>
      <c r="G6015" s="4" t="str">
        <f>HYPERLINK("http://141.218.60.56/~jnz1568/getInfo.php?workbook=16_08.xlsx&amp;sheet=U0&amp;row=6015&amp;col=7&amp;number=0.00611&amp;sourceID=14","0.00611")</f>
        <v>0.00611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HYPERLINK("http://141.218.60.56/~jnz1568/getInfo.php?workbook=16_08.xlsx&amp;sheet=U0&amp;row=6016&amp;col=6&amp;number=4.2&amp;sourceID=14","4.2")</f>
        <v>4.2</v>
      </c>
      <c r="G6016" s="4" t="str">
        <f>HYPERLINK("http://141.218.60.56/~jnz1568/getInfo.php?workbook=16_08.xlsx&amp;sheet=U0&amp;row=6016&amp;col=7&amp;number=0.00611&amp;sourceID=14","0.00611")</f>
        <v>0.00611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HYPERLINK("http://141.218.60.56/~jnz1568/getInfo.php?workbook=16_08.xlsx&amp;sheet=U0&amp;row=6017&amp;col=6&amp;number=4.3&amp;sourceID=14","4.3")</f>
        <v>4.3</v>
      </c>
      <c r="G6017" s="4" t="str">
        <f>HYPERLINK("http://141.218.60.56/~jnz1568/getInfo.php?workbook=16_08.xlsx&amp;sheet=U0&amp;row=6017&amp;col=7&amp;number=0.0061&amp;sourceID=14","0.0061")</f>
        <v>0.0061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HYPERLINK("http://141.218.60.56/~jnz1568/getInfo.php?workbook=16_08.xlsx&amp;sheet=U0&amp;row=6018&amp;col=6&amp;number=4.4&amp;sourceID=14","4.4")</f>
        <v>4.4</v>
      </c>
      <c r="G6018" s="4" t="str">
        <f>HYPERLINK("http://141.218.60.56/~jnz1568/getInfo.php?workbook=16_08.xlsx&amp;sheet=U0&amp;row=6018&amp;col=7&amp;number=0.00609&amp;sourceID=14","0.00609")</f>
        <v>0.00609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HYPERLINK("http://141.218.60.56/~jnz1568/getInfo.php?workbook=16_08.xlsx&amp;sheet=U0&amp;row=6019&amp;col=6&amp;number=4.5&amp;sourceID=14","4.5")</f>
        <v>4.5</v>
      </c>
      <c r="G6019" s="4" t="str">
        <f>HYPERLINK("http://141.218.60.56/~jnz1568/getInfo.php?workbook=16_08.xlsx&amp;sheet=U0&amp;row=6019&amp;col=7&amp;number=0.00608&amp;sourceID=14","0.00608")</f>
        <v>0.00608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HYPERLINK("http://141.218.60.56/~jnz1568/getInfo.php?workbook=16_08.xlsx&amp;sheet=U0&amp;row=6020&amp;col=6&amp;number=4.6&amp;sourceID=14","4.6")</f>
        <v>4.6</v>
      </c>
      <c r="G6020" s="4" t="str">
        <f>HYPERLINK("http://141.218.60.56/~jnz1568/getInfo.php?workbook=16_08.xlsx&amp;sheet=U0&amp;row=6020&amp;col=7&amp;number=0.00606&amp;sourceID=14","0.00606")</f>
        <v>0.00606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HYPERLINK("http://141.218.60.56/~jnz1568/getInfo.php?workbook=16_08.xlsx&amp;sheet=U0&amp;row=6021&amp;col=6&amp;number=4.7&amp;sourceID=14","4.7")</f>
        <v>4.7</v>
      </c>
      <c r="G6021" s="4" t="str">
        <f>HYPERLINK("http://141.218.60.56/~jnz1568/getInfo.php?workbook=16_08.xlsx&amp;sheet=U0&amp;row=6021&amp;col=7&amp;number=0.00604&amp;sourceID=14","0.00604")</f>
        <v>0.00604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HYPERLINK("http://141.218.60.56/~jnz1568/getInfo.php?workbook=16_08.xlsx&amp;sheet=U0&amp;row=6022&amp;col=6&amp;number=4.8&amp;sourceID=14","4.8")</f>
        <v>4.8</v>
      </c>
      <c r="G6022" s="4" t="str">
        <f>HYPERLINK("http://141.218.60.56/~jnz1568/getInfo.php?workbook=16_08.xlsx&amp;sheet=U0&amp;row=6022&amp;col=7&amp;number=0.00602&amp;sourceID=14","0.00602")</f>
        <v>0.00602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HYPERLINK("http://141.218.60.56/~jnz1568/getInfo.php?workbook=16_08.xlsx&amp;sheet=U0&amp;row=6023&amp;col=6&amp;number=4.9&amp;sourceID=14","4.9")</f>
        <v>4.9</v>
      </c>
      <c r="G6023" s="4" t="str">
        <f>HYPERLINK("http://141.218.60.56/~jnz1568/getInfo.php?workbook=16_08.xlsx&amp;sheet=U0&amp;row=6023&amp;col=7&amp;number=0.00599&amp;sourceID=14","0.00599")</f>
        <v>0.00599</v>
      </c>
    </row>
    <row r="6024" spans="1:7">
      <c r="A6024" s="3">
        <v>16</v>
      </c>
      <c r="B6024" s="3">
        <v>8</v>
      </c>
      <c r="C6024" s="3">
        <v>4</v>
      </c>
      <c r="D6024" s="3">
        <v>54</v>
      </c>
      <c r="E6024" s="3">
        <v>1</v>
      </c>
      <c r="F6024" s="4" t="str">
        <f>HYPERLINK("http://141.218.60.56/~jnz1568/getInfo.php?workbook=16_08.xlsx&amp;sheet=U0&amp;row=6024&amp;col=6&amp;number=3&amp;sourceID=14","3")</f>
        <v>3</v>
      </c>
      <c r="G6024" s="4" t="str">
        <f>HYPERLINK("http://141.218.60.56/~jnz1568/getInfo.php?workbook=16_08.xlsx&amp;sheet=U0&amp;row=6024&amp;col=7&amp;number=0.00205&amp;sourceID=14","0.00205")</f>
        <v>0.00205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HYPERLINK("http://141.218.60.56/~jnz1568/getInfo.php?workbook=16_08.xlsx&amp;sheet=U0&amp;row=6025&amp;col=6&amp;number=3.1&amp;sourceID=14","3.1")</f>
        <v>3.1</v>
      </c>
      <c r="G6025" s="4" t="str">
        <f>HYPERLINK("http://141.218.60.56/~jnz1568/getInfo.php?workbook=16_08.xlsx&amp;sheet=U0&amp;row=6025&amp;col=7&amp;number=0.00205&amp;sourceID=14","0.00205")</f>
        <v>0.00205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HYPERLINK("http://141.218.60.56/~jnz1568/getInfo.php?workbook=16_08.xlsx&amp;sheet=U0&amp;row=6026&amp;col=6&amp;number=3.2&amp;sourceID=14","3.2")</f>
        <v>3.2</v>
      </c>
      <c r="G6026" s="4" t="str">
        <f>HYPERLINK("http://141.218.60.56/~jnz1568/getInfo.php?workbook=16_08.xlsx&amp;sheet=U0&amp;row=6026&amp;col=7&amp;number=0.00205&amp;sourceID=14","0.00205")</f>
        <v>0.00205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HYPERLINK("http://141.218.60.56/~jnz1568/getInfo.php?workbook=16_08.xlsx&amp;sheet=U0&amp;row=6027&amp;col=6&amp;number=3.3&amp;sourceID=14","3.3")</f>
        <v>3.3</v>
      </c>
      <c r="G6027" s="4" t="str">
        <f>HYPERLINK("http://141.218.60.56/~jnz1568/getInfo.php?workbook=16_08.xlsx&amp;sheet=U0&amp;row=6027&amp;col=7&amp;number=0.00205&amp;sourceID=14","0.00205")</f>
        <v>0.00205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HYPERLINK("http://141.218.60.56/~jnz1568/getInfo.php?workbook=16_08.xlsx&amp;sheet=U0&amp;row=6028&amp;col=6&amp;number=3.4&amp;sourceID=14","3.4")</f>
        <v>3.4</v>
      </c>
      <c r="G6028" s="4" t="str">
        <f>HYPERLINK("http://141.218.60.56/~jnz1568/getInfo.php?workbook=16_08.xlsx&amp;sheet=U0&amp;row=6028&amp;col=7&amp;number=0.00205&amp;sourceID=14","0.00205")</f>
        <v>0.00205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HYPERLINK("http://141.218.60.56/~jnz1568/getInfo.php?workbook=16_08.xlsx&amp;sheet=U0&amp;row=6029&amp;col=6&amp;number=3.5&amp;sourceID=14","3.5")</f>
        <v>3.5</v>
      </c>
      <c r="G6029" s="4" t="str">
        <f>HYPERLINK("http://141.218.60.56/~jnz1568/getInfo.php?workbook=16_08.xlsx&amp;sheet=U0&amp;row=6029&amp;col=7&amp;number=0.00205&amp;sourceID=14","0.00205")</f>
        <v>0.00205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HYPERLINK("http://141.218.60.56/~jnz1568/getInfo.php?workbook=16_08.xlsx&amp;sheet=U0&amp;row=6030&amp;col=6&amp;number=3.6&amp;sourceID=14","3.6")</f>
        <v>3.6</v>
      </c>
      <c r="G6030" s="4" t="str">
        <f>HYPERLINK("http://141.218.60.56/~jnz1568/getInfo.php?workbook=16_08.xlsx&amp;sheet=U0&amp;row=6030&amp;col=7&amp;number=0.00205&amp;sourceID=14","0.00205")</f>
        <v>0.00205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HYPERLINK("http://141.218.60.56/~jnz1568/getInfo.php?workbook=16_08.xlsx&amp;sheet=U0&amp;row=6031&amp;col=6&amp;number=3.7&amp;sourceID=14","3.7")</f>
        <v>3.7</v>
      </c>
      <c r="G6031" s="4" t="str">
        <f>HYPERLINK("http://141.218.60.56/~jnz1568/getInfo.php?workbook=16_08.xlsx&amp;sheet=U0&amp;row=6031&amp;col=7&amp;number=0.00205&amp;sourceID=14","0.00205")</f>
        <v>0.00205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HYPERLINK("http://141.218.60.56/~jnz1568/getInfo.php?workbook=16_08.xlsx&amp;sheet=U0&amp;row=6032&amp;col=6&amp;number=3.8&amp;sourceID=14","3.8")</f>
        <v>3.8</v>
      </c>
      <c r="G6032" s="4" t="str">
        <f>HYPERLINK("http://141.218.60.56/~jnz1568/getInfo.php?workbook=16_08.xlsx&amp;sheet=U0&amp;row=6032&amp;col=7&amp;number=0.00205&amp;sourceID=14","0.00205")</f>
        <v>0.00205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HYPERLINK("http://141.218.60.56/~jnz1568/getInfo.php?workbook=16_08.xlsx&amp;sheet=U0&amp;row=6033&amp;col=6&amp;number=3.9&amp;sourceID=14","3.9")</f>
        <v>3.9</v>
      </c>
      <c r="G6033" s="4" t="str">
        <f>HYPERLINK("http://141.218.60.56/~jnz1568/getInfo.php?workbook=16_08.xlsx&amp;sheet=U0&amp;row=6033&amp;col=7&amp;number=0.00205&amp;sourceID=14","0.00205")</f>
        <v>0.00205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HYPERLINK("http://141.218.60.56/~jnz1568/getInfo.php?workbook=16_08.xlsx&amp;sheet=U0&amp;row=6034&amp;col=6&amp;number=4&amp;sourceID=14","4")</f>
        <v>4</v>
      </c>
      <c r="G6034" s="4" t="str">
        <f>HYPERLINK("http://141.218.60.56/~jnz1568/getInfo.php?workbook=16_08.xlsx&amp;sheet=U0&amp;row=6034&amp;col=7&amp;number=0.00204&amp;sourceID=14","0.00204")</f>
        <v>0.00204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HYPERLINK("http://141.218.60.56/~jnz1568/getInfo.php?workbook=16_08.xlsx&amp;sheet=U0&amp;row=6035&amp;col=6&amp;number=4.1&amp;sourceID=14","4.1")</f>
        <v>4.1</v>
      </c>
      <c r="G6035" s="4" t="str">
        <f>HYPERLINK("http://141.218.60.56/~jnz1568/getInfo.php?workbook=16_08.xlsx&amp;sheet=U0&amp;row=6035&amp;col=7&amp;number=0.00204&amp;sourceID=14","0.00204")</f>
        <v>0.00204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HYPERLINK("http://141.218.60.56/~jnz1568/getInfo.php?workbook=16_08.xlsx&amp;sheet=U0&amp;row=6036&amp;col=6&amp;number=4.2&amp;sourceID=14","4.2")</f>
        <v>4.2</v>
      </c>
      <c r="G6036" s="4" t="str">
        <f>HYPERLINK("http://141.218.60.56/~jnz1568/getInfo.php?workbook=16_08.xlsx&amp;sheet=U0&amp;row=6036&amp;col=7&amp;number=0.00204&amp;sourceID=14","0.00204")</f>
        <v>0.00204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HYPERLINK("http://141.218.60.56/~jnz1568/getInfo.php?workbook=16_08.xlsx&amp;sheet=U0&amp;row=6037&amp;col=6&amp;number=4.3&amp;sourceID=14","4.3")</f>
        <v>4.3</v>
      </c>
      <c r="G6037" s="4" t="str">
        <f>HYPERLINK("http://141.218.60.56/~jnz1568/getInfo.php?workbook=16_08.xlsx&amp;sheet=U0&amp;row=6037&amp;col=7&amp;number=0.00204&amp;sourceID=14","0.00204")</f>
        <v>0.00204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HYPERLINK("http://141.218.60.56/~jnz1568/getInfo.php?workbook=16_08.xlsx&amp;sheet=U0&amp;row=6038&amp;col=6&amp;number=4.4&amp;sourceID=14","4.4")</f>
        <v>4.4</v>
      </c>
      <c r="G6038" s="4" t="str">
        <f>HYPERLINK("http://141.218.60.56/~jnz1568/getInfo.php?workbook=16_08.xlsx&amp;sheet=U0&amp;row=6038&amp;col=7&amp;number=0.00204&amp;sourceID=14","0.00204")</f>
        <v>0.00204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HYPERLINK("http://141.218.60.56/~jnz1568/getInfo.php?workbook=16_08.xlsx&amp;sheet=U0&amp;row=6039&amp;col=6&amp;number=4.5&amp;sourceID=14","4.5")</f>
        <v>4.5</v>
      </c>
      <c r="G6039" s="4" t="str">
        <f>HYPERLINK("http://141.218.60.56/~jnz1568/getInfo.php?workbook=16_08.xlsx&amp;sheet=U0&amp;row=6039&amp;col=7&amp;number=0.00203&amp;sourceID=14","0.00203")</f>
        <v>0.00203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HYPERLINK("http://141.218.60.56/~jnz1568/getInfo.php?workbook=16_08.xlsx&amp;sheet=U0&amp;row=6040&amp;col=6&amp;number=4.6&amp;sourceID=14","4.6")</f>
        <v>4.6</v>
      </c>
      <c r="G6040" s="4" t="str">
        <f>HYPERLINK("http://141.218.60.56/~jnz1568/getInfo.php?workbook=16_08.xlsx&amp;sheet=U0&amp;row=6040&amp;col=7&amp;number=0.00203&amp;sourceID=14","0.00203")</f>
        <v>0.00203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HYPERLINK("http://141.218.60.56/~jnz1568/getInfo.php?workbook=16_08.xlsx&amp;sheet=U0&amp;row=6041&amp;col=6&amp;number=4.7&amp;sourceID=14","4.7")</f>
        <v>4.7</v>
      </c>
      <c r="G6041" s="4" t="str">
        <f>HYPERLINK("http://141.218.60.56/~jnz1568/getInfo.php?workbook=16_08.xlsx&amp;sheet=U0&amp;row=6041&amp;col=7&amp;number=0.00202&amp;sourceID=14","0.00202")</f>
        <v>0.00202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HYPERLINK("http://141.218.60.56/~jnz1568/getInfo.php?workbook=16_08.xlsx&amp;sheet=U0&amp;row=6042&amp;col=6&amp;number=4.8&amp;sourceID=14","4.8")</f>
        <v>4.8</v>
      </c>
      <c r="G6042" s="4" t="str">
        <f>HYPERLINK("http://141.218.60.56/~jnz1568/getInfo.php?workbook=16_08.xlsx&amp;sheet=U0&amp;row=6042&amp;col=7&amp;number=0.00201&amp;sourceID=14","0.00201")</f>
        <v>0.00201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HYPERLINK("http://141.218.60.56/~jnz1568/getInfo.php?workbook=16_08.xlsx&amp;sheet=U0&amp;row=6043&amp;col=6&amp;number=4.9&amp;sourceID=14","4.9")</f>
        <v>4.9</v>
      </c>
      <c r="G6043" s="4" t="str">
        <f>HYPERLINK("http://141.218.60.56/~jnz1568/getInfo.php?workbook=16_08.xlsx&amp;sheet=U0&amp;row=6043&amp;col=7&amp;number=0.002&amp;sourceID=14","0.002")</f>
        <v>0.002</v>
      </c>
    </row>
    <row r="6044" spans="1:7">
      <c r="A6044" s="3">
        <v>16</v>
      </c>
      <c r="B6044" s="3">
        <v>8</v>
      </c>
      <c r="C6044" s="3">
        <v>4</v>
      </c>
      <c r="D6044" s="3">
        <v>55</v>
      </c>
      <c r="E6044" s="3">
        <v>1</v>
      </c>
      <c r="F6044" s="4" t="str">
        <f>HYPERLINK("http://141.218.60.56/~jnz1568/getInfo.php?workbook=16_08.xlsx&amp;sheet=U0&amp;row=6044&amp;col=6&amp;number=3&amp;sourceID=14","3")</f>
        <v>3</v>
      </c>
      <c r="G6044" s="4" t="str">
        <f>HYPERLINK("http://141.218.60.56/~jnz1568/getInfo.php?workbook=16_08.xlsx&amp;sheet=U0&amp;row=6044&amp;col=7&amp;number=0.46&amp;sourceID=14","0.46")</f>
        <v>0.46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HYPERLINK("http://141.218.60.56/~jnz1568/getInfo.php?workbook=16_08.xlsx&amp;sheet=U0&amp;row=6045&amp;col=6&amp;number=3.1&amp;sourceID=14","3.1")</f>
        <v>3.1</v>
      </c>
      <c r="G6045" s="4" t="str">
        <f>HYPERLINK("http://141.218.60.56/~jnz1568/getInfo.php?workbook=16_08.xlsx&amp;sheet=U0&amp;row=6045&amp;col=7&amp;number=0.46&amp;sourceID=14","0.46")</f>
        <v>0.46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HYPERLINK("http://141.218.60.56/~jnz1568/getInfo.php?workbook=16_08.xlsx&amp;sheet=U0&amp;row=6046&amp;col=6&amp;number=3.2&amp;sourceID=14","3.2")</f>
        <v>3.2</v>
      </c>
      <c r="G6046" s="4" t="str">
        <f>HYPERLINK("http://141.218.60.56/~jnz1568/getInfo.php?workbook=16_08.xlsx&amp;sheet=U0&amp;row=6046&amp;col=7&amp;number=0.46&amp;sourceID=14","0.46")</f>
        <v>0.46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HYPERLINK("http://141.218.60.56/~jnz1568/getInfo.php?workbook=16_08.xlsx&amp;sheet=U0&amp;row=6047&amp;col=6&amp;number=3.3&amp;sourceID=14","3.3")</f>
        <v>3.3</v>
      </c>
      <c r="G6047" s="4" t="str">
        <f>HYPERLINK("http://141.218.60.56/~jnz1568/getInfo.php?workbook=16_08.xlsx&amp;sheet=U0&amp;row=6047&amp;col=7&amp;number=0.46&amp;sourceID=14","0.46")</f>
        <v>0.46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HYPERLINK("http://141.218.60.56/~jnz1568/getInfo.php?workbook=16_08.xlsx&amp;sheet=U0&amp;row=6048&amp;col=6&amp;number=3.4&amp;sourceID=14","3.4")</f>
        <v>3.4</v>
      </c>
      <c r="G6048" s="4" t="str">
        <f>HYPERLINK("http://141.218.60.56/~jnz1568/getInfo.php?workbook=16_08.xlsx&amp;sheet=U0&amp;row=6048&amp;col=7&amp;number=0.46&amp;sourceID=14","0.46")</f>
        <v>0.46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HYPERLINK("http://141.218.60.56/~jnz1568/getInfo.php?workbook=16_08.xlsx&amp;sheet=U0&amp;row=6049&amp;col=6&amp;number=3.5&amp;sourceID=14","3.5")</f>
        <v>3.5</v>
      </c>
      <c r="G6049" s="4" t="str">
        <f>HYPERLINK("http://141.218.60.56/~jnz1568/getInfo.php?workbook=16_08.xlsx&amp;sheet=U0&amp;row=6049&amp;col=7&amp;number=0.46&amp;sourceID=14","0.46")</f>
        <v>0.46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HYPERLINK("http://141.218.60.56/~jnz1568/getInfo.php?workbook=16_08.xlsx&amp;sheet=U0&amp;row=6050&amp;col=6&amp;number=3.6&amp;sourceID=14","3.6")</f>
        <v>3.6</v>
      </c>
      <c r="G6050" s="4" t="str">
        <f>HYPERLINK("http://141.218.60.56/~jnz1568/getInfo.php?workbook=16_08.xlsx&amp;sheet=U0&amp;row=6050&amp;col=7&amp;number=0.46&amp;sourceID=14","0.46")</f>
        <v>0.46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HYPERLINK("http://141.218.60.56/~jnz1568/getInfo.php?workbook=16_08.xlsx&amp;sheet=U0&amp;row=6051&amp;col=6&amp;number=3.7&amp;sourceID=14","3.7")</f>
        <v>3.7</v>
      </c>
      <c r="G6051" s="4" t="str">
        <f>HYPERLINK("http://141.218.60.56/~jnz1568/getInfo.php?workbook=16_08.xlsx&amp;sheet=U0&amp;row=6051&amp;col=7&amp;number=0.46&amp;sourceID=14","0.46")</f>
        <v>0.46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HYPERLINK("http://141.218.60.56/~jnz1568/getInfo.php?workbook=16_08.xlsx&amp;sheet=U0&amp;row=6052&amp;col=6&amp;number=3.8&amp;sourceID=14","3.8")</f>
        <v>3.8</v>
      </c>
      <c r="G6052" s="4" t="str">
        <f>HYPERLINK("http://141.218.60.56/~jnz1568/getInfo.php?workbook=16_08.xlsx&amp;sheet=U0&amp;row=6052&amp;col=7&amp;number=0.46&amp;sourceID=14","0.46")</f>
        <v>0.46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HYPERLINK("http://141.218.60.56/~jnz1568/getInfo.php?workbook=16_08.xlsx&amp;sheet=U0&amp;row=6053&amp;col=6&amp;number=3.9&amp;sourceID=14","3.9")</f>
        <v>3.9</v>
      </c>
      <c r="G6053" s="4" t="str">
        <f>HYPERLINK("http://141.218.60.56/~jnz1568/getInfo.php?workbook=16_08.xlsx&amp;sheet=U0&amp;row=6053&amp;col=7&amp;number=0.46&amp;sourceID=14","0.46")</f>
        <v>0.46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HYPERLINK("http://141.218.60.56/~jnz1568/getInfo.php?workbook=16_08.xlsx&amp;sheet=U0&amp;row=6054&amp;col=6&amp;number=4&amp;sourceID=14","4")</f>
        <v>4</v>
      </c>
      <c r="G6054" s="4" t="str">
        <f>HYPERLINK("http://141.218.60.56/~jnz1568/getInfo.php?workbook=16_08.xlsx&amp;sheet=U0&amp;row=6054&amp;col=7&amp;number=0.46&amp;sourceID=14","0.46")</f>
        <v>0.46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HYPERLINK("http://141.218.60.56/~jnz1568/getInfo.php?workbook=16_08.xlsx&amp;sheet=U0&amp;row=6055&amp;col=6&amp;number=4.1&amp;sourceID=14","4.1")</f>
        <v>4.1</v>
      </c>
      <c r="G6055" s="4" t="str">
        <f>HYPERLINK("http://141.218.60.56/~jnz1568/getInfo.php?workbook=16_08.xlsx&amp;sheet=U0&amp;row=6055&amp;col=7&amp;number=0.46&amp;sourceID=14","0.46")</f>
        <v>0.46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HYPERLINK("http://141.218.60.56/~jnz1568/getInfo.php?workbook=16_08.xlsx&amp;sheet=U0&amp;row=6056&amp;col=6&amp;number=4.2&amp;sourceID=14","4.2")</f>
        <v>4.2</v>
      </c>
      <c r="G6056" s="4" t="str">
        <f>HYPERLINK("http://141.218.60.56/~jnz1568/getInfo.php?workbook=16_08.xlsx&amp;sheet=U0&amp;row=6056&amp;col=7&amp;number=0.46&amp;sourceID=14","0.46")</f>
        <v>0.46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HYPERLINK("http://141.218.60.56/~jnz1568/getInfo.php?workbook=16_08.xlsx&amp;sheet=U0&amp;row=6057&amp;col=6&amp;number=4.3&amp;sourceID=14","4.3")</f>
        <v>4.3</v>
      </c>
      <c r="G6057" s="4" t="str">
        <f>HYPERLINK("http://141.218.60.56/~jnz1568/getInfo.php?workbook=16_08.xlsx&amp;sheet=U0&amp;row=6057&amp;col=7&amp;number=0.46&amp;sourceID=14","0.46")</f>
        <v>0.46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HYPERLINK("http://141.218.60.56/~jnz1568/getInfo.php?workbook=16_08.xlsx&amp;sheet=U0&amp;row=6058&amp;col=6&amp;number=4.4&amp;sourceID=14","4.4")</f>
        <v>4.4</v>
      </c>
      <c r="G6058" s="4" t="str">
        <f>HYPERLINK("http://141.218.60.56/~jnz1568/getInfo.php?workbook=16_08.xlsx&amp;sheet=U0&amp;row=6058&amp;col=7&amp;number=0.46&amp;sourceID=14","0.46")</f>
        <v>0.46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HYPERLINK("http://141.218.60.56/~jnz1568/getInfo.php?workbook=16_08.xlsx&amp;sheet=U0&amp;row=6059&amp;col=6&amp;number=4.5&amp;sourceID=14","4.5")</f>
        <v>4.5</v>
      </c>
      <c r="G6059" s="4" t="str">
        <f>HYPERLINK("http://141.218.60.56/~jnz1568/getInfo.php?workbook=16_08.xlsx&amp;sheet=U0&amp;row=6059&amp;col=7&amp;number=0.46&amp;sourceID=14","0.46")</f>
        <v>0.46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HYPERLINK("http://141.218.60.56/~jnz1568/getInfo.php?workbook=16_08.xlsx&amp;sheet=U0&amp;row=6060&amp;col=6&amp;number=4.6&amp;sourceID=14","4.6")</f>
        <v>4.6</v>
      </c>
      <c r="G6060" s="4" t="str">
        <f>HYPERLINK("http://141.218.60.56/~jnz1568/getInfo.php?workbook=16_08.xlsx&amp;sheet=U0&amp;row=6060&amp;col=7&amp;number=0.461&amp;sourceID=14","0.461")</f>
        <v>0.461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HYPERLINK("http://141.218.60.56/~jnz1568/getInfo.php?workbook=16_08.xlsx&amp;sheet=U0&amp;row=6061&amp;col=6&amp;number=4.7&amp;sourceID=14","4.7")</f>
        <v>4.7</v>
      </c>
      <c r="G6061" s="4" t="str">
        <f>HYPERLINK("http://141.218.60.56/~jnz1568/getInfo.php?workbook=16_08.xlsx&amp;sheet=U0&amp;row=6061&amp;col=7&amp;number=0.461&amp;sourceID=14","0.461")</f>
        <v>0.461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HYPERLINK("http://141.218.60.56/~jnz1568/getInfo.php?workbook=16_08.xlsx&amp;sheet=U0&amp;row=6062&amp;col=6&amp;number=4.8&amp;sourceID=14","4.8")</f>
        <v>4.8</v>
      </c>
      <c r="G6062" s="4" t="str">
        <f>HYPERLINK("http://141.218.60.56/~jnz1568/getInfo.php?workbook=16_08.xlsx&amp;sheet=U0&amp;row=6062&amp;col=7&amp;number=0.461&amp;sourceID=14","0.461")</f>
        <v>0.461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HYPERLINK("http://141.218.60.56/~jnz1568/getInfo.php?workbook=16_08.xlsx&amp;sheet=U0&amp;row=6063&amp;col=6&amp;number=4.9&amp;sourceID=14","4.9")</f>
        <v>4.9</v>
      </c>
      <c r="G6063" s="4" t="str">
        <f>HYPERLINK("http://141.218.60.56/~jnz1568/getInfo.php?workbook=16_08.xlsx&amp;sheet=U0&amp;row=6063&amp;col=7&amp;number=0.461&amp;sourceID=14","0.461")</f>
        <v>0.461</v>
      </c>
    </row>
    <row r="6064" spans="1:7">
      <c r="A6064" s="3">
        <v>16</v>
      </c>
      <c r="B6064" s="3">
        <v>8</v>
      </c>
      <c r="C6064" s="3">
        <v>4</v>
      </c>
      <c r="D6064" s="3">
        <v>57</v>
      </c>
      <c r="E6064" s="3">
        <v>1</v>
      </c>
      <c r="F6064" s="4" t="str">
        <f>HYPERLINK("http://141.218.60.56/~jnz1568/getInfo.php?workbook=16_08.xlsx&amp;sheet=U0&amp;row=6064&amp;col=6&amp;number=3&amp;sourceID=14","3")</f>
        <v>3</v>
      </c>
      <c r="G6064" s="4" t="str">
        <f>HYPERLINK("http://141.218.60.56/~jnz1568/getInfo.php?workbook=16_08.xlsx&amp;sheet=U0&amp;row=6064&amp;col=7&amp;number=0.044&amp;sourceID=14","0.044")</f>
        <v>0.044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HYPERLINK("http://141.218.60.56/~jnz1568/getInfo.php?workbook=16_08.xlsx&amp;sheet=U0&amp;row=6065&amp;col=6&amp;number=3.1&amp;sourceID=14","3.1")</f>
        <v>3.1</v>
      </c>
      <c r="G6065" s="4" t="str">
        <f>HYPERLINK("http://141.218.60.56/~jnz1568/getInfo.php?workbook=16_08.xlsx&amp;sheet=U0&amp;row=6065&amp;col=7&amp;number=0.0439&amp;sourceID=14","0.0439")</f>
        <v>0.0439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HYPERLINK("http://141.218.60.56/~jnz1568/getInfo.php?workbook=16_08.xlsx&amp;sheet=U0&amp;row=6066&amp;col=6&amp;number=3.2&amp;sourceID=14","3.2")</f>
        <v>3.2</v>
      </c>
      <c r="G6066" s="4" t="str">
        <f>HYPERLINK("http://141.218.60.56/~jnz1568/getInfo.php?workbook=16_08.xlsx&amp;sheet=U0&amp;row=6066&amp;col=7&amp;number=0.0439&amp;sourceID=14","0.0439")</f>
        <v>0.0439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HYPERLINK("http://141.218.60.56/~jnz1568/getInfo.php?workbook=16_08.xlsx&amp;sheet=U0&amp;row=6067&amp;col=6&amp;number=3.3&amp;sourceID=14","3.3")</f>
        <v>3.3</v>
      </c>
      <c r="G6067" s="4" t="str">
        <f>HYPERLINK("http://141.218.60.56/~jnz1568/getInfo.php?workbook=16_08.xlsx&amp;sheet=U0&amp;row=6067&amp;col=7&amp;number=0.0439&amp;sourceID=14","0.0439")</f>
        <v>0.0439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HYPERLINK("http://141.218.60.56/~jnz1568/getInfo.php?workbook=16_08.xlsx&amp;sheet=U0&amp;row=6068&amp;col=6&amp;number=3.4&amp;sourceID=14","3.4")</f>
        <v>3.4</v>
      </c>
      <c r="G6068" s="4" t="str">
        <f>HYPERLINK("http://141.218.60.56/~jnz1568/getInfo.php?workbook=16_08.xlsx&amp;sheet=U0&amp;row=6068&amp;col=7&amp;number=0.0439&amp;sourceID=14","0.0439")</f>
        <v>0.0439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HYPERLINK("http://141.218.60.56/~jnz1568/getInfo.php?workbook=16_08.xlsx&amp;sheet=U0&amp;row=6069&amp;col=6&amp;number=3.5&amp;sourceID=14","3.5")</f>
        <v>3.5</v>
      </c>
      <c r="G6069" s="4" t="str">
        <f>HYPERLINK("http://141.218.60.56/~jnz1568/getInfo.php?workbook=16_08.xlsx&amp;sheet=U0&amp;row=6069&amp;col=7&amp;number=0.0439&amp;sourceID=14","0.0439")</f>
        <v>0.0439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HYPERLINK("http://141.218.60.56/~jnz1568/getInfo.php?workbook=16_08.xlsx&amp;sheet=U0&amp;row=6070&amp;col=6&amp;number=3.6&amp;sourceID=14","3.6")</f>
        <v>3.6</v>
      </c>
      <c r="G6070" s="4" t="str">
        <f>HYPERLINK("http://141.218.60.56/~jnz1568/getInfo.php?workbook=16_08.xlsx&amp;sheet=U0&amp;row=6070&amp;col=7&amp;number=0.0439&amp;sourceID=14","0.0439")</f>
        <v>0.0439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HYPERLINK("http://141.218.60.56/~jnz1568/getInfo.php?workbook=16_08.xlsx&amp;sheet=U0&amp;row=6071&amp;col=6&amp;number=3.7&amp;sourceID=14","3.7")</f>
        <v>3.7</v>
      </c>
      <c r="G6071" s="4" t="str">
        <f>HYPERLINK("http://141.218.60.56/~jnz1568/getInfo.php?workbook=16_08.xlsx&amp;sheet=U0&amp;row=6071&amp;col=7&amp;number=0.0439&amp;sourceID=14","0.0439")</f>
        <v>0.0439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HYPERLINK("http://141.218.60.56/~jnz1568/getInfo.php?workbook=16_08.xlsx&amp;sheet=U0&amp;row=6072&amp;col=6&amp;number=3.8&amp;sourceID=14","3.8")</f>
        <v>3.8</v>
      </c>
      <c r="G6072" s="4" t="str">
        <f>HYPERLINK("http://141.218.60.56/~jnz1568/getInfo.php?workbook=16_08.xlsx&amp;sheet=U0&amp;row=6072&amp;col=7&amp;number=0.0439&amp;sourceID=14","0.0439")</f>
        <v>0.0439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HYPERLINK("http://141.218.60.56/~jnz1568/getInfo.php?workbook=16_08.xlsx&amp;sheet=U0&amp;row=6073&amp;col=6&amp;number=3.9&amp;sourceID=14","3.9")</f>
        <v>3.9</v>
      </c>
      <c r="G6073" s="4" t="str">
        <f>HYPERLINK("http://141.218.60.56/~jnz1568/getInfo.php?workbook=16_08.xlsx&amp;sheet=U0&amp;row=6073&amp;col=7&amp;number=0.0439&amp;sourceID=14","0.0439")</f>
        <v>0.0439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HYPERLINK("http://141.218.60.56/~jnz1568/getInfo.php?workbook=16_08.xlsx&amp;sheet=U0&amp;row=6074&amp;col=6&amp;number=4&amp;sourceID=14","4")</f>
        <v>4</v>
      </c>
      <c r="G6074" s="4" t="str">
        <f>HYPERLINK("http://141.218.60.56/~jnz1568/getInfo.php?workbook=16_08.xlsx&amp;sheet=U0&amp;row=6074&amp;col=7&amp;number=0.0439&amp;sourceID=14","0.0439")</f>
        <v>0.0439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HYPERLINK("http://141.218.60.56/~jnz1568/getInfo.php?workbook=16_08.xlsx&amp;sheet=U0&amp;row=6075&amp;col=6&amp;number=4.1&amp;sourceID=14","4.1")</f>
        <v>4.1</v>
      </c>
      <c r="G6075" s="4" t="str">
        <f>HYPERLINK("http://141.218.60.56/~jnz1568/getInfo.php?workbook=16_08.xlsx&amp;sheet=U0&amp;row=6075&amp;col=7&amp;number=0.0438&amp;sourceID=14","0.0438")</f>
        <v>0.0438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HYPERLINK("http://141.218.60.56/~jnz1568/getInfo.php?workbook=16_08.xlsx&amp;sheet=U0&amp;row=6076&amp;col=6&amp;number=4.2&amp;sourceID=14","4.2")</f>
        <v>4.2</v>
      </c>
      <c r="G6076" s="4" t="str">
        <f>HYPERLINK("http://141.218.60.56/~jnz1568/getInfo.php?workbook=16_08.xlsx&amp;sheet=U0&amp;row=6076&amp;col=7&amp;number=0.0438&amp;sourceID=14","0.0438")</f>
        <v>0.0438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HYPERLINK("http://141.218.60.56/~jnz1568/getInfo.php?workbook=16_08.xlsx&amp;sheet=U0&amp;row=6077&amp;col=6&amp;number=4.3&amp;sourceID=14","4.3")</f>
        <v>4.3</v>
      </c>
      <c r="G6077" s="4" t="str">
        <f>HYPERLINK("http://141.218.60.56/~jnz1568/getInfo.php?workbook=16_08.xlsx&amp;sheet=U0&amp;row=6077&amp;col=7&amp;number=0.0438&amp;sourceID=14","0.0438")</f>
        <v>0.0438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HYPERLINK("http://141.218.60.56/~jnz1568/getInfo.php?workbook=16_08.xlsx&amp;sheet=U0&amp;row=6078&amp;col=6&amp;number=4.4&amp;sourceID=14","4.4")</f>
        <v>4.4</v>
      </c>
      <c r="G6078" s="4" t="str">
        <f>HYPERLINK("http://141.218.60.56/~jnz1568/getInfo.php?workbook=16_08.xlsx&amp;sheet=U0&amp;row=6078&amp;col=7&amp;number=0.0437&amp;sourceID=14","0.0437")</f>
        <v>0.0437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HYPERLINK("http://141.218.60.56/~jnz1568/getInfo.php?workbook=16_08.xlsx&amp;sheet=U0&amp;row=6079&amp;col=6&amp;number=4.5&amp;sourceID=14","4.5")</f>
        <v>4.5</v>
      </c>
      <c r="G6079" s="4" t="str">
        <f>HYPERLINK("http://141.218.60.56/~jnz1568/getInfo.php?workbook=16_08.xlsx&amp;sheet=U0&amp;row=6079&amp;col=7&amp;number=0.0437&amp;sourceID=14","0.0437")</f>
        <v>0.0437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HYPERLINK("http://141.218.60.56/~jnz1568/getInfo.php?workbook=16_08.xlsx&amp;sheet=U0&amp;row=6080&amp;col=6&amp;number=4.6&amp;sourceID=14","4.6")</f>
        <v>4.6</v>
      </c>
      <c r="G6080" s="4" t="str">
        <f>HYPERLINK("http://141.218.60.56/~jnz1568/getInfo.php?workbook=16_08.xlsx&amp;sheet=U0&amp;row=6080&amp;col=7&amp;number=0.0436&amp;sourceID=14","0.0436")</f>
        <v>0.0436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HYPERLINK("http://141.218.60.56/~jnz1568/getInfo.php?workbook=16_08.xlsx&amp;sheet=U0&amp;row=6081&amp;col=6&amp;number=4.7&amp;sourceID=14","4.7")</f>
        <v>4.7</v>
      </c>
      <c r="G6081" s="4" t="str">
        <f>HYPERLINK("http://141.218.60.56/~jnz1568/getInfo.php?workbook=16_08.xlsx&amp;sheet=U0&amp;row=6081&amp;col=7&amp;number=0.0435&amp;sourceID=14","0.0435")</f>
        <v>0.0435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HYPERLINK("http://141.218.60.56/~jnz1568/getInfo.php?workbook=16_08.xlsx&amp;sheet=U0&amp;row=6082&amp;col=6&amp;number=4.8&amp;sourceID=14","4.8")</f>
        <v>4.8</v>
      </c>
      <c r="G6082" s="4" t="str">
        <f>HYPERLINK("http://141.218.60.56/~jnz1568/getInfo.php?workbook=16_08.xlsx&amp;sheet=U0&amp;row=6082&amp;col=7&amp;number=0.0433&amp;sourceID=14","0.0433")</f>
        <v>0.0433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HYPERLINK("http://141.218.60.56/~jnz1568/getInfo.php?workbook=16_08.xlsx&amp;sheet=U0&amp;row=6083&amp;col=6&amp;number=4.9&amp;sourceID=14","4.9")</f>
        <v>4.9</v>
      </c>
      <c r="G6083" s="4" t="str">
        <f>HYPERLINK("http://141.218.60.56/~jnz1568/getInfo.php?workbook=16_08.xlsx&amp;sheet=U0&amp;row=6083&amp;col=7&amp;number=0.0432&amp;sourceID=14","0.0432")</f>
        <v>0.0432</v>
      </c>
    </row>
    <row r="6084" spans="1:7">
      <c r="A6084" s="3">
        <v>16</v>
      </c>
      <c r="B6084" s="3">
        <v>8</v>
      </c>
      <c r="C6084" s="3">
        <v>4</v>
      </c>
      <c r="D6084" s="3">
        <v>56</v>
      </c>
      <c r="E6084" s="3">
        <v>1</v>
      </c>
      <c r="F6084" s="4" t="str">
        <f>HYPERLINK("http://141.218.60.56/~jnz1568/getInfo.php?workbook=16_08.xlsx&amp;sheet=U0&amp;row=6084&amp;col=6&amp;number=3&amp;sourceID=14","3")</f>
        <v>3</v>
      </c>
      <c r="G6084" s="4" t="str">
        <f>HYPERLINK("http://141.218.60.56/~jnz1568/getInfo.php?workbook=16_08.xlsx&amp;sheet=U0&amp;row=6084&amp;col=7&amp;number=0.031&amp;sourceID=14","0.031")</f>
        <v>0.031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HYPERLINK("http://141.218.60.56/~jnz1568/getInfo.php?workbook=16_08.xlsx&amp;sheet=U0&amp;row=6085&amp;col=6&amp;number=3.1&amp;sourceID=14","3.1")</f>
        <v>3.1</v>
      </c>
      <c r="G6085" s="4" t="str">
        <f>HYPERLINK("http://141.218.60.56/~jnz1568/getInfo.php?workbook=16_08.xlsx&amp;sheet=U0&amp;row=6085&amp;col=7&amp;number=0.031&amp;sourceID=14","0.031")</f>
        <v>0.031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HYPERLINK("http://141.218.60.56/~jnz1568/getInfo.php?workbook=16_08.xlsx&amp;sheet=U0&amp;row=6086&amp;col=6&amp;number=3.2&amp;sourceID=14","3.2")</f>
        <v>3.2</v>
      </c>
      <c r="G6086" s="4" t="str">
        <f>HYPERLINK("http://141.218.60.56/~jnz1568/getInfo.php?workbook=16_08.xlsx&amp;sheet=U0&amp;row=6086&amp;col=7&amp;number=0.031&amp;sourceID=14","0.031")</f>
        <v>0.031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HYPERLINK("http://141.218.60.56/~jnz1568/getInfo.php?workbook=16_08.xlsx&amp;sheet=U0&amp;row=6087&amp;col=6&amp;number=3.3&amp;sourceID=14","3.3")</f>
        <v>3.3</v>
      </c>
      <c r="G6087" s="4" t="str">
        <f>HYPERLINK("http://141.218.60.56/~jnz1568/getInfo.php?workbook=16_08.xlsx&amp;sheet=U0&amp;row=6087&amp;col=7&amp;number=0.031&amp;sourceID=14","0.031")</f>
        <v>0.031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HYPERLINK("http://141.218.60.56/~jnz1568/getInfo.php?workbook=16_08.xlsx&amp;sheet=U0&amp;row=6088&amp;col=6&amp;number=3.4&amp;sourceID=14","3.4")</f>
        <v>3.4</v>
      </c>
      <c r="G6088" s="4" t="str">
        <f>HYPERLINK("http://141.218.60.56/~jnz1568/getInfo.php?workbook=16_08.xlsx&amp;sheet=U0&amp;row=6088&amp;col=7&amp;number=0.031&amp;sourceID=14","0.031")</f>
        <v>0.031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HYPERLINK("http://141.218.60.56/~jnz1568/getInfo.php?workbook=16_08.xlsx&amp;sheet=U0&amp;row=6089&amp;col=6&amp;number=3.5&amp;sourceID=14","3.5")</f>
        <v>3.5</v>
      </c>
      <c r="G6089" s="4" t="str">
        <f>HYPERLINK("http://141.218.60.56/~jnz1568/getInfo.php?workbook=16_08.xlsx&amp;sheet=U0&amp;row=6089&amp;col=7&amp;number=0.031&amp;sourceID=14","0.031")</f>
        <v>0.031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HYPERLINK("http://141.218.60.56/~jnz1568/getInfo.php?workbook=16_08.xlsx&amp;sheet=U0&amp;row=6090&amp;col=6&amp;number=3.6&amp;sourceID=14","3.6")</f>
        <v>3.6</v>
      </c>
      <c r="G6090" s="4" t="str">
        <f>HYPERLINK("http://141.218.60.56/~jnz1568/getInfo.php?workbook=16_08.xlsx&amp;sheet=U0&amp;row=6090&amp;col=7&amp;number=0.031&amp;sourceID=14","0.031")</f>
        <v>0.031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HYPERLINK("http://141.218.60.56/~jnz1568/getInfo.php?workbook=16_08.xlsx&amp;sheet=U0&amp;row=6091&amp;col=6&amp;number=3.7&amp;sourceID=14","3.7")</f>
        <v>3.7</v>
      </c>
      <c r="G6091" s="4" t="str">
        <f>HYPERLINK("http://141.218.60.56/~jnz1568/getInfo.php?workbook=16_08.xlsx&amp;sheet=U0&amp;row=6091&amp;col=7&amp;number=0.031&amp;sourceID=14","0.031")</f>
        <v>0.031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HYPERLINK("http://141.218.60.56/~jnz1568/getInfo.php?workbook=16_08.xlsx&amp;sheet=U0&amp;row=6092&amp;col=6&amp;number=3.8&amp;sourceID=14","3.8")</f>
        <v>3.8</v>
      </c>
      <c r="G6092" s="4" t="str">
        <f>HYPERLINK("http://141.218.60.56/~jnz1568/getInfo.php?workbook=16_08.xlsx&amp;sheet=U0&amp;row=6092&amp;col=7&amp;number=0.031&amp;sourceID=14","0.031")</f>
        <v>0.031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HYPERLINK("http://141.218.60.56/~jnz1568/getInfo.php?workbook=16_08.xlsx&amp;sheet=U0&amp;row=6093&amp;col=6&amp;number=3.9&amp;sourceID=14","3.9")</f>
        <v>3.9</v>
      </c>
      <c r="G6093" s="4" t="str">
        <f>HYPERLINK("http://141.218.60.56/~jnz1568/getInfo.php?workbook=16_08.xlsx&amp;sheet=U0&amp;row=6093&amp;col=7&amp;number=0.0309&amp;sourceID=14","0.0309")</f>
        <v>0.0309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HYPERLINK("http://141.218.60.56/~jnz1568/getInfo.php?workbook=16_08.xlsx&amp;sheet=U0&amp;row=6094&amp;col=6&amp;number=4&amp;sourceID=14","4")</f>
        <v>4</v>
      </c>
      <c r="G6094" s="4" t="str">
        <f>HYPERLINK("http://141.218.60.56/~jnz1568/getInfo.php?workbook=16_08.xlsx&amp;sheet=U0&amp;row=6094&amp;col=7&amp;number=0.0309&amp;sourceID=14","0.0309")</f>
        <v>0.0309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HYPERLINK("http://141.218.60.56/~jnz1568/getInfo.php?workbook=16_08.xlsx&amp;sheet=U0&amp;row=6095&amp;col=6&amp;number=4.1&amp;sourceID=14","4.1")</f>
        <v>4.1</v>
      </c>
      <c r="G6095" s="4" t="str">
        <f>HYPERLINK("http://141.218.60.56/~jnz1568/getInfo.php?workbook=16_08.xlsx&amp;sheet=U0&amp;row=6095&amp;col=7&amp;number=0.0309&amp;sourceID=14","0.0309")</f>
        <v>0.0309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HYPERLINK("http://141.218.60.56/~jnz1568/getInfo.php?workbook=16_08.xlsx&amp;sheet=U0&amp;row=6096&amp;col=6&amp;number=4.2&amp;sourceID=14","4.2")</f>
        <v>4.2</v>
      </c>
      <c r="G6096" s="4" t="str">
        <f>HYPERLINK("http://141.218.60.56/~jnz1568/getInfo.php?workbook=16_08.xlsx&amp;sheet=U0&amp;row=6096&amp;col=7&amp;number=0.0309&amp;sourceID=14","0.0309")</f>
        <v>0.0309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HYPERLINK("http://141.218.60.56/~jnz1568/getInfo.php?workbook=16_08.xlsx&amp;sheet=U0&amp;row=6097&amp;col=6&amp;number=4.3&amp;sourceID=14","4.3")</f>
        <v>4.3</v>
      </c>
      <c r="G6097" s="4" t="str">
        <f>HYPERLINK("http://141.218.60.56/~jnz1568/getInfo.php?workbook=16_08.xlsx&amp;sheet=U0&amp;row=6097&amp;col=7&amp;number=0.0309&amp;sourceID=14","0.0309")</f>
        <v>0.0309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HYPERLINK("http://141.218.60.56/~jnz1568/getInfo.php?workbook=16_08.xlsx&amp;sheet=U0&amp;row=6098&amp;col=6&amp;number=4.4&amp;sourceID=14","4.4")</f>
        <v>4.4</v>
      </c>
      <c r="G6098" s="4" t="str">
        <f>HYPERLINK("http://141.218.60.56/~jnz1568/getInfo.php?workbook=16_08.xlsx&amp;sheet=U0&amp;row=6098&amp;col=7&amp;number=0.0308&amp;sourceID=14","0.0308")</f>
        <v>0.0308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HYPERLINK("http://141.218.60.56/~jnz1568/getInfo.php?workbook=16_08.xlsx&amp;sheet=U0&amp;row=6099&amp;col=6&amp;number=4.5&amp;sourceID=14","4.5")</f>
        <v>4.5</v>
      </c>
      <c r="G6099" s="4" t="str">
        <f>HYPERLINK("http://141.218.60.56/~jnz1568/getInfo.php?workbook=16_08.xlsx&amp;sheet=U0&amp;row=6099&amp;col=7&amp;number=0.0308&amp;sourceID=14","0.0308")</f>
        <v>0.0308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HYPERLINK("http://141.218.60.56/~jnz1568/getInfo.php?workbook=16_08.xlsx&amp;sheet=U0&amp;row=6100&amp;col=6&amp;number=4.6&amp;sourceID=14","4.6")</f>
        <v>4.6</v>
      </c>
      <c r="G6100" s="4" t="str">
        <f>HYPERLINK("http://141.218.60.56/~jnz1568/getInfo.php?workbook=16_08.xlsx&amp;sheet=U0&amp;row=6100&amp;col=7&amp;number=0.0307&amp;sourceID=14","0.0307")</f>
        <v>0.0307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HYPERLINK("http://141.218.60.56/~jnz1568/getInfo.php?workbook=16_08.xlsx&amp;sheet=U0&amp;row=6101&amp;col=6&amp;number=4.7&amp;sourceID=14","4.7")</f>
        <v>4.7</v>
      </c>
      <c r="G6101" s="4" t="str">
        <f>HYPERLINK("http://141.218.60.56/~jnz1568/getInfo.php?workbook=16_08.xlsx&amp;sheet=U0&amp;row=6101&amp;col=7&amp;number=0.0306&amp;sourceID=14","0.0306")</f>
        <v>0.0306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HYPERLINK("http://141.218.60.56/~jnz1568/getInfo.php?workbook=16_08.xlsx&amp;sheet=U0&amp;row=6102&amp;col=6&amp;number=4.8&amp;sourceID=14","4.8")</f>
        <v>4.8</v>
      </c>
      <c r="G6102" s="4" t="str">
        <f>HYPERLINK("http://141.218.60.56/~jnz1568/getInfo.php?workbook=16_08.xlsx&amp;sheet=U0&amp;row=6102&amp;col=7&amp;number=0.0305&amp;sourceID=14","0.0305")</f>
        <v>0.0305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HYPERLINK("http://141.218.60.56/~jnz1568/getInfo.php?workbook=16_08.xlsx&amp;sheet=U0&amp;row=6103&amp;col=6&amp;number=4.9&amp;sourceID=14","4.9")</f>
        <v>4.9</v>
      </c>
      <c r="G6103" s="4" t="str">
        <f>HYPERLINK("http://141.218.60.56/~jnz1568/getInfo.php?workbook=16_08.xlsx&amp;sheet=U0&amp;row=6103&amp;col=7&amp;number=0.0304&amp;sourceID=14","0.0304")</f>
        <v>0.0304</v>
      </c>
    </row>
    <row r="6104" spans="1:7">
      <c r="A6104" s="3">
        <v>16</v>
      </c>
      <c r="B6104" s="3">
        <v>8</v>
      </c>
      <c r="C6104" s="3">
        <v>4</v>
      </c>
      <c r="D6104" s="3">
        <v>58</v>
      </c>
      <c r="E6104" s="3">
        <v>1</v>
      </c>
      <c r="F6104" s="4" t="str">
        <f>HYPERLINK("http://141.218.60.56/~jnz1568/getInfo.php?workbook=16_08.xlsx&amp;sheet=U0&amp;row=6104&amp;col=6&amp;number=3&amp;sourceID=14","3")</f>
        <v>3</v>
      </c>
      <c r="G6104" s="4" t="str">
        <f>HYPERLINK("http://141.218.60.56/~jnz1568/getInfo.php?workbook=16_08.xlsx&amp;sheet=U0&amp;row=6104&amp;col=7&amp;number=0.00236&amp;sourceID=14","0.00236")</f>
        <v>0.00236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HYPERLINK("http://141.218.60.56/~jnz1568/getInfo.php?workbook=16_08.xlsx&amp;sheet=U0&amp;row=6105&amp;col=6&amp;number=3.1&amp;sourceID=14","3.1")</f>
        <v>3.1</v>
      </c>
      <c r="G6105" s="4" t="str">
        <f>HYPERLINK("http://141.218.60.56/~jnz1568/getInfo.php?workbook=16_08.xlsx&amp;sheet=U0&amp;row=6105&amp;col=7&amp;number=0.00236&amp;sourceID=14","0.00236")</f>
        <v>0.00236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HYPERLINK("http://141.218.60.56/~jnz1568/getInfo.php?workbook=16_08.xlsx&amp;sheet=U0&amp;row=6106&amp;col=6&amp;number=3.2&amp;sourceID=14","3.2")</f>
        <v>3.2</v>
      </c>
      <c r="G6106" s="4" t="str">
        <f>HYPERLINK("http://141.218.60.56/~jnz1568/getInfo.php?workbook=16_08.xlsx&amp;sheet=U0&amp;row=6106&amp;col=7&amp;number=0.00236&amp;sourceID=14","0.00236")</f>
        <v>0.00236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HYPERLINK("http://141.218.60.56/~jnz1568/getInfo.php?workbook=16_08.xlsx&amp;sheet=U0&amp;row=6107&amp;col=6&amp;number=3.3&amp;sourceID=14","3.3")</f>
        <v>3.3</v>
      </c>
      <c r="G6107" s="4" t="str">
        <f>HYPERLINK("http://141.218.60.56/~jnz1568/getInfo.php?workbook=16_08.xlsx&amp;sheet=U0&amp;row=6107&amp;col=7&amp;number=0.00236&amp;sourceID=14","0.00236")</f>
        <v>0.00236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HYPERLINK("http://141.218.60.56/~jnz1568/getInfo.php?workbook=16_08.xlsx&amp;sheet=U0&amp;row=6108&amp;col=6&amp;number=3.4&amp;sourceID=14","3.4")</f>
        <v>3.4</v>
      </c>
      <c r="G6108" s="4" t="str">
        <f>HYPERLINK("http://141.218.60.56/~jnz1568/getInfo.php?workbook=16_08.xlsx&amp;sheet=U0&amp;row=6108&amp;col=7&amp;number=0.00236&amp;sourceID=14","0.00236")</f>
        <v>0.00236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HYPERLINK("http://141.218.60.56/~jnz1568/getInfo.php?workbook=16_08.xlsx&amp;sheet=U0&amp;row=6109&amp;col=6&amp;number=3.5&amp;sourceID=14","3.5")</f>
        <v>3.5</v>
      </c>
      <c r="G6109" s="4" t="str">
        <f>HYPERLINK("http://141.218.60.56/~jnz1568/getInfo.php?workbook=16_08.xlsx&amp;sheet=U0&amp;row=6109&amp;col=7&amp;number=0.00236&amp;sourceID=14","0.00236")</f>
        <v>0.00236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HYPERLINK("http://141.218.60.56/~jnz1568/getInfo.php?workbook=16_08.xlsx&amp;sheet=U0&amp;row=6110&amp;col=6&amp;number=3.6&amp;sourceID=14","3.6")</f>
        <v>3.6</v>
      </c>
      <c r="G6110" s="4" t="str">
        <f>HYPERLINK("http://141.218.60.56/~jnz1568/getInfo.php?workbook=16_08.xlsx&amp;sheet=U0&amp;row=6110&amp;col=7&amp;number=0.00236&amp;sourceID=14","0.00236")</f>
        <v>0.00236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HYPERLINK("http://141.218.60.56/~jnz1568/getInfo.php?workbook=16_08.xlsx&amp;sheet=U0&amp;row=6111&amp;col=6&amp;number=3.7&amp;sourceID=14","3.7")</f>
        <v>3.7</v>
      </c>
      <c r="G6111" s="4" t="str">
        <f>HYPERLINK("http://141.218.60.56/~jnz1568/getInfo.php?workbook=16_08.xlsx&amp;sheet=U0&amp;row=6111&amp;col=7&amp;number=0.00236&amp;sourceID=14","0.00236")</f>
        <v>0.00236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HYPERLINK("http://141.218.60.56/~jnz1568/getInfo.php?workbook=16_08.xlsx&amp;sheet=U0&amp;row=6112&amp;col=6&amp;number=3.8&amp;sourceID=14","3.8")</f>
        <v>3.8</v>
      </c>
      <c r="G6112" s="4" t="str">
        <f>HYPERLINK("http://141.218.60.56/~jnz1568/getInfo.php?workbook=16_08.xlsx&amp;sheet=U0&amp;row=6112&amp;col=7&amp;number=0.00236&amp;sourceID=14","0.00236")</f>
        <v>0.00236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HYPERLINK("http://141.218.60.56/~jnz1568/getInfo.php?workbook=16_08.xlsx&amp;sheet=U0&amp;row=6113&amp;col=6&amp;number=3.9&amp;sourceID=14","3.9")</f>
        <v>3.9</v>
      </c>
      <c r="G6113" s="4" t="str">
        <f>HYPERLINK("http://141.218.60.56/~jnz1568/getInfo.php?workbook=16_08.xlsx&amp;sheet=U0&amp;row=6113&amp;col=7&amp;number=0.00236&amp;sourceID=14","0.00236")</f>
        <v>0.00236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HYPERLINK("http://141.218.60.56/~jnz1568/getInfo.php?workbook=16_08.xlsx&amp;sheet=U0&amp;row=6114&amp;col=6&amp;number=4&amp;sourceID=14","4")</f>
        <v>4</v>
      </c>
      <c r="G6114" s="4" t="str">
        <f>HYPERLINK("http://141.218.60.56/~jnz1568/getInfo.php?workbook=16_08.xlsx&amp;sheet=U0&amp;row=6114&amp;col=7&amp;number=0.00235&amp;sourceID=14","0.00235")</f>
        <v>0.00235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HYPERLINK("http://141.218.60.56/~jnz1568/getInfo.php?workbook=16_08.xlsx&amp;sheet=U0&amp;row=6115&amp;col=6&amp;number=4.1&amp;sourceID=14","4.1")</f>
        <v>4.1</v>
      </c>
      <c r="G6115" s="4" t="str">
        <f>HYPERLINK("http://141.218.60.56/~jnz1568/getInfo.php?workbook=16_08.xlsx&amp;sheet=U0&amp;row=6115&amp;col=7&amp;number=0.00235&amp;sourceID=14","0.00235")</f>
        <v>0.00235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HYPERLINK("http://141.218.60.56/~jnz1568/getInfo.php?workbook=16_08.xlsx&amp;sheet=U0&amp;row=6116&amp;col=6&amp;number=4.2&amp;sourceID=14","4.2")</f>
        <v>4.2</v>
      </c>
      <c r="G6116" s="4" t="str">
        <f>HYPERLINK("http://141.218.60.56/~jnz1568/getInfo.php?workbook=16_08.xlsx&amp;sheet=U0&amp;row=6116&amp;col=7&amp;number=0.00235&amp;sourceID=14","0.00235")</f>
        <v>0.00235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HYPERLINK("http://141.218.60.56/~jnz1568/getInfo.php?workbook=16_08.xlsx&amp;sheet=U0&amp;row=6117&amp;col=6&amp;number=4.3&amp;sourceID=14","4.3")</f>
        <v>4.3</v>
      </c>
      <c r="G6117" s="4" t="str">
        <f>HYPERLINK("http://141.218.60.56/~jnz1568/getInfo.php?workbook=16_08.xlsx&amp;sheet=U0&amp;row=6117&amp;col=7&amp;number=0.00235&amp;sourceID=14","0.00235")</f>
        <v>0.00235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HYPERLINK("http://141.218.60.56/~jnz1568/getInfo.php?workbook=16_08.xlsx&amp;sheet=U0&amp;row=6118&amp;col=6&amp;number=4.4&amp;sourceID=14","4.4")</f>
        <v>4.4</v>
      </c>
      <c r="G6118" s="4" t="str">
        <f>HYPERLINK("http://141.218.60.56/~jnz1568/getInfo.php?workbook=16_08.xlsx&amp;sheet=U0&amp;row=6118&amp;col=7&amp;number=0.00235&amp;sourceID=14","0.00235")</f>
        <v>0.00235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HYPERLINK("http://141.218.60.56/~jnz1568/getInfo.php?workbook=16_08.xlsx&amp;sheet=U0&amp;row=6119&amp;col=6&amp;number=4.5&amp;sourceID=14","4.5")</f>
        <v>4.5</v>
      </c>
      <c r="G6119" s="4" t="str">
        <f>HYPERLINK("http://141.218.60.56/~jnz1568/getInfo.php?workbook=16_08.xlsx&amp;sheet=U0&amp;row=6119&amp;col=7&amp;number=0.00234&amp;sourceID=14","0.00234")</f>
        <v>0.00234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HYPERLINK("http://141.218.60.56/~jnz1568/getInfo.php?workbook=16_08.xlsx&amp;sheet=U0&amp;row=6120&amp;col=6&amp;number=4.6&amp;sourceID=14","4.6")</f>
        <v>4.6</v>
      </c>
      <c r="G6120" s="4" t="str">
        <f>HYPERLINK("http://141.218.60.56/~jnz1568/getInfo.php?workbook=16_08.xlsx&amp;sheet=U0&amp;row=6120&amp;col=7&amp;number=0.00234&amp;sourceID=14","0.00234")</f>
        <v>0.00234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HYPERLINK("http://141.218.60.56/~jnz1568/getInfo.php?workbook=16_08.xlsx&amp;sheet=U0&amp;row=6121&amp;col=6&amp;number=4.7&amp;sourceID=14","4.7")</f>
        <v>4.7</v>
      </c>
      <c r="G6121" s="4" t="str">
        <f>HYPERLINK("http://141.218.60.56/~jnz1568/getInfo.php?workbook=16_08.xlsx&amp;sheet=U0&amp;row=6121&amp;col=7&amp;number=0.00233&amp;sourceID=14","0.00233")</f>
        <v>0.00233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HYPERLINK("http://141.218.60.56/~jnz1568/getInfo.php?workbook=16_08.xlsx&amp;sheet=U0&amp;row=6122&amp;col=6&amp;number=4.8&amp;sourceID=14","4.8")</f>
        <v>4.8</v>
      </c>
      <c r="G6122" s="4" t="str">
        <f>HYPERLINK("http://141.218.60.56/~jnz1568/getInfo.php?workbook=16_08.xlsx&amp;sheet=U0&amp;row=6122&amp;col=7&amp;number=0.00232&amp;sourceID=14","0.00232")</f>
        <v>0.00232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HYPERLINK("http://141.218.60.56/~jnz1568/getInfo.php?workbook=16_08.xlsx&amp;sheet=U0&amp;row=6123&amp;col=6&amp;number=4.9&amp;sourceID=14","4.9")</f>
        <v>4.9</v>
      </c>
      <c r="G6123" s="4" t="str">
        <f>HYPERLINK("http://141.218.60.56/~jnz1568/getInfo.php?workbook=16_08.xlsx&amp;sheet=U0&amp;row=6123&amp;col=7&amp;number=0.00231&amp;sourceID=14","0.00231")</f>
        <v>0.00231</v>
      </c>
    </row>
    <row r="6124" spans="1:7">
      <c r="A6124" s="3">
        <v>16</v>
      </c>
      <c r="B6124" s="3">
        <v>8</v>
      </c>
      <c r="C6124" s="3">
        <v>4</v>
      </c>
      <c r="D6124" s="3">
        <v>59</v>
      </c>
      <c r="E6124" s="3">
        <v>1</v>
      </c>
      <c r="F6124" s="4" t="str">
        <f>HYPERLINK("http://141.218.60.56/~jnz1568/getInfo.php?workbook=16_08.xlsx&amp;sheet=U0&amp;row=6124&amp;col=6&amp;number=3&amp;sourceID=14","3")</f>
        <v>3</v>
      </c>
      <c r="G6124" s="4" t="str">
        <f>HYPERLINK("http://141.218.60.56/~jnz1568/getInfo.php?workbook=16_08.xlsx&amp;sheet=U0&amp;row=6124&amp;col=7&amp;number=0.074&amp;sourceID=14","0.074")</f>
        <v>0.074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HYPERLINK("http://141.218.60.56/~jnz1568/getInfo.php?workbook=16_08.xlsx&amp;sheet=U0&amp;row=6125&amp;col=6&amp;number=3.1&amp;sourceID=14","3.1")</f>
        <v>3.1</v>
      </c>
      <c r="G6125" s="4" t="str">
        <f>HYPERLINK("http://141.218.60.56/~jnz1568/getInfo.php?workbook=16_08.xlsx&amp;sheet=U0&amp;row=6125&amp;col=7&amp;number=0.074&amp;sourceID=14","0.074")</f>
        <v>0.074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HYPERLINK("http://141.218.60.56/~jnz1568/getInfo.php?workbook=16_08.xlsx&amp;sheet=U0&amp;row=6126&amp;col=6&amp;number=3.2&amp;sourceID=14","3.2")</f>
        <v>3.2</v>
      </c>
      <c r="G6126" s="4" t="str">
        <f>HYPERLINK("http://141.218.60.56/~jnz1568/getInfo.php?workbook=16_08.xlsx&amp;sheet=U0&amp;row=6126&amp;col=7&amp;number=0.074&amp;sourceID=14","0.074")</f>
        <v>0.074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HYPERLINK("http://141.218.60.56/~jnz1568/getInfo.php?workbook=16_08.xlsx&amp;sheet=U0&amp;row=6127&amp;col=6&amp;number=3.3&amp;sourceID=14","3.3")</f>
        <v>3.3</v>
      </c>
      <c r="G6127" s="4" t="str">
        <f>HYPERLINK("http://141.218.60.56/~jnz1568/getInfo.php?workbook=16_08.xlsx&amp;sheet=U0&amp;row=6127&amp;col=7&amp;number=0.074&amp;sourceID=14","0.074")</f>
        <v>0.074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HYPERLINK("http://141.218.60.56/~jnz1568/getInfo.php?workbook=16_08.xlsx&amp;sheet=U0&amp;row=6128&amp;col=6&amp;number=3.4&amp;sourceID=14","3.4")</f>
        <v>3.4</v>
      </c>
      <c r="G6128" s="4" t="str">
        <f>HYPERLINK("http://141.218.60.56/~jnz1568/getInfo.php?workbook=16_08.xlsx&amp;sheet=U0&amp;row=6128&amp;col=7&amp;number=0.0739&amp;sourceID=14","0.0739")</f>
        <v>0.0739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HYPERLINK("http://141.218.60.56/~jnz1568/getInfo.php?workbook=16_08.xlsx&amp;sheet=U0&amp;row=6129&amp;col=6&amp;number=3.5&amp;sourceID=14","3.5")</f>
        <v>3.5</v>
      </c>
      <c r="G6129" s="4" t="str">
        <f>HYPERLINK("http://141.218.60.56/~jnz1568/getInfo.php?workbook=16_08.xlsx&amp;sheet=U0&amp;row=6129&amp;col=7&amp;number=0.0739&amp;sourceID=14","0.0739")</f>
        <v>0.0739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HYPERLINK("http://141.218.60.56/~jnz1568/getInfo.php?workbook=16_08.xlsx&amp;sheet=U0&amp;row=6130&amp;col=6&amp;number=3.6&amp;sourceID=14","3.6")</f>
        <v>3.6</v>
      </c>
      <c r="G6130" s="4" t="str">
        <f>HYPERLINK("http://141.218.60.56/~jnz1568/getInfo.php?workbook=16_08.xlsx&amp;sheet=U0&amp;row=6130&amp;col=7&amp;number=0.0739&amp;sourceID=14","0.0739")</f>
        <v>0.0739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HYPERLINK("http://141.218.60.56/~jnz1568/getInfo.php?workbook=16_08.xlsx&amp;sheet=U0&amp;row=6131&amp;col=6&amp;number=3.7&amp;sourceID=14","3.7")</f>
        <v>3.7</v>
      </c>
      <c r="G6131" s="4" t="str">
        <f>HYPERLINK("http://141.218.60.56/~jnz1568/getInfo.php?workbook=16_08.xlsx&amp;sheet=U0&amp;row=6131&amp;col=7&amp;number=0.0739&amp;sourceID=14","0.0739")</f>
        <v>0.0739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HYPERLINK("http://141.218.60.56/~jnz1568/getInfo.php?workbook=16_08.xlsx&amp;sheet=U0&amp;row=6132&amp;col=6&amp;number=3.8&amp;sourceID=14","3.8")</f>
        <v>3.8</v>
      </c>
      <c r="G6132" s="4" t="str">
        <f>HYPERLINK("http://141.218.60.56/~jnz1568/getInfo.php?workbook=16_08.xlsx&amp;sheet=U0&amp;row=6132&amp;col=7&amp;number=0.0738&amp;sourceID=14","0.0738")</f>
        <v>0.0738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HYPERLINK("http://141.218.60.56/~jnz1568/getInfo.php?workbook=16_08.xlsx&amp;sheet=U0&amp;row=6133&amp;col=6&amp;number=3.9&amp;sourceID=14","3.9")</f>
        <v>3.9</v>
      </c>
      <c r="G6133" s="4" t="str">
        <f>HYPERLINK("http://141.218.60.56/~jnz1568/getInfo.php?workbook=16_08.xlsx&amp;sheet=U0&amp;row=6133&amp;col=7&amp;number=0.0738&amp;sourceID=14","0.0738")</f>
        <v>0.0738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HYPERLINK("http://141.218.60.56/~jnz1568/getInfo.php?workbook=16_08.xlsx&amp;sheet=U0&amp;row=6134&amp;col=6&amp;number=4&amp;sourceID=14","4")</f>
        <v>4</v>
      </c>
      <c r="G6134" s="4" t="str">
        <f>HYPERLINK("http://141.218.60.56/~jnz1568/getInfo.php?workbook=16_08.xlsx&amp;sheet=U0&amp;row=6134&amp;col=7&amp;number=0.0737&amp;sourceID=14","0.0737")</f>
        <v>0.0737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HYPERLINK("http://141.218.60.56/~jnz1568/getInfo.php?workbook=16_08.xlsx&amp;sheet=U0&amp;row=6135&amp;col=6&amp;number=4.1&amp;sourceID=14","4.1")</f>
        <v>4.1</v>
      </c>
      <c r="G6135" s="4" t="str">
        <f>HYPERLINK("http://141.218.60.56/~jnz1568/getInfo.php?workbook=16_08.xlsx&amp;sheet=U0&amp;row=6135&amp;col=7&amp;number=0.0736&amp;sourceID=14","0.0736")</f>
        <v>0.0736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HYPERLINK("http://141.218.60.56/~jnz1568/getInfo.php?workbook=16_08.xlsx&amp;sheet=U0&amp;row=6136&amp;col=6&amp;number=4.2&amp;sourceID=14","4.2")</f>
        <v>4.2</v>
      </c>
      <c r="G6136" s="4" t="str">
        <f>HYPERLINK("http://141.218.60.56/~jnz1568/getInfo.php?workbook=16_08.xlsx&amp;sheet=U0&amp;row=6136&amp;col=7&amp;number=0.0735&amp;sourceID=14","0.0735")</f>
        <v>0.0735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HYPERLINK("http://141.218.60.56/~jnz1568/getInfo.php?workbook=16_08.xlsx&amp;sheet=U0&amp;row=6137&amp;col=6&amp;number=4.3&amp;sourceID=14","4.3")</f>
        <v>4.3</v>
      </c>
      <c r="G6137" s="4" t="str">
        <f>HYPERLINK("http://141.218.60.56/~jnz1568/getInfo.php?workbook=16_08.xlsx&amp;sheet=U0&amp;row=6137&amp;col=7&amp;number=0.0733&amp;sourceID=14","0.0733")</f>
        <v>0.0733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HYPERLINK("http://141.218.60.56/~jnz1568/getInfo.php?workbook=16_08.xlsx&amp;sheet=U0&amp;row=6138&amp;col=6&amp;number=4.4&amp;sourceID=14","4.4")</f>
        <v>4.4</v>
      </c>
      <c r="G6138" s="4" t="str">
        <f>HYPERLINK("http://141.218.60.56/~jnz1568/getInfo.php?workbook=16_08.xlsx&amp;sheet=U0&amp;row=6138&amp;col=7&amp;number=0.0732&amp;sourceID=14","0.0732")</f>
        <v>0.0732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HYPERLINK("http://141.218.60.56/~jnz1568/getInfo.php?workbook=16_08.xlsx&amp;sheet=U0&amp;row=6139&amp;col=6&amp;number=4.5&amp;sourceID=14","4.5")</f>
        <v>4.5</v>
      </c>
      <c r="G6139" s="4" t="str">
        <f>HYPERLINK("http://141.218.60.56/~jnz1568/getInfo.php?workbook=16_08.xlsx&amp;sheet=U0&amp;row=6139&amp;col=7&amp;number=0.0729&amp;sourceID=14","0.0729")</f>
        <v>0.0729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HYPERLINK("http://141.218.60.56/~jnz1568/getInfo.php?workbook=16_08.xlsx&amp;sheet=U0&amp;row=6140&amp;col=6&amp;number=4.6&amp;sourceID=14","4.6")</f>
        <v>4.6</v>
      </c>
      <c r="G6140" s="4" t="str">
        <f>HYPERLINK("http://141.218.60.56/~jnz1568/getInfo.php?workbook=16_08.xlsx&amp;sheet=U0&amp;row=6140&amp;col=7&amp;number=0.0726&amp;sourceID=14","0.0726")</f>
        <v>0.0726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HYPERLINK("http://141.218.60.56/~jnz1568/getInfo.php?workbook=16_08.xlsx&amp;sheet=U0&amp;row=6141&amp;col=6&amp;number=4.7&amp;sourceID=14","4.7")</f>
        <v>4.7</v>
      </c>
      <c r="G6141" s="4" t="str">
        <f>HYPERLINK("http://141.218.60.56/~jnz1568/getInfo.php?workbook=16_08.xlsx&amp;sheet=U0&amp;row=6141&amp;col=7&amp;number=0.0723&amp;sourceID=14","0.0723")</f>
        <v>0.0723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HYPERLINK("http://141.218.60.56/~jnz1568/getInfo.php?workbook=16_08.xlsx&amp;sheet=U0&amp;row=6142&amp;col=6&amp;number=4.8&amp;sourceID=14","4.8")</f>
        <v>4.8</v>
      </c>
      <c r="G6142" s="4" t="str">
        <f>HYPERLINK("http://141.218.60.56/~jnz1568/getInfo.php?workbook=16_08.xlsx&amp;sheet=U0&amp;row=6142&amp;col=7&amp;number=0.0719&amp;sourceID=14","0.0719")</f>
        <v>0.0719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HYPERLINK("http://141.218.60.56/~jnz1568/getInfo.php?workbook=16_08.xlsx&amp;sheet=U0&amp;row=6143&amp;col=6&amp;number=4.9&amp;sourceID=14","4.9")</f>
        <v>4.9</v>
      </c>
      <c r="G6143" s="4" t="str">
        <f>HYPERLINK("http://141.218.60.56/~jnz1568/getInfo.php?workbook=16_08.xlsx&amp;sheet=U0&amp;row=6143&amp;col=7&amp;number=0.0713&amp;sourceID=14","0.0713")</f>
        <v>0.0713</v>
      </c>
    </row>
    <row r="6144" spans="1:7">
      <c r="A6144" s="3">
        <v>16</v>
      </c>
      <c r="B6144" s="3">
        <v>8</v>
      </c>
      <c r="C6144" s="3">
        <v>4</v>
      </c>
      <c r="D6144" s="3">
        <v>60</v>
      </c>
      <c r="E6144" s="3">
        <v>1</v>
      </c>
      <c r="F6144" s="4" t="str">
        <f>HYPERLINK("http://141.218.60.56/~jnz1568/getInfo.php?workbook=16_08.xlsx&amp;sheet=U0&amp;row=6144&amp;col=6&amp;number=3&amp;sourceID=14","3")</f>
        <v>3</v>
      </c>
      <c r="G6144" s="4" t="str">
        <f>HYPERLINK("http://141.218.60.56/~jnz1568/getInfo.php?workbook=16_08.xlsx&amp;sheet=U0&amp;row=6144&amp;col=7&amp;number=0.0202&amp;sourceID=14","0.0202")</f>
        <v>0.0202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HYPERLINK("http://141.218.60.56/~jnz1568/getInfo.php?workbook=16_08.xlsx&amp;sheet=U0&amp;row=6145&amp;col=6&amp;number=3.1&amp;sourceID=14","3.1")</f>
        <v>3.1</v>
      </c>
      <c r="G6145" s="4" t="str">
        <f>HYPERLINK("http://141.218.60.56/~jnz1568/getInfo.php?workbook=16_08.xlsx&amp;sheet=U0&amp;row=6145&amp;col=7&amp;number=0.0202&amp;sourceID=14","0.0202")</f>
        <v>0.0202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HYPERLINK("http://141.218.60.56/~jnz1568/getInfo.php?workbook=16_08.xlsx&amp;sheet=U0&amp;row=6146&amp;col=6&amp;number=3.2&amp;sourceID=14","3.2")</f>
        <v>3.2</v>
      </c>
      <c r="G6146" s="4" t="str">
        <f>HYPERLINK("http://141.218.60.56/~jnz1568/getInfo.php?workbook=16_08.xlsx&amp;sheet=U0&amp;row=6146&amp;col=7&amp;number=0.0202&amp;sourceID=14","0.0202")</f>
        <v>0.0202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HYPERLINK("http://141.218.60.56/~jnz1568/getInfo.php?workbook=16_08.xlsx&amp;sheet=U0&amp;row=6147&amp;col=6&amp;number=3.3&amp;sourceID=14","3.3")</f>
        <v>3.3</v>
      </c>
      <c r="G6147" s="4" t="str">
        <f>HYPERLINK("http://141.218.60.56/~jnz1568/getInfo.php?workbook=16_08.xlsx&amp;sheet=U0&amp;row=6147&amp;col=7&amp;number=0.0202&amp;sourceID=14","0.0202")</f>
        <v>0.0202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HYPERLINK("http://141.218.60.56/~jnz1568/getInfo.php?workbook=16_08.xlsx&amp;sheet=U0&amp;row=6148&amp;col=6&amp;number=3.4&amp;sourceID=14","3.4")</f>
        <v>3.4</v>
      </c>
      <c r="G6148" s="4" t="str">
        <f>HYPERLINK("http://141.218.60.56/~jnz1568/getInfo.php?workbook=16_08.xlsx&amp;sheet=U0&amp;row=6148&amp;col=7&amp;number=0.0202&amp;sourceID=14","0.0202")</f>
        <v>0.0202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HYPERLINK("http://141.218.60.56/~jnz1568/getInfo.php?workbook=16_08.xlsx&amp;sheet=U0&amp;row=6149&amp;col=6&amp;number=3.5&amp;sourceID=14","3.5")</f>
        <v>3.5</v>
      </c>
      <c r="G6149" s="4" t="str">
        <f>HYPERLINK("http://141.218.60.56/~jnz1568/getInfo.php?workbook=16_08.xlsx&amp;sheet=U0&amp;row=6149&amp;col=7&amp;number=0.0202&amp;sourceID=14","0.0202")</f>
        <v>0.0202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HYPERLINK("http://141.218.60.56/~jnz1568/getInfo.php?workbook=16_08.xlsx&amp;sheet=U0&amp;row=6150&amp;col=6&amp;number=3.6&amp;sourceID=14","3.6")</f>
        <v>3.6</v>
      </c>
      <c r="G6150" s="4" t="str">
        <f>HYPERLINK("http://141.218.60.56/~jnz1568/getInfo.php?workbook=16_08.xlsx&amp;sheet=U0&amp;row=6150&amp;col=7&amp;number=0.0202&amp;sourceID=14","0.0202")</f>
        <v>0.0202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HYPERLINK("http://141.218.60.56/~jnz1568/getInfo.php?workbook=16_08.xlsx&amp;sheet=U0&amp;row=6151&amp;col=6&amp;number=3.7&amp;sourceID=14","3.7")</f>
        <v>3.7</v>
      </c>
      <c r="G6151" s="4" t="str">
        <f>HYPERLINK("http://141.218.60.56/~jnz1568/getInfo.php?workbook=16_08.xlsx&amp;sheet=U0&amp;row=6151&amp;col=7&amp;number=0.0202&amp;sourceID=14","0.0202")</f>
        <v>0.0202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HYPERLINK("http://141.218.60.56/~jnz1568/getInfo.php?workbook=16_08.xlsx&amp;sheet=U0&amp;row=6152&amp;col=6&amp;number=3.8&amp;sourceID=14","3.8")</f>
        <v>3.8</v>
      </c>
      <c r="G6152" s="4" t="str">
        <f>HYPERLINK("http://141.218.60.56/~jnz1568/getInfo.php?workbook=16_08.xlsx&amp;sheet=U0&amp;row=6152&amp;col=7&amp;number=0.0202&amp;sourceID=14","0.0202")</f>
        <v>0.0202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HYPERLINK("http://141.218.60.56/~jnz1568/getInfo.php?workbook=16_08.xlsx&amp;sheet=U0&amp;row=6153&amp;col=6&amp;number=3.9&amp;sourceID=14","3.9")</f>
        <v>3.9</v>
      </c>
      <c r="G6153" s="4" t="str">
        <f>HYPERLINK("http://141.218.60.56/~jnz1568/getInfo.php?workbook=16_08.xlsx&amp;sheet=U0&amp;row=6153&amp;col=7&amp;number=0.0202&amp;sourceID=14","0.0202")</f>
        <v>0.0202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HYPERLINK("http://141.218.60.56/~jnz1568/getInfo.php?workbook=16_08.xlsx&amp;sheet=U0&amp;row=6154&amp;col=6&amp;number=4&amp;sourceID=14","4")</f>
        <v>4</v>
      </c>
      <c r="G6154" s="4" t="str">
        <f>HYPERLINK("http://141.218.60.56/~jnz1568/getInfo.php?workbook=16_08.xlsx&amp;sheet=U0&amp;row=6154&amp;col=7&amp;number=0.0202&amp;sourceID=14","0.0202")</f>
        <v>0.0202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HYPERLINK("http://141.218.60.56/~jnz1568/getInfo.php?workbook=16_08.xlsx&amp;sheet=U0&amp;row=6155&amp;col=6&amp;number=4.1&amp;sourceID=14","4.1")</f>
        <v>4.1</v>
      </c>
      <c r="G6155" s="4" t="str">
        <f>HYPERLINK("http://141.218.60.56/~jnz1568/getInfo.php?workbook=16_08.xlsx&amp;sheet=U0&amp;row=6155&amp;col=7&amp;number=0.0202&amp;sourceID=14","0.0202")</f>
        <v>0.0202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HYPERLINK("http://141.218.60.56/~jnz1568/getInfo.php?workbook=16_08.xlsx&amp;sheet=U0&amp;row=6156&amp;col=6&amp;number=4.2&amp;sourceID=14","4.2")</f>
        <v>4.2</v>
      </c>
      <c r="G6156" s="4" t="str">
        <f>HYPERLINK("http://141.218.60.56/~jnz1568/getInfo.php?workbook=16_08.xlsx&amp;sheet=U0&amp;row=6156&amp;col=7&amp;number=0.0202&amp;sourceID=14","0.0202")</f>
        <v>0.0202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HYPERLINK("http://141.218.60.56/~jnz1568/getInfo.php?workbook=16_08.xlsx&amp;sheet=U0&amp;row=6157&amp;col=6&amp;number=4.3&amp;sourceID=14","4.3")</f>
        <v>4.3</v>
      </c>
      <c r="G6157" s="4" t="str">
        <f>HYPERLINK("http://141.218.60.56/~jnz1568/getInfo.php?workbook=16_08.xlsx&amp;sheet=U0&amp;row=6157&amp;col=7&amp;number=0.0201&amp;sourceID=14","0.0201")</f>
        <v>0.0201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HYPERLINK("http://141.218.60.56/~jnz1568/getInfo.php?workbook=16_08.xlsx&amp;sheet=U0&amp;row=6158&amp;col=6&amp;number=4.4&amp;sourceID=14","4.4")</f>
        <v>4.4</v>
      </c>
      <c r="G6158" s="4" t="str">
        <f>HYPERLINK("http://141.218.60.56/~jnz1568/getInfo.php?workbook=16_08.xlsx&amp;sheet=U0&amp;row=6158&amp;col=7&amp;number=0.0201&amp;sourceID=14","0.0201")</f>
        <v>0.0201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HYPERLINK("http://141.218.60.56/~jnz1568/getInfo.php?workbook=16_08.xlsx&amp;sheet=U0&amp;row=6159&amp;col=6&amp;number=4.5&amp;sourceID=14","4.5")</f>
        <v>4.5</v>
      </c>
      <c r="G6159" s="4" t="str">
        <f>HYPERLINK("http://141.218.60.56/~jnz1568/getInfo.php?workbook=16_08.xlsx&amp;sheet=U0&amp;row=6159&amp;col=7&amp;number=0.0201&amp;sourceID=14","0.0201")</f>
        <v>0.0201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HYPERLINK("http://141.218.60.56/~jnz1568/getInfo.php?workbook=16_08.xlsx&amp;sheet=U0&amp;row=6160&amp;col=6&amp;number=4.6&amp;sourceID=14","4.6")</f>
        <v>4.6</v>
      </c>
      <c r="G6160" s="4" t="str">
        <f>HYPERLINK("http://141.218.60.56/~jnz1568/getInfo.php?workbook=16_08.xlsx&amp;sheet=U0&amp;row=6160&amp;col=7&amp;number=0.02&amp;sourceID=14","0.02")</f>
        <v>0.02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HYPERLINK("http://141.218.60.56/~jnz1568/getInfo.php?workbook=16_08.xlsx&amp;sheet=U0&amp;row=6161&amp;col=6&amp;number=4.7&amp;sourceID=14","4.7")</f>
        <v>4.7</v>
      </c>
      <c r="G6161" s="4" t="str">
        <f>HYPERLINK("http://141.218.60.56/~jnz1568/getInfo.php?workbook=16_08.xlsx&amp;sheet=U0&amp;row=6161&amp;col=7&amp;number=0.02&amp;sourceID=14","0.02")</f>
        <v>0.02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HYPERLINK("http://141.218.60.56/~jnz1568/getInfo.php?workbook=16_08.xlsx&amp;sheet=U0&amp;row=6162&amp;col=6&amp;number=4.8&amp;sourceID=14","4.8")</f>
        <v>4.8</v>
      </c>
      <c r="G6162" s="4" t="str">
        <f>HYPERLINK("http://141.218.60.56/~jnz1568/getInfo.php?workbook=16_08.xlsx&amp;sheet=U0&amp;row=6162&amp;col=7&amp;number=0.0199&amp;sourceID=14","0.0199")</f>
        <v>0.0199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HYPERLINK("http://141.218.60.56/~jnz1568/getInfo.php?workbook=16_08.xlsx&amp;sheet=U0&amp;row=6163&amp;col=6&amp;number=4.9&amp;sourceID=14","4.9")</f>
        <v>4.9</v>
      </c>
      <c r="G6163" s="4" t="str">
        <f>HYPERLINK("http://141.218.60.56/~jnz1568/getInfo.php?workbook=16_08.xlsx&amp;sheet=U0&amp;row=6163&amp;col=7&amp;number=0.0199&amp;sourceID=14","0.0199")</f>
        <v>0.0199</v>
      </c>
    </row>
    <row r="6164" spans="1:7">
      <c r="A6164" s="3">
        <v>16</v>
      </c>
      <c r="B6164" s="3">
        <v>8</v>
      </c>
      <c r="C6164" s="3">
        <v>4</v>
      </c>
      <c r="D6164" s="3">
        <v>61</v>
      </c>
      <c r="E6164" s="3">
        <v>1</v>
      </c>
      <c r="F6164" s="4" t="str">
        <f>HYPERLINK("http://141.218.60.56/~jnz1568/getInfo.php?workbook=16_08.xlsx&amp;sheet=U0&amp;row=6164&amp;col=6&amp;number=3&amp;sourceID=14","3")</f>
        <v>3</v>
      </c>
      <c r="G6164" s="4" t="str">
        <f>HYPERLINK("http://141.218.60.56/~jnz1568/getInfo.php?workbook=16_08.xlsx&amp;sheet=U0&amp;row=6164&amp;col=7&amp;number=0.0378&amp;sourceID=14","0.0378")</f>
        <v>0.0378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HYPERLINK("http://141.218.60.56/~jnz1568/getInfo.php?workbook=16_08.xlsx&amp;sheet=U0&amp;row=6165&amp;col=6&amp;number=3.1&amp;sourceID=14","3.1")</f>
        <v>3.1</v>
      </c>
      <c r="G6165" s="4" t="str">
        <f>HYPERLINK("http://141.218.60.56/~jnz1568/getInfo.php?workbook=16_08.xlsx&amp;sheet=U0&amp;row=6165&amp;col=7&amp;number=0.0378&amp;sourceID=14","0.0378")</f>
        <v>0.0378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HYPERLINK("http://141.218.60.56/~jnz1568/getInfo.php?workbook=16_08.xlsx&amp;sheet=U0&amp;row=6166&amp;col=6&amp;number=3.2&amp;sourceID=14","3.2")</f>
        <v>3.2</v>
      </c>
      <c r="G6166" s="4" t="str">
        <f>HYPERLINK("http://141.218.60.56/~jnz1568/getInfo.php?workbook=16_08.xlsx&amp;sheet=U0&amp;row=6166&amp;col=7&amp;number=0.0378&amp;sourceID=14","0.0378")</f>
        <v>0.0378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HYPERLINK("http://141.218.60.56/~jnz1568/getInfo.php?workbook=16_08.xlsx&amp;sheet=U0&amp;row=6167&amp;col=6&amp;number=3.3&amp;sourceID=14","3.3")</f>
        <v>3.3</v>
      </c>
      <c r="G6167" s="4" t="str">
        <f>HYPERLINK("http://141.218.60.56/~jnz1568/getInfo.php?workbook=16_08.xlsx&amp;sheet=U0&amp;row=6167&amp;col=7&amp;number=0.0378&amp;sourceID=14","0.0378")</f>
        <v>0.0378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HYPERLINK("http://141.218.60.56/~jnz1568/getInfo.php?workbook=16_08.xlsx&amp;sheet=U0&amp;row=6168&amp;col=6&amp;number=3.4&amp;sourceID=14","3.4")</f>
        <v>3.4</v>
      </c>
      <c r="G6168" s="4" t="str">
        <f>HYPERLINK("http://141.218.60.56/~jnz1568/getInfo.php?workbook=16_08.xlsx&amp;sheet=U0&amp;row=6168&amp;col=7&amp;number=0.0378&amp;sourceID=14","0.0378")</f>
        <v>0.0378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HYPERLINK("http://141.218.60.56/~jnz1568/getInfo.php?workbook=16_08.xlsx&amp;sheet=U0&amp;row=6169&amp;col=6&amp;number=3.5&amp;sourceID=14","3.5")</f>
        <v>3.5</v>
      </c>
      <c r="G6169" s="4" t="str">
        <f>HYPERLINK("http://141.218.60.56/~jnz1568/getInfo.php?workbook=16_08.xlsx&amp;sheet=U0&amp;row=6169&amp;col=7&amp;number=0.0378&amp;sourceID=14","0.0378")</f>
        <v>0.0378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HYPERLINK("http://141.218.60.56/~jnz1568/getInfo.php?workbook=16_08.xlsx&amp;sheet=U0&amp;row=6170&amp;col=6&amp;number=3.6&amp;sourceID=14","3.6")</f>
        <v>3.6</v>
      </c>
      <c r="G6170" s="4" t="str">
        <f>HYPERLINK("http://141.218.60.56/~jnz1568/getInfo.php?workbook=16_08.xlsx&amp;sheet=U0&amp;row=6170&amp;col=7&amp;number=0.0378&amp;sourceID=14","0.0378")</f>
        <v>0.0378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HYPERLINK("http://141.218.60.56/~jnz1568/getInfo.php?workbook=16_08.xlsx&amp;sheet=U0&amp;row=6171&amp;col=6&amp;number=3.7&amp;sourceID=14","3.7")</f>
        <v>3.7</v>
      </c>
      <c r="G6171" s="4" t="str">
        <f>HYPERLINK("http://141.218.60.56/~jnz1568/getInfo.php?workbook=16_08.xlsx&amp;sheet=U0&amp;row=6171&amp;col=7&amp;number=0.0378&amp;sourceID=14","0.0378")</f>
        <v>0.0378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HYPERLINK("http://141.218.60.56/~jnz1568/getInfo.php?workbook=16_08.xlsx&amp;sheet=U0&amp;row=6172&amp;col=6&amp;number=3.8&amp;sourceID=14","3.8")</f>
        <v>3.8</v>
      </c>
      <c r="G6172" s="4" t="str">
        <f>HYPERLINK("http://141.218.60.56/~jnz1568/getInfo.php?workbook=16_08.xlsx&amp;sheet=U0&amp;row=6172&amp;col=7&amp;number=0.0377&amp;sourceID=14","0.0377")</f>
        <v>0.0377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HYPERLINK("http://141.218.60.56/~jnz1568/getInfo.php?workbook=16_08.xlsx&amp;sheet=U0&amp;row=6173&amp;col=6&amp;number=3.9&amp;sourceID=14","3.9")</f>
        <v>3.9</v>
      </c>
      <c r="G6173" s="4" t="str">
        <f>HYPERLINK("http://141.218.60.56/~jnz1568/getInfo.php?workbook=16_08.xlsx&amp;sheet=U0&amp;row=6173&amp;col=7&amp;number=0.0377&amp;sourceID=14","0.0377")</f>
        <v>0.0377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HYPERLINK("http://141.218.60.56/~jnz1568/getInfo.php?workbook=16_08.xlsx&amp;sheet=U0&amp;row=6174&amp;col=6&amp;number=4&amp;sourceID=14","4")</f>
        <v>4</v>
      </c>
      <c r="G6174" s="4" t="str">
        <f>HYPERLINK("http://141.218.60.56/~jnz1568/getInfo.php?workbook=16_08.xlsx&amp;sheet=U0&amp;row=6174&amp;col=7&amp;number=0.0377&amp;sourceID=14","0.0377")</f>
        <v>0.0377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HYPERLINK("http://141.218.60.56/~jnz1568/getInfo.php?workbook=16_08.xlsx&amp;sheet=U0&amp;row=6175&amp;col=6&amp;number=4.1&amp;sourceID=14","4.1")</f>
        <v>4.1</v>
      </c>
      <c r="G6175" s="4" t="str">
        <f>HYPERLINK("http://141.218.60.56/~jnz1568/getInfo.php?workbook=16_08.xlsx&amp;sheet=U0&amp;row=6175&amp;col=7&amp;number=0.0376&amp;sourceID=14","0.0376")</f>
        <v>0.0376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HYPERLINK("http://141.218.60.56/~jnz1568/getInfo.php?workbook=16_08.xlsx&amp;sheet=U0&amp;row=6176&amp;col=6&amp;number=4.2&amp;sourceID=14","4.2")</f>
        <v>4.2</v>
      </c>
      <c r="G6176" s="4" t="str">
        <f>HYPERLINK("http://141.218.60.56/~jnz1568/getInfo.php?workbook=16_08.xlsx&amp;sheet=U0&amp;row=6176&amp;col=7&amp;number=0.0375&amp;sourceID=14","0.0375")</f>
        <v>0.0375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HYPERLINK("http://141.218.60.56/~jnz1568/getInfo.php?workbook=16_08.xlsx&amp;sheet=U0&amp;row=6177&amp;col=6&amp;number=4.3&amp;sourceID=14","4.3")</f>
        <v>4.3</v>
      </c>
      <c r="G6177" s="4" t="str">
        <f>HYPERLINK("http://141.218.60.56/~jnz1568/getInfo.php?workbook=16_08.xlsx&amp;sheet=U0&amp;row=6177&amp;col=7&amp;number=0.0374&amp;sourceID=14","0.0374")</f>
        <v>0.0374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HYPERLINK("http://141.218.60.56/~jnz1568/getInfo.php?workbook=16_08.xlsx&amp;sheet=U0&amp;row=6178&amp;col=6&amp;number=4.4&amp;sourceID=14","4.4")</f>
        <v>4.4</v>
      </c>
      <c r="G6178" s="4" t="str">
        <f>HYPERLINK("http://141.218.60.56/~jnz1568/getInfo.php?workbook=16_08.xlsx&amp;sheet=U0&amp;row=6178&amp;col=7&amp;number=0.0373&amp;sourceID=14","0.0373")</f>
        <v>0.0373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HYPERLINK("http://141.218.60.56/~jnz1568/getInfo.php?workbook=16_08.xlsx&amp;sheet=U0&amp;row=6179&amp;col=6&amp;number=4.5&amp;sourceID=14","4.5")</f>
        <v>4.5</v>
      </c>
      <c r="G6179" s="4" t="str">
        <f>HYPERLINK("http://141.218.60.56/~jnz1568/getInfo.php?workbook=16_08.xlsx&amp;sheet=U0&amp;row=6179&amp;col=7&amp;number=0.0372&amp;sourceID=14","0.0372")</f>
        <v>0.0372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HYPERLINK("http://141.218.60.56/~jnz1568/getInfo.php?workbook=16_08.xlsx&amp;sheet=U0&amp;row=6180&amp;col=6&amp;number=4.6&amp;sourceID=14","4.6")</f>
        <v>4.6</v>
      </c>
      <c r="G6180" s="4" t="str">
        <f>HYPERLINK("http://141.218.60.56/~jnz1568/getInfo.php?workbook=16_08.xlsx&amp;sheet=U0&amp;row=6180&amp;col=7&amp;number=0.037&amp;sourceID=14","0.037")</f>
        <v>0.037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HYPERLINK("http://141.218.60.56/~jnz1568/getInfo.php?workbook=16_08.xlsx&amp;sheet=U0&amp;row=6181&amp;col=6&amp;number=4.7&amp;sourceID=14","4.7")</f>
        <v>4.7</v>
      </c>
      <c r="G6181" s="4" t="str">
        <f>HYPERLINK("http://141.218.60.56/~jnz1568/getInfo.php?workbook=16_08.xlsx&amp;sheet=U0&amp;row=6181&amp;col=7&amp;number=0.0368&amp;sourceID=14","0.0368")</f>
        <v>0.0368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HYPERLINK("http://141.218.60.56/~jnz1568/getInfo.php?workbook=16_08.xlsx&amp;sheet=U0&amp;row=6182&amp;col=6&amp;number=4.8&amp;sourceID=14","4.8")</f>
        <v>4.8</v>
      </c>
      <c r="G6182" s="4" t="str">
        <f>HYPERLINK("http://141.218.60.56/~jnz1568/getInfo.php?workbook=16_08.xlsx&amp;sheet=U0&amp;row=6182&amp;col=7&amp;number=0.0366&amp;sourceID=14","0.0366")</f>
        <v>0.0366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HYPERLINK("http://141.218.60.56/~jnz1568/getInfo.php?workbook=16_08.xlsx&amp;sheet=U0&amp;row=6183&amp;col=6&amp;number=4.9&amp;sourceID=14","4.9")</f>
        <v>4.9</v>
      </c>
      <c r="G6183" s="4" t="str">
        <f>HYPERLINK("http://141.218.60.56/~jnz1568/getInfo.php?workbook=16_08.xlsx&amp;sheet=U0&amp;row=6183&amp;col=7&amp;number=0.0362&amp;sourceID=14","0.0362")</f>
        <v>0.0362</v>
      </c>
    </row>
    <row r="6184" spans="1:7">
      <c r="A6184" s="3">
        <v>16</v>
      </c>
      <c r="B6184" s="3">
        <v>8</v>
      </c>
      <c r="C6184" s="3">
        <v>4</v>
      </c>
      <c r="D6184" s="3">
        <v>62</v>
      </c>
      <c r="E6184" s="3">
        <v>1</v>
      </c>
      <c r="F6184" s="4" t="str">
        <f>HYPERLINK("http://141.218.60.56/~jnz1568/getInfo.php?workbook=16_08.xlsx&amp;sheet=U0&amp;row=6184&amp;col=6&amp;number=3&amp;sourceID=14","3")</f>
        <v>3</v>
      </c>
      <c r="G6184" s="4" t="str">
        <f>HYPERLINK("http://141.218.60.56/~jnz1568/getInfo.php?workbook=16_08.xlsx&amp;sheet=U0&amp;row=6184&amp;col=7&amp;number=0.0479&amp;sourceID=14","0.0479")</f>
        <v>0.0479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HYPERLINK("http://141.218.60.56/~jnz1568/getInfo.php?workbook=16_08.xlsx&amp;sheet=U0&amp;row=6185&amp;col=6&amp;number=3.1&amp;sourceID=14","3.1")</f>
        <v>3.1</v>
      </c>
      <c r="G6185" s="4" t="str">
        <f>HYPERLINK("http://141.218.60.56/~jnz1568/getInfo.php?workbook=16_08.xlsx&amp;sheet=U0&amp;row=6185&amp;col=7&amp;number=0.0478&amp;sourceID=14","0.0478")</f>
        <v>0.0478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HYPERLINK("http://141.218.60.56/~jnz1568/getInfo.php?workbook=16_08.xlsx&amp;sheet=U0&amp;row=6186&amp;col=6&amp;number=3.2&amp;sourceID=14","3.2")</f>
        <v>3.2</v>
      </c>
      <c r="G6186" s="4" t="str">
        <f>HYPERLINK("http://141.218.60.56/~jnz1568/getInfo.php?workbook=16_08.xlsx&amp;sheet=U0&amp;row=6186&amp;col=7&amp;number=0.0478&amp;sourceID=14","0.0478")</f>
        <v>0.0478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HYPERLINK("http://141.218.60.56/~jnz1568/getInfo.php?workbook=16_08.xlsx&amp;sheet=U0&amp;row=6187&amp;col=6&amp;number=3.3&amp;sourceID=14","3.3")</f>
        <v>3.3</v>
      </c>
      <c r="G6187" s="4" t="str">
        <f>HYPERLINK("http://141.218.60.56/~jnz1568/getInfo.php?workbook=16_08.xlsx&amp;sheet=U0&amp;row=6187&amp;col=7&amp;number=0.0478&amp;sourceID=14","0.0478")</f>
        <v>0.0478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HYPERLINK("http://141.218.60.56/~jnz1568/getInfo.php?workbook=16_08.xlsx&amp;sheet=U0&amp;row=6188&amp;col=6&amp;number=3.4&amp;sourceID=14","3.4")</f>
        <v>3.4</v>
      </c>
      <c r="G6188" s="4" t="str">
        <f>HYPERLINK("http://141.218.60.56/~jnz1568/getInfo.php?workbook=16_08.xlsx&amp;sheet=U0&amp;row=6188&amp;col=7&amp;number=0.0478&amp;sourceID=14","0.0478")</f>
        <v>0.0478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HYPERLINK("http://141.218.60.56/~jnz1568/getInfo.php?workbook=16_08.xlsx&amp;sheet=U0&amp;row=6189&amp;col=6&amp;number=3.5&amp;sourceID=14","3.5")</f>
        <v>3.5</v>
      </c>
      <c r="G6189" s="4" t="str">
        <f>HYPERLINK("http://141.218.60.56/~jnz1568/getInfo.php?workbook=16_08.xlsx&amp;sheet=U0&amp;row=6189&amp;col=7&amp;number=0.0478&amp;sourceID=14","0.0478")</f>
        <v>0.0478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HYPERLINK("http://141.218.60.56/~jnz1568/getInfo.php?workbook=16_08.xlsx&amp;sheet=U0&amp;row=6190&amp;col=6&amp;number=3.6&amp;sourceID=14","3.6")</f>
        <v>3.6</v>
      </c>
      <c r="G6190" s="4" t="str">
        <f>HYPERLINK("http://141.218.60.56/~jnz1568/getInfo.php?workbook=16_08.xlsx&amp;sheet=U0&amp;row=6190&amp;col=7&amp;number=0.0478&amp;sourceID=14","0.0478")</f>
        <v>0.0478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HYPERLINK("http://141.218.60.56/~jnz1568/getInfo.php?workbook=16_08.xlsx&amp;sheet=U0&amp;row=6191&amp;col=6&amp;number=3.7&amp;sourceID=14","3.7")</f>
        <v>3.7</v>
      </c>
      <c r="G6191" s="4" t="str">
        <f>HYPERLINK("http://141.218.60.56/~jnz1568/getInfo.php?workbook=16_08.xlsx&amp;sheet=U0&amp;row=6191&amp;col=7&amp;number=0.0477&amp;sourceID=14","0.0477")</f>
        <v>0.0477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HYPERLINK("http://141.218.60.56/~jnz1568/getInfo.php?workbook=16_08.xlsx&amp;sheet=U0&amp;row=6192&amp;col=6&amp;number=3.8&amp;sourceID=14","3.8")</f>
        <v>3.8</v>
      </c>
      <c r="G6192" s="4" t="str">
        <f>HYPERLINK("http://141.218.60.56/~jnz1568/getInfo.php?workbook=16_08.xlsx&amp;sheet=U0&amp;row=6192&amp;col=7&amp;number=0.0477&amp;sourceID=14","0.0477")</f>
        <v>0.0477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HYPERLINK("http://141.218.60.56/~jnz1568/getInfo.php?workbook=16_08.xlsx&amp;sheet=U0&amp;row=6193&amp;col=6&amp;number=3.9&amp;sourceID=14","3.9")</f>
        <v>3.9</v>
      </c>
      <c r="G6193" s="4" t="str">
        <f>HYPERLINK("http://141.218.60.56/~jnz1568/getInfo.php?workbook=16_08.xlsx&amp;sheet=U0&amp;row=6193&amp;col=7&amp;number=0.0477&amp;sourceID=14","0.0477")</f>
        <v>0.0477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HYPERLINK("http://141.218.60.56/~jnz1568/getInfo.php?workbook=16_08.xlsx&amp;sheet=U0&amp;row=6194&amp;col=6&amp;number=4&amp;sourceID=14","4")</f>
        <v>4</v>
      </c>
      <c r="G6194" s="4" t="str">
        <f>HYPERLINK("http://141.218.60.56/~jnz1568/getInfo.php?workbook=16_08.xlsx&amp;sheet=U0&amp;row=6194&amp;col=7&amp;number=0.0476&amp;sourceID=14","0.0476")</f>
        <v>0.0476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HYPERLINK("http://141.218.60.56/~jnz1568/getInfo.php?workbook=16_08.xlsx&amp;sheet=U0&amp;row=6195&amp;col=6&amp;number=4.1&amp;sourceID=14","4.1")</f>
        <v>4.1</v>
      </c>
      <c r="G6195" s="4" t="str">
        <f>HYPERLINK("http://141.218.60.56/~jnz1568/getInfo.php?workbook=16_08.xlsx&amp;sheet=U0&amp;row=6195&amp;col=7&amp;number=0.0475&amp;sourceID=14","0.0475")</f>
        <v>0.0475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HYPERLINK("http://141.218.60.56/~jnz1568/getInfo.php?workbook=16_08.xlsx&amp;sheet=U0&amp;row=6196&amp;col=6&amp;number=4.2&amp;sourceID=14","4.2")</f>
        <v>4.2</v>
      </c>
      <c r="G6196" s="4" t="str">
        <f>HYPERLINK("http://141.218.60.56/~jnz1568/getInfo.php?workbook=16_08.xlsx&amp;sheet=U0&amp;row=6196&amp;col=7&amp;number=0.0475&amp;sourceID=14","0.0475")</f>
        <v>0.0475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HYPERLINK("http://141.218.60.56/~jnz1568/getInfo.php?workbook=16_08.xlsx&amp;sheet=U0&amp;row=6197&amp;col=6&amp;number=4.3&amp;sourceID=14","4.3")</f>
        <v>4.3</v>
      </c>
      <c r="G6197" s="4" t="str">
        <f>HYPERLINK("http://141.218.60.56/~jnz1568/getInfo.php?workbook=16_08.xlsx&amp;sheet=U0&amp;row=6197&amp;col=7&amp;number=0.0473&amp;sourceID=14","0.0473")</f>
        <v>0.0473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HYPERLINK("http://141.218.60.56/~jnz1568/getInfo.php?workbook=16_08.xlsx&amp;sheet=U0&amp;row=6198&amp;col=6&amp;number=4.4&amp;sourceID=14","4.4")</f>
        <v>4.4</v>
      </c>
      <c r="G6198" s="4" t="str">
        <f>HYPERLINK("http://141.218.60.56/~jnz1568/getInfo.php?workbook=16_08.xlsx&amp;sheet=U0&amp;row=6198&amp;col=7&amp;number=0.0472&amp;sourceID=14","0.0472")</f>
        <v>0.0472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HYPERLINK("http://141.218.60.56/~jnz1568/getInfo.php?workbook=16_08.xlsx&amp;sheet=U0&amp;row=6199&amp;col=6&amp;number=4.5&amp;sourceID=14","4.5")</f>
        <v>4.5</v>
      </c>
      <c r="G6199" s="4" t="str">
        <f>HYPERLINK("http://141.218.60.56/~jnz1568/getInfo.php?workbook=16_08.xlsx&amp;sheet=U0&amp;row=6199&amp;col=7&amp;number=0.047&amp;sourceID=14","0.047")</f>
        <v>0.047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HYPERLINK("http://141.218.60.56/~jnz1568/getInfo.php?workbook=16_08.xlsx&amp;sheet=U0&amp;row=6200&amp;col=6&amp;number=4.6&amp;sourceID=14","4.6")</f>
        <v>4.6</v>
      </c>
      <c r="G6200" s="4" t="str">
        <f>HYPERLINK("http://141.218.60.56/~jnz1568/getInfo.php?workbook=16_08.xlsx&amp;sheet=U0&amp;row=6200&amp;col=7&amp;number=0.0468&amp;sourceID=14","0.0468")</f>
        <v>0.0468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HYPERLINK("http://141.218.60.56/~jnz1568/getInfo.php?workbook=16_08.xlsx&amp;sheet=U0&amp;row=6201&amp;col=6&amp;number=4.7&amp;sourceID=14","4.7")</f>
        <v>4.7</v>
      </c>
      <c r="G6201" s="4" t="str">
        <f>HYPERLINK("http://141.218.60.56/~jnz1568/getInfo.php?workbook=16_08.xlsx&amp;sheet=U0&amp;row=6201&amp;col=7&amp;number=0.0466&amp;sourceID=14","0.0466")</f>
        <v>0.0466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HYPERLINK("http://141.218.60.56/~jnz1568/getInfo.php?workbook=16_08.xlsx&amp;sheet=U0&amp;row=6202&amp;col=6&amp;number=4.8&amp;sourceID=14","4.8")</f>
        <v>4.8</v>
      </c>
      <c r="G6202" s="4" t="str">
        <f>HYPERLINK("http://141.218.60.56/~jnz1568/getInfo.php?workbook=16_08.xlsx&amp;sheet=U0&amp;row=6202&amp;col=7&amp;number=0.0462&amp;sourceID=14","0.0462")</f>
        <v>0.0462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HYPERLINK("http://141.218.60.56/~jnz1568/getInfo.php?workbook=16_08.xlsx&amp;sheet=U0&amp;row=6203&amp;col=6&amp;number=4.9&amp;sourceID=14","4.9")</f>
        <v>4.9</v>
      </c>
      <c r="G6203" s="4" t="str">
        <f>HYPERLINK("http://141.218.60.56/~jnz1568/getInfo.php?workbook=16_08.xlsx&amp;sheet=U0&amp;row=6203&amp;col=7&amp;number=0.0458&amp;sourceID=14","0.0458")</f>
        <v>0.0458</v>
      </c>
    </row>
    <row r="6204" spans="1:7">
      <c r="A6204" s="3">
        <v>16</v>
      </c>
      <c r="B6204" s="3">
        <v>8</v>
      </c>
      <c r="C6204" s="3">
        <v>4</v>
      </c>
      <c r="D6204" s="3">
        <v>63</v>
      </c>
      <c r="E6204" s="3">
        <v>1</v>
      </c>
      <c r="F6204" s="4" t="str">
        <f>HYPERLINK("http://141.218.60.56/~jnz1568/getInfo.php?workbook=16_08.xlsx&amp;sheet=U0&amp;row=6204&amp;col=6&amp;number=3&amp;sourceID=14","3")</f>
        <v>3</v>
      </c>
      <c r="G6204" s="4" t="str">
        <f>HYPERLINK("http://141.218.60.56/~jnz1568/getInfo.php?workbook=16_08.xlsx&amp;sheet=U0&amp;row=6204&amp;col=7&amp;number=0.0191&amp;sourceID=14","0.0191")</f>
        <v>0.0191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HYPERLINK("http://141.218.60.56/~jnz1568/getInfo.php?workbook=16_08.xlsx&amp;sheet=U0&amp;row=6205&amp;col=6&amp;number=3.1&amp;sourceID=14","3.1")</f>
        <v>3.1</v>
      </c>
      <c r="G6205" s="4" t="str">
        <f>HYPERLINK("http://141.218.60.56/~jnz1568/getInfo.php?workbook=16_08.xlsx&amp;sheet=U0&amp;row=6205&amp;col=7&amp;number=0.0191&amp;sourceID=14","0.0191")</f>
        <v>0.0191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HYPERLINK("http://141.218.60.56/~jnz1568/getInfo.php?workbook=16_08.xlsx&amp;sheet=U0&amp;row=6206&amp;col=6&amp;number=3.2&amp;sourceID=14","3.2")</f>
        <v>3.2</v>
      </c>
      <c r="G6206" s="4" t="str">
        <f>HYPERLINK("http://141.218.60.56/~jnz1568/getInfo.php?workbook=16_08.xlsx&amp;sheet=U0&amp;row=6206&amp;col=7&amp;number=0.0191&amp;sourceID=14","0.0191")</f>
        <v>0.0191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HYPERLINK("http://141.218.60.56/~jnz1568/getInfo.php?workbook=16_08.xlsx&amp;sheet=U0&amp;row=6207&amp;col=6&amp;number=3.3&amp;sourceID=14","3.3")</f>
        <v>3.3</v>
      </c>
      <c r="G6207" s="4" t="str">
        <f>HYPERLINK("http://141.218.60.56/~jnz1568/getInfo.php?workbook=16_08.xlsx&amp;sheet=U0&amp;row=6207&amp;col=7&amp;number=0.0191&amp;sourceID=14","0.0191")</f>
        <v>0.0191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HYPERLINK("http://141.218.60.56/~jnz1568/getInfo.php?workbook=16_08.xlsx&amp;sheet=U0&amp;row=6208&amp;col=6&amp;number=3.4&amp;sourceID=14","3.4")</f>
        <v>3.4</v>
      </c>
      <c r="G6208" s="4" t="str">
        <f>HYPERLINK("http://141.218.60.56/~jnz1568/getInfo.php?workbook=16_08.xlsx&amp;sheet=U0&amp;row=6208&amp;col=7&amp;number=0.0191&amp;sourceID=14","0.0191")</f>
        <v>0.0191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HYPERLINK("http://141.218.60.56/~jnz1568/getInfo.php?workbook=16_08.xlsx&amp;sheet=U0&amp;row=6209&amp;col=6&amp;number=3.5&amp;sourceID=14","3.5")</f>
        <v>3.5</v>
      </c>
      <c r="G6209" s="4" t="str">
        <f>HYPERLINK("http://141.218.60.56/~jnz1568/getInfo.php?workbook=16_08.xlsx&amp;sheet=U0&amp;row=6209&amp;col=7&amp;number=0.0191&amp;sourceID=14","0.0191")</f>
        <v>0.0191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HYPERLINK("http://141.218.60.56/~jnz1568/getInfo.php?workbook=16_08.xlsx&amp;sheet=U0&amp;row=6210&amp;col=6&amp;number=3.6&amp;sourceID=14","3.6")</f>
        <v>3.6</v>
      </c>
      <c r="G6210" s="4" t="str">
        <f>HYPERLINK("http://141.218.60.56/~jnz1568/getInfo.php?workbook=16_08.xlsx&amp;sheet=U0&amp;row=6210&amp;col=7&amp;number=0.0191&amp;sourceID=14","0.0191")</f>
        <v>0.0191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HYPERLINK("http://141.218.60.56/~jnz1568/getInfo.php?workbook=16_08.xlsx&amp;sheet=U0&amp;row=6211&amp;col=6&amp;number=3.7&amp;sourceID=14","3.7")</f>
        <v>3.7</v>
      </c>
      <c r="G6211" s="4" t="str">
        <f>HYPERLINK("http://141.218.60.56/~jnz1568/getInfo.php?workbook=16_08.xlsx&amp;sheet=U0&amp;row=6211&amp;col=7&amp;number=0.0191&amp;sourceID=14","0.0191")</f>
        <v>0.0191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HYPERLINK("http://141.218.60.56/~jnz1568/getInfo.php?workbook=16_08.xlsx&amp;sheet=U0&amp;row=6212&amp;col=6&amp;number=3.8&amp;sourceID=14","3.8")</f>
        <v>3.8</v>
      </c>
      <c r="G6212" s="4" t="str">
        <f>HYPERLINK("http://141.218.60.56/~jnz1568/getInfo.php?workbook=16_08.xlsx&amp;sheet=U0&amp;row=6212&amp;col=7&amp;number=0.0191&amp;sourceID=14","0.0191")</f>
        <v>0.0191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HYPERLINK("http://141.218.60.56/~jnz1568/getInfo.php?workbook=16_08.xlsx&amp;sheet=U0&amp;row=6213&amp;col=6&amp;number=3.9&amp;sourceID=14","3.9")</f>
        <v>3.9</v>
      </c>
      <c r="G6213" s="4" t="str">
        <f>HYPERLINK("http://141.218.60.56/~jnz1568/getInfo.php?workbook=16_08.xlsx&amp;sheet=U0&amp;row=6213&amp;col=7&amp;number=0.0191&amp;sourceID=14","0.0191")</f>
        <v>0.0191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HYPERLINK("http://141.218.60.56/~jnz1568/getInfo.php?workbook=16_08.xlsx&amp;sheet=U0&amp;row=6214&amp;col=6&amp;number=4&amp;sourceID=14","4")</f>
        <v>4</v>
      </c>
      <c r="G6214" s="4" t="str">
        <f>HYPERLINK("http://141.218.60.56/~jnz1568/getInfo.php?workbook=16_08.xlsx&amp;sheet=U0&amp;row=6214&amp;col=7&amp;number=0.0191&amp;sourceID=14","0.0191")</f>
        <v>0.0191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HYPERLINK("http://141.218.60.56/~jnz1568/getInfo.php?workbook=16_08.xlsx&amp;sheet=U0&amp;row=6215&amp;col=6&amp;number=4.1&amp;sourceID=14","4.1")</f>
        <v>4.1</v>
      </c>
      <c r="G6215" s="4" t="str">
        <f>HYPERLINK("http://141.218.60.56/~jnz1568/getInfo.php?workbook=16_08.xlsx&amp;sheet=U0&amp;row=6215&amp;col=7&amp;number=0.0191&amp;sourceID=14","0.0191")</f>
        <v>0.0191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HYPERLINK("http://141.218.60.56/~jnz1568/getInfo.php?workbook=16_08.xlsx&amp;sheet=U0&amp;row=6216&amp;col=6&amp;number=4.2&amp;sourceID=14","4.2")</f>
        <v>4.2</v>
      </c>
      <c r="G6216" s="4" t="str">
        <f>HYPERLINK("http://141.218.60.56/~jnz1568/getInfo.php?workbook=16_08.xlsx&amp;sheet=U0&amp;row=6216&amp;col=7&amp;number=0.0191&amp;sourceID=14","0.0191")</f>
        <v>0.0191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HYPERLINK("http://141.218.60.56/~jnz1568/getInfo.php?workbook=16_08.xlsx&amp;sheet=U0&amp;row=6217&amp;col=6&amp;number=4.3&amp;sourceID=14","4.3")</f>
        <v>4.3</v>
      </c>
      <c r="G6217" s="4" t="str">
        <f>HYPERLINK("http://141.218.60.56/~jnz1568/getInfo.php?workbook=16_08.xlsx&amp;sheet=U0&amp;row=6217&amp;col=7&amp;number=0.0191&amp;sourceID=14","0.0191")</f>
        <v>0.0191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HYPERLINK("http://141.218.60.56/~jnz1568/getInfo.php?workbook=16_08.xlsx&amp;sheet=U0&amp;row=6218&amp;col=6&amp;number=4.4&amp;sourceID=14","4.4")</f>
        <v>4.4</v>
      </c>
      <c r="G6218" s="4" t="str">
        <f>HYPERLINK("http://141.218.60.56/~jnz1568/getInfo.php?workbook=16_08.xlsx&amp;sheet=U0&amp;row=6218&amp;col=7&amp;number=0.0191&amp;sourceID=14","0.0191")</f>
        <v>0.0191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HYPERLINK("http://141.218.60.56/~jnz1568/getInfo.php?workbook=16_08.xlsx&amp;sheet=U0&amp;row=6219&amp;col=6&amp;number=4.5&amp;sourceID=14","4.5")</f>
        <v>4.5</v>
      </c>
      <c r="G6219" s="4" t="str">
        <f>HYPERLINK("http://141.218.60.56/~jnz1568/getInfo.php?workbook=16_08.xlsx&amp;sheet=U0&amp;row=6219&amp;col=7&amp;number=0.0191&amp;sourceID=14","0.0191")</f>
        <v>0.0191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HYPERLINK("http://141.218.60.56/~jnz1568/getInfo.php?workbook=16_08.xlsx&amp;sheet=U0&amp;row=6220&amp;col=6&amp;number=4.6&amp;sourceID=14","4.6")</f>
        <v>4.6</v>
      </c>
      <c r="G6220" s="4" t="str">
        <f>HYPERLINK("http://141.218.60.56/~jnz1568/getInfo.php?workbook=16_08.xlsx&amp;sheet=U0&amp;row=6220&amp;col=7&amp;number=0.0191&amp;sourceID=14","0.0191")</f>
        <v>0.0191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HYPERLINK("http://141.218.60.56/~jnz1568/getInfo.php?workbook=16_08.xlsx&amp;sheet=U0&amp;row=6221&amp;col=6&amp;number=4.7&amp;sourceID=14","4.7")</f>
        <v>4.7</v>
      </c>
      <c r="G6221" s="4" t="str">
        <f>HYPERLINK("http://141.218.60.56/~jnz1568/getInfo.php?workbook=16_08.xlsx&amp;sheet=U0&amp;row=6221&amp;col=7&amp;number=0.0191&amp;sourceID=14","0.0191")</f>
        <v>0.0191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HYPERLINK("http://141.218.60.56/~jnz1568/getInfo.php?workbook=16_08.xlsx&amp;sheet=U0&amp;row=6222&amp;col=6&amp;number=4.8&amp;sourceID=14","4.8")</f>
        <v>4.8</v>
      </c>
      <c r="G6222" s="4" t="str">
        <f>HYPERLINK("http://141.218.60.56/~jnz1568/getInfo.php?workbook=16_08.xlsx&amp;sheet=U0&amp;row=6222&amp;col=7&amp;number=0.0191&amp;sourceID=14","0.0191")</f>
        <v>0.0191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HYPERLINK("http://141.218.60.56/~jnz1568/getInfo.php?workbook=16_08.xlsx&amp;sheet=U0&amp;row=6223&amp;col=6&amp;number=4.9&amp;sourceID=14","4.9")</f>
        <v>4.9</v>
      </c>
      <c r="G6223" s="4" t="str">
        <f>HYPERLINK("http://141.218.60.56/~jnz1568/getInfo.php?workbook=16_08.xlsx&amp;sheet=U0&amp;row=6223&amp;col=7&amp;number=0.0191&amp;sourceID=14","0.0191")</f>
        <v>0.0191</v>
      </c>
    </row>
    <row r="6224" spans="1:7">
      <c r="A6224" s="3">
        <v>16</v>
      </c>
      <c r="B6224" s="3">
        <v>8</v>
      </c>
      <c r="C6224" s="3">
        <v>4</v>
      </c>
      <c r="D6224" s="3">
        <v>64</v>
      </c>
      <c r="E6224" s="3">
        <v>1</v>
      </c>
      <c r="F6224" s="4" t="str">
        <f>HYPERLINK("http://141.218.60.56/~jnz1568/getInfo.php?workbook=16_08.xlsx&amp;sheet=U0&amp;row=6224&amp;col=6&amp;number=3&amp;sourceID=14","3")</f>
        <v>3</v>
      </c>
      <c r="G6224" s="4" t="str">
        <f>HYPERLINK("http://141.218.60.56/~jnz1568/getInfo.php?workbook=16_08.xlsx&amp;sheet=U0&amp;row=6224&amp;col=7&amp;number=0.0318&amp;sourceID=14","0.0318")</f>
        <v>0.0318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HYPERLINK("http://141.218.60.56/~jnz1568/getInfo.php?workbook=16_08.xlsx&amp;sheet=U0&amp;row=6225&amp;col=6&amp;number=3.1&amp;sourceID=14","3.1")</f>
        <v>3.1</v>
      </c>
      <c r="G6225" s="4" t="str">
        <f>HYPERLINK("http://141.218.60.56/~jnz1568/getInfo.php?workbook=16_08.xlsx&amp;sheet=U0&amp;row=6225&amp;col=7&amp;number=0.0318&amp;sourceID=14","0.0318")</f>
        <v>0.0318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HYPERLINK("http://141.218.60.56/~jnz1568/getInfo.php?workbook=16_08.xlsx&amp;sheet=U0&amp;row=6226&amp;col=6&amp;number=3.2&amp;sourceID=14","3.2")</f>
        <v>3.2</v>
      </c>
      <c r="G6226" s="4" t="str">
        <f>HYPERLINK("http://141.218.60.56/~jnz1568/getInfo.php?workbook=16_08.xlsx&amp;sheet=U0&amp;row=6226&amp;col=7&amp;number=0.0318&amp;sourceID=14","0.0318")</f>
        <v>0.0318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HYPERLINK("http://141.218.60.56/~jnz1568/getInfo.php?workbook=16_08.xlsx&amp;sheet=U0&amp;row=6227&amp;col=6&amp;number=3.3&amp;sourceID=14","3.3")</f>
        <v>3.3</v>
      </c>
      <c r="G6227" s="4" t="str">
        <f>HYPERLINK("http://141.218.60.56/~jnz1568/getInfo.php?workbook=16_08.xlsx&amp;sheet=U0&amp;row=6227&amp;col=7&amp;number=0.0318&amp;sourceID=14","0.0318")</f>
        <v>0.0318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HYPERLINK("http://141.218.60.56/~jnz1568/getInfo.php?workbook=16_08.xlsx&amp;sheet=U0&amp;row=6228&amp;col=6&amp;number=3.4&amp;sourceID=14","3.4")</f>
        <v>3.4</v>
      </c>
      <c r="G6228" s="4" t="str">
        <f>HYPERLINK("http://141.218.60.56/~jnz1568/getInfo.php?workbook=16_08.xlsx&amp;sheet=U0&amp;row=6228&amp;col=7&amp;number=0.0318&amp;sourceID=14","0.0318")</f>
        <v>0.0318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HYPERLINK("http://141.218.60.56/~jnz1568/getInfo.php?workbook=16_08.xlsx&amp;sheet=U0&amp;row=6229&amp;col=6&amp;number=3.5&amp;sourceID=14","3.5")</f>
        <v>3.5</v>
      </c>
      <c r="G6229" s="4" t="str">
        <f>HYPERLINK("http://141.218.60.56/~jnz1568/getInfo.php?workbook=16_08.xlsx&amp;sheet=U0&amp;row=6229&amp;col=7&amp;number=0.0318&amp;sourceID=14","0.0318")</f>
        <v>0.0318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HYPERLINK("http://141.218.60.56/~jnz1568/getInfo.php?workbook=16_08.xlsx&amp;sheet=U0&amp;row=6230&amp;col=6&amp;number=3.6&amp;sourceID=14","3.6")</f>
        <v>3.6</v>
      </c>
      <c r="G6230" s="4" t="str">
        <f>HYPERLINK("http://141.218.60.56/~jnz1568/getInfo.php?workbook=16_08.xlsx&amp;sheet=U0&amp;row=6230&amp;col=7&amp;number=0.0318&amp;sourceID=14","0.0318")</f>
        <v>0.0318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HYPERLINK("http://141.218.60.56/~jnz1568/getInfo.php?workbook=16_08.xlsx&amp;sheet=U0&amp;row=6231&amp;col=6&amp;number=3.7&amp;sourceID=14","3.7")</f>
        <v>3.7</v>
      </c>
      <c r="G6231" s="4" t="str">
        <f>HYPERLINK("http://141.218.60.56/~jnz1568/getInfo.php?workbook=16_08.xlsx&amp;sheet=U0&amp;row=6231&amp;col=7&amp;number=0.0318&amp;sourceID=14","0.0318")</f>
        <v>0.0318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HYPERLINK("http://141.218.60.56/~jnz1568/getInfo.php?workbook=16_08.xlsx&amp;sheet=U0&amp;row=6232&amp;col=6&amp;number=3.8&amp;sourceID=14","3.8")</f>
        <v>3.8</v>
      </c>
      <c r="G6232" s="4" t="str">
        <f>HYPERLINK("http://141.218.60.56/~jnz1568/getInfo.php?workbook=16_08.xlsx&amp;sheet=U0&amp;row=6232&amp;col=7&amp;number=0.0318&amp;sourceID=14","0.0318")</f>
        <v>0.0318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HYPERLINK("http://141.218.60.56/~jnz1568/getInfo.php?workbook=16_08.xlsx&amp;sheet=U0&amp;row=6233&amp;col=6&amp;number=3.9&amp;sourceID=14","3.9")</f>
        <v>3.9</v>
      </c>
      <c r="G6233" s="4" t="str">
        <f>HYPERLINK("http://141.218.60.56/~jnz1568/getInfo.php?workbook=16_08.xlsx&amp;sheet=U0&amp;row=6233&amp;col=7&amp;number=0.0318&amp;sourceID=14","0.0318")</f>
        <v>0.0318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HYPERLINK("http://141.218.60.56/~jnz1568/getInfo.php?workbook=16_08.xlsx&amp;sheet=U0&amp;row=6234&amp;col=6&amp;number=4&amp;sourceID=14","4")</f>
        <v>4</v>
      </c>
      <c r="G6234" s="4" t="str">
        <f>HYPERLINK("http://141.218.60.56/~jnz1568/getInfo.php?workbook=16_08.xlsx&amp;sheet=U0&amp;row=6234&amp;col=7&amp;number=0.0318&amp;sourceID=14","0.0318")</f>
        <v>0.0318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HYPERLINK("http://141.218.60.56/~jnz1568/getInfo.php?workbook=16_08.xlsx&amp;sheet=U0&amp;row=6235&amp;col=6&amp;number=4.1&amp;sourceID=14","4.1")</f>
        <v>4.1</v>
      </c>
      <c r="G6235" s="4" t="str">
        <f>HYPERLINK("http://141.218.60.56/~jnz1568/getInfo.php?workbook=16_08.xlsx&amp;sheet=U0&amp;row=6235&amp;col=7&amp;number=0.0319&amp;sourceID=14","0.0319")</f>
        <v>0.0319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HYPERLINK("http://141.218.60.56/~jnz1568/getInfo.php?workbook=16_08.xlsx&amp;sheet=U0&amp;row=6236&amp;col=6&amp;number=4.2&amp;sourceID=14","4.2")</f>
        <v>4.2</v>
      </c>
      <c r="G6236" s="4" t="str">
        <f>HYPERLINK("http://141.218.60.56/~jnz1568/getInfo.php?workbook=16_08.xlsx&amp;sheet=U0&amp;row=6236&amp;col=7&amp;number=0.0319&amp;sourceID=14","0.0319")</f>
        <v>0.0319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HYPERLINK("http://141.218.60.56/~jnz1568/getInfo.php?workbook=16_08.xlsx&amp;sheet=U0&amp;row=6237&amp;col=6&amp;number=4.3&amp;sourceID=14","4.3")</f>
        <v>4.3</v>
      </c>
      <c r="G6237" s="4" t="str">
        <f>HYPERLINK("http://141.218.60.56/~jnz1568/getInfo.php?workbook=16_08.xlsx&amp;sheet=U0&amp;row=6237&amp;col=7&amp;number=0.0319&amp;sourceID=14","0.0319")</f>
        <v>0.0319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HYPERLINK("http://141.218.60.56/~jnz1568/getInfo.php?workbook=16_08.xlsx&amp;sheet=U0&amp;row=6238&amp;col=6&amp;number=4.4&amp;sourceID=14","4.4")</f>
        <v>4.4</v>
      </c>
      <c r="G6238" s="4" t="str">
        <f>HYPERLINK("http://141.218.60.56/~jnz1568/getInfo.php?workbook=16_08.xlsx&amp;sheet=U0&amp;row=6238&amp;col=7&amp;number=0.032&amp;sourceID=14","0.032")</f>
        <v>0.032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HYPERLINK("http://141.218.60.56/~jnz1568/getInfo.php?workbook=16_08.xlsx&amp;sheet=U0&amp;row=6239&amp;col=6&amp;number=4.5&amp;sourceID=14","4.5")</f>
        <v>4.5</v>
      </c>
      <c r="G6239" s="4" t="str">
        <f>HYPERLINK("http://141.218.60.56/~jnz1568/getInfo.php?workbook=16_08.xlsx&amp;sheet=U0&amp;row=6239&amp;col=7&amp;number=0.032&amp;sourceID=14","0.032")</f>
        <v>0.032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HYPERLINK("http://141.218.60.56/~jnz1568/getInfo.php?workbook=16_08.xlsx&amp;sheet=U0&amp;row=6240&amp;col=6&amp;number=4.6&amp;sourceID=14","4.6")</f>
        <v>4.6</v>
      </c>
      <c r="G6240" s="4" t="str">
        <f>HYPERLINK("http://141.218.60.56/~jnz1568/getInfo.php?workbook=16_08.xlsx&amp;sheet=U0&amp;row=6240&amp;col=7&amp;number=0.0321&amp;sourceID=14","0.0321")</f>
        <v>0.0321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HYPERLINK("http://141.218.60.56/~jnz1568/getInfo.php?workbook=16_08.xlsx&amp;sheet=U0&amp;row=6241&amp;col=6&amp;number=4.7&amp;sourceID=14","4.7")</f>
        <v>4.7</v>
      </c>
      <c r="G6241" s="4" t="str">
        <f>HYPERLINK("http://141.218.60.56/~jnz1568/getInfo.php?workbook=16_08.xlsx&amp;sheet=U0&amp;row=6241&amp;col=7&amp;number=0.0321&amp;sourceID=14","0.0321")</f>
        <v>0.0321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HYPERLINK("http://141.218.60.56/~jnz1568/getInfo.php?workbook=16_08.xlsx&amp;sheet=U0&amp;row=6242&amp;col=6&amp;number=4.8&amp;sourceID=14","4.8")</f>
        <v>4.8</v>
      </c>
      <c r="G6242" s="4" t="str">
        <f>HYPERLINK("http://141.218.60.56/~jnz1568/getInfo.php?workbook=16_08.xlsx&amp;sheet=U0&amp;row=6242&amp;col=7&amp;number=0.0322&amp;sourceID=14","0.0322")</f>
        <v>0.0322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HYPERLINK("http://141.218.60.56/~jnz1568/getInfo.php?workbook=16_08.xlsx&amp;sheet=U0&amp;row=6243&amp;col=6&amp;number=4.9&amp;sourceID=14","4.9")</f>
        <v>4.9</v>
      </c>
      <c r="G6243" s="4" t="str">
        <f>HYPERLINK("http://141.218.60.56/~jnz1568/getInfo.php?workbook=16_08.xlsx&amp;sheet=U0&amp;row=6243&amp;col=7&amp;number=0.0324&amp;sourceID=14","0.0324")</f>
        <v>0.0324</v>
      </c>
    </row>
    <row r="6244" spans="1:7">
      <c r="A6244" s="3">
        <v>16</v>
      </c>
      <c r="B6244" s="3">
        <v>8</v>
      </c>
      <c r="C6244" s="3">
        <v>4</v>
      </c>
      <c r="D6244" s="3">
        <v>65</v>
      </c>
      <c r="E6244" s="3">
        <v>1</v>
      </c>
      <c r="F6244" s="4" t="str">
        <f>HYPERLINK("http://141.218.60.56/~jnz1568/getInfo.php?workbook=16_08.xlsx&amp;sheet=U0&amp;row=6244&amp;col=6&amp;number=3&amp;sourceID=14","3")</f>
        <v>3</v>
      </c>
      <c r="G6244" s="4" t="str">
        <f>HYPERLINK("http://141.218.60.56/~jnz1568/getInfo.php?workbook=16_08.xlsx&amp;sheet=U0&amp;row=6244&amp;col=7&amp;number=0.0317&amp;sourceID=14","0.0317")</f>
        <v>0.0317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HYPERLINK("http://141.218.60.56/~jnz1568/getInfo.php?workbook=16_08.xlsx&amp;sheet=U0&amp;row=6245&amp;col=6&amp;number=3.1&amp;sourceID=14","3.1")</f>
        <v>3.1</v>
      </c>
      <c r="G6245" s="4" t="str">
        <f>HYPERLINK("http://141.218.60.56/~jnz1568/getInfo.php?workbook=16_08.xlsx&amp;sheet=U0&amp;row=6245&amp;col=7&amp;number=0.0317&amp;sourceID=14","0.0317")</f>
        <v>0.0317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HYPERLINK("http://141.218.60.56/~jnz1568/getInfo.php?workbook=16_08.xlsx&amp;sheet=U0&amp;row=6246&amp;col=6&amp;number=3.2&amp;sourceID=14","3.2")</f>
        <v>3.2</v>
      </c>
      <c r="G6246" s="4" t="str">
        <f>HYPERLINK("http://141.218.60.56/~jnz1568/getInfo.php?workbook=16_08.xlsx&amp;sheet=U0&amp;row=6246&amp;col=7&amp;number=0.0317&amp;sourceID=14","0.0317")</f>
        <v>0.0317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HYPERLINK("http://141.218.60.56/~jnz1568/getInfo.php?workbook=16_08.xlsx&amp;sheet=U0&amp;row=6247&amp;col=6&amp;number=3.3&amp;sourceID=14","3.3")</f>
        <v>3.3</v>
      </c>
      <c r="G6247" s="4" t="str">
        <f>HYPERLINK("http://141.218.60.56/~jnz1568/getInfo.php?workbook=16_08.xlsx&amp;sheet=U0&amp;row=6247&amp;col=7&amp;number=0.0317&amp;sourceID=14","0.0317")</f>
        <v>0.0317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HYPERLINK("http://141.218.60.56/~jnz1568/getInfo.php?workbook=16_08.xlsx&amp;sheet=U0&amp;row=6248&amp;col=6&amp;number=3.4&amp;sourceID=14","3.4")</f>
        <v>3.4</v>
      </c>
      <c r="G6248" s="4" t="str">
        <f>HYPERLINK("http://141.218.60.56/~jnz1568/getInfo.php?workbook=16_08.xlsx&amp;sheet=U0&amp;row=6248&amp;col=7&amp;number=0.0317&amp;sourceID=14","0.0317")</f>
        <v>0.0317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HYPERLINK("http://141.218.60.56/~jnz1568/getInfo.php?workbook=16_08.xlsx&amp;sheet=U0&amp;row=6249&amp;col=6&amp;number=3.5&amp;sourceID=14","3.5")</f>
        <v>3.5</v>
      </c>
      <c r="G6249" s="4" t="str">
        <f>HYPERLINK("http://141.218.60.56/~jnz1568/getInfo.php?workbook=16_08.xlsx&amp;sheet=U0&amp;row=6249&amp;col=7&amp;number=0.0317&amp;sourceID=14","0.0317")</f>
        <v>0.0317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HYPERLINK("http://141.218.60.56/~jnz1568/getInfo.php?workbook=16_08.xlsx&amp;sheet=U0&amp;row=6250&amp;col=6&amp;number=3.6&amp;sourceID=14","3.6")</f>
        <v>3.6</v>
      </c>
      <c r="G6250" s="4" t="str">
        <f>HYPERLINK("http://141.218.60.56/~jnz1568/getInfo.php?workbook=16_08.xlsx&amp;sheet=U0&amp;row=6250&amp;col=7&amp;number=0.0316&amp;sourceID=14","0.0316")</f>
        <v>0.0316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HYPERLINK("http://141.218.60.56/~jnz1568/getInfo.php?workbook=16_08.xlsx&amp;sheet=U0&amp;row=6251&amp;col=6&amp;number=3.7&amp;sourceID=14","3.7")</f>
        <v>3.7</v>
      </c>
      <c r="G6251" s="4" t="str">
        <f>HYPERLINK("http://141.218.60.56/~jnz1568/getInfo.php?workbook=16_08.xlsx&amp;sheet=U0&amp;row=6251&amp;col=7&amp;number=0.0316&amp;sourceID=14","0.0316")</f>
        <v>0.0316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HYPERLINK("http://141.218.60.56/~jnz1568/getInfo.php?workbook=16_08.xlsx&amp;sheet=U0&amp;row=6252&amp;col=6&amp;number=3.8&amp;sourceID=14","3.8")</f>
        <v>3.8</v>
      </c>
      <c r="G6252" s="4" t="str">
        <f>HYPERLINK("http://141.218.60.56/~jnz1568/getInfo.php?workbook=16_08.xlsx&amp;sheet=U0&amp;row=6252&amp;col=7&amp;number=0.0316&amp;sourceID=14","0.0316")</f>
        <v>0.0316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HYPERLINK("http://141.218.60.56/~jnz1568/getInfo.php?workbook=16_08.xlsx&amp;sheet=U0&amp;row=6253&amp;col=6&amp;number=3.9&amp;sourceID=14","3.9")</f>
        <v>3.9</v>
      </c>
      <c r="G6253" s="4" t="str">
        <f>HYPERLINK("http://141.218.60.56/~jnz1568/getInfo.php?workbook=16_08.xlsx&amp;sheet=U0&amp;row=6253&amp;col=7&amp;number=0.0316&amp;sourceID=14","0.0316")</f>
        <v>0.0316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HYPERLINK("http://141.218.60.56/~jnz1568/getInfo.php?workbook=16_08.xlsx&amp;sheet=U0&amp;row=6254&amp;col=6&amp;number=4&amp;sourceID=14","4")</f>
        <v>4</v>
      </c>
      <c r="G6254" s="4" t="str">
        <f>HYPERLINK("http://141.218.60.56/~jnz1568/getInfo.php?workbook=16_08.xlsx&amp;sheet=U0&amp;row=6254&amp;col=7&amp;number=0.0315&amp;sourceID=14","0.0315")</f>
        <v>0.0315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HYPERLINK("http://141.218.60.56/~jnz1568/getInfo.php?workbook=16_08.xlsx&amp;sheet=U0&amp;row=6255&amp;col=6&amp;number=4.1&amp;sourceID=14","4.1")</f>
        <v>4.1</v>
      </c>
      <c r="G6255" s="4" t="str">
        <f>HYPERLINK("http://141.218.60.56/~jnz1568/getInfo.php?workbook=16_08.xlsx&amp;sheet=U0&amp;row=6255&amp;col=7&amp;number=0.0315&amp;sourceID=14","0.0315")</f>
        <v>0.0315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HYPERLINK("http://141.218.60.56/~jnz1568/getInfo.php?workbook=16_08.xlsx&amp;sheet=U0&amp;row=6256&amp;col=6&amp;number=4.2&amp;sourceID=14","4.2")</f>
        <v>4.2</v>
      </c>
      <c r="G6256" s="4" t="str">
        <f>HYPERLINK("http://141.218.60.56/~jnz1568/getInfo.php?workbook=16_08.xlsx&amp;sheet=U0&amp;row=6256&amp;col=7&amp;number=0.0315&amp;sourceID=14","0.0315")</f>
        <v>0.0315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HYPERLINK("http://141.218.60.56/~jnz1568/getInfo.php?workbook=16_08.xlsx&amp;sheet=U0&amp;row=6257&amp;col=6&amp;number=4.3&amp;sourceID=14","4.3")</f>
        <v>4.3</v>
      </c>
      <c r="G6257" s="4" t="str">
        <f>HYPERLINK("http://141.218.60.56/~jnz1568/getInfo.php?workbook=16_08.xlsx&amp;sheet=U0&amp;row=6257&amp;col=7&amp;number=0.0314&amp;sourceID=14","0.0314")</f>
        <v>0.0314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HYPERLINK("http://141.218.60.56/~jnz1568/getInfo.php?workbook=16_08.xlsx&amp;sheet=U0&amp;row=6258&amp;col=6&amp;number=4.4&amp;sourceID=14","4.4")</f>
        <v>4.4</v>
      </c>
      <c r="G6258" s="4" t="str">
        <f>HYPERLINK("http://141.218.60.56/~jnz1568/getInfo.php?workbook=16_08.xlsx&amp;sheet=U0&amp;row=6258&amp;col=7&amp;number=0.0313&amp;sourceID=14","0.0313")</f>
        <v>0.0313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HYPERLINK("http://141.218.60.56/~jnz1568/getInfo.php?workbook=16_08.xlsx&amp;sheet=U0&amp;row=6259&amp;col=6&amp;number=4.5&amp;sourceID=14","4.5")</f>
        <v>4.5</v>
      </c>
      <c r="G6259" s="4" t="str">
        <f>HYPERLINK("http://141.218.60.56/~jnz1568/getInfo.php?workbook=16_08.xlsx&amp;sheet=U0&amp;row=6259&amp;col=7&amp;number=0.0312&amp;sourceID=14","0.0312")</f>
        <v>0.0312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HYPERLINK("http://141.218.60.56/~jnz1568/getInfo.php?workbook=16_08.xlsx&amp;sheet=U0&amp;row=6260&amp;col=6&amp;number=4.6&amp;sourceID=14","4.6")</f>
        <v>4.6</v>
      </c>
      <c r="G6260" s="4" t="str">
        <f>HYPERLINK("http://141.218.60.56/~jnz1568/getInfo.php?workbook=16_08.xlsx&amp;sheet=U0&amp;row=6260&amp;col=7&amp;number=0.0311&amp;sourceID=14","0.0311")</f>
        <v>0.0311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HYPERLINK("http://141.218.60.56/~jnz1568/getInfo.php?workbook=16_08.xlsx&amp;sheet=U0&amp;row=6261&amp;col=6&amp;number=4.7&amp;sourceID=14","4.7")</f>
        <v>4.7</v>
      </c>
      <c r="G6261" s="4" t="str">
        <f>HYPERLINK("http://141.218.60.56/~jnz1568/getInfo.php?workbook=16_08.xlsx&amp;sheet=U0&amp;row=6261&amp;col=7&amp;number=0.0309&amp;sourceID=14","0.0309")</f>
        <v>0.0309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HYPERLINK("http://141.218.60.56/~jnz1568/getInfo.php?workbook=16_08.xlsx&amp;sheet=U0&amp;row=6262&amp;col=6&amp;number=4.8&amp;sourceID=14","4.8")</f>
        <v>4.8</v>
      </c>
      <c r="G6262" s="4" t="str">
        <f>HYPERLINK("http://141.218.60.56/~jnz1568/getInfo.php?workbook=16_08.xlsx&amp;sheet=U0&amp;row=6262&amp;col=7&amp;number=0.0307&amp;sourceID=14","0.0307")</f>
        <v>0.0307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HYPERLINK("http://141.218.60.56/~jnz1568/getInfo.php?workbook=16_08.xlsx&amp;sheet=U0&amp;row=6263&amp;col=6&amp;number=4.9&amp;sourceID=14","4.9")</f>
        <v>4.9</v>
      </c>
      <c r="G6263" s="4" t="str">
        <f>HYPERLINK("http://141.218.60.56/~jnz1568/getInfo.php?workbook=16_08.xlsx&amp;sheet=U0&amp;row=6263&amp;col=7&amp;number=0.0305&amp;sourceID=14","0.0305")</f>
        <v>0.0305</v>
      </c>
    </row>
    <row r="6264" spans="1:7">
      <c r="A6264" s="3">
        <v>16</v>
      </c>
      <c r="B6264" s="3">
        <v>8</v>
      </c>
      <c r="C6264" s="3">
        <v>4</v>
      </c>
      <c r="D6264" s="3">
        <v>66</v>
      </c>
      <c r="E6264" s="3">
        <v>1</v>
      </c>
      <c r="F6264" s="4" t="str">
        <f>HYPERLINK("http://141.218.60.56/~jnz1568/getInfo.php?workbook=16_08.xlsx&amp;sheet=U0&amp;row=6264&amp;col=6&amp;number=3&amp;sourceID=14","3")</f>
        <v>3</v>
      </c>
      <c r="G6264" s="4" t="str">
        <f>HYPERLINK("http://141.218.60.56/~jnz1568/getInfo.php?workbook=16_08.xlsx&amp;sheet=U0&amp;row=6264&amp;col=7&amp;number=0.00173&amp;sourceID=14","0.00173")</f>
        <v>0.00173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HYPERLINK("http://141.218.60.56/~jnz1568/getInfo.php?workbook=16_08.xlsx&amp;sheet=U0&amp;row=6265&amp;col=6&amp;number=3.1&amp;sourceID=14","3.1")</f>
        <v>3.1</v>
      </c>
      <c r="G6265" s="4" t="str">
        <f>HYPERLINK("http://141.218.60.56/~jnz1568/getInfo.php?workbook=16_08.xlsx&amp;sheet=U0&amp;row=6265&amp;col=7&amp;number=0.00173&amp;sourceID=14","0.00173")</f>
        <v>0.00173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HYPERLINK("http://141.218.60.56/~jnz1568/getInfo.php?workbook=16_08.xlsx&amp;sheet=U0&amp;row=6266&amp;col=6&amp;number=3.2&amp;sourceID=14","3.2")</f>
        <v>3.2</v>
      </c>
      <c r="G6266" s="4" t="str">
        <f>HYPERLINK("http://141.218.60.56/~jnz1568/getInfo.php?workbook=16_08.xlsx&amp;sheet=U0&amp;row=6266&amp;col=7&amp;number=0.00173&amp;sourceID=14","0.00173")</f>
        <v>0.00173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HYPERLINK("http://141.218.60.56/~jnz1568/getInfo.php?workbook=16_08.xlsx&amp;sheet=U0&amp;row=6267&amp;col=6&amp;number=3.3&amp;sourceID=14","3.3")</f>
        <v>3.3</v>
      </c>
      <c r="G6267" s="4" t="str">
        <f>HYPERLINK("http://141.218.60.56/~jnz1568/getInfo.php?workbook=16_08.xlsx&amp;sheet=U0&amp;row=6267&amp;col=7&amp;number=0.00173&amp;sourceID=14","0.00173")</f>
        <v>0.00173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HYPERLINK("http://141.218.60.56/~jnz1568/getInfo.php?workbook=16_08.xlsx&amp;sheet=U0&amp;row=6268&amp;col=6&amp;number=3.4&amp;sourceID=14","3.4")</f>
        <v>3.4</v>
      </c>
      <c r="G6268" s="4" t="str">
        <f>HYPERLINK("http://141.218.60.56/~jnz1568/getInfo.php?workbook=16_08.xlsx&amp;sheet=U0&amp;row=6268&amp;col=7&amp;number=0.00173&amp;sourceID=14","0.00173")</f>
        <v>0.00173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HYPERLINK("http://141.218.60.56/~jnz1568/getInfo.php?workbook=16_08.xlsx&amp;sheet=U0&amp;row=6269&amp;col=6&amp;number=3.5&amp;sourceID=14","3.5")</f>
        <v>3.5</v>
      </c>
      <c r="G6269" s="4" t="str">
        <f>HYPERLINK("http://141.218.60.56/~jnz1568/getInfo.php?workbook=16_08.xlsx&amp;sheet=U0&amp;row=6269&amp;col=7&amp;number=0.00173&amp;sourceID=14","0.00173")</f>
        <v>0.00173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HYPERLINK("http://141.218.60.56/~jnz1568/getInfo.php?workbook=16_08.xlsx&amp;sheet=U0&amp;row=6270&amp;col=6&amp;number=3.6&amp;sourceID=14","3.6")</f>
        <v>3.6</v>
      </c>
      <c r="G6270" s="4" t="str">
        <f>HYPERLINK("http://141.218.60.56/~jnz1568/getInfo.php?workbook=16_08.xlsx&amp;sheet=U0&amp;row=6270&amp;col=7&amp;number=0.00173&amp;sourceID=14","0.00173")</f>
        <v>0.00173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HYPERLINK("http://141.218.60.56/~jnz1568/getInfo.php?workbook=16_08.xlsx&amp;sheet=U0&amp;row=6271&amp;col=6&amp;number=3.7&amp;sourceID=14","3.7")</f>
        <v>3.7</v>
      </c>
      <c r="G6271" s="4" t="str">
        <f>HYPERLINK("http://141.218.60.56/~jnz1568/getInfo.php?workbook=16_08.xlsx&amp;sheet=U0&amp;row=6271&amp;col=7&amp;number=0.00173&amp;sourceID=14","0.00173")</f>
        <v>0.00173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HYPERLINK("http://141.218.60.56/~jnz1568/getInfo.php?workbook=16_08.xlsx&amp;sheet=U0&amp;row=6272&amp;col=6&amp;number=3.8&amp;sourceID=14","3.8")</f>
        <v>3.8</v>
      </c>
      <c r="G6272" s="4" t="str">
        <f>HYPERLINK("http://141.218.60.56/~jnz1568/getInfo.php?workbook=16_08.xlsx&amp;sheet=U0&amp;row=6272&amp;col=7&amp;number=0.00173&amp;sourceID=14","0.00173")</f>
        <v>0.00173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HYPERLINK("http://141.218.60.56/~jnz1568/getInfo.php?workbook=16_08.xlsx&amp;sheet=U0&amp;row=6273&amp;col=6&amp;number=3.9&amp;sourceID=14","3.9")</f>
        <v>3.9</v>
      </c>
      <c r="G6273" s="4" t="str">
        <f>HYPERLINK("http://141.218.60.56/~jnz1568/getInfo.php?workbook=16_08.xlsx&amp;sheet=U0&amp;row=6273&amp;col=7&amp;number=0.00173&amp;sourceID=14","0.00173")</f>
        <v>0.00173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HYPERLINK("http://141.218.60.56/~jnz1568/getInfo.php?workbook=16_08.xlsx&amp;sheet=U0&amp;row=6274&amp;col=6&amp;number=4&amp;sourceID=14","4")</f>
        <v>4</v>
      </c>
      <c r="G6274" s="4" t="str">
        <f>HYPERLINK("http://141.218.60.56/~jnz1568/getInfo.php?workbook=16_08.xlsx&amp;sheet=U0&amp;row=6274&amp;col=7&amp;number=0.00173&amp;sourceID=14","0.00173")</f>
        <v>0.00173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HYPERLINK("http://141.218.60.56/~jnz1568/getInfo.php?workbook=16_08.xlsx&amp;sheet=U0&amp;row=6275&amp;col=6&amp;number=4.1&amp;sourceID=14","4.1")</f>
        <v>4.1</v>
      </c>
      <c r="G6275" s="4" t="str">
        <f>HYPERLINK("http://141.218.60.56/~jnz1568/getInfo.php?workbook=16_08.xlsx&amp;sheet=U0&amp;row=6275&amp;col=7&amp;number=0.00173&amp;sourceID=14","0.00173")</f>
        <v>0.00173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HYPERLINK("http://141.218.60.56/~jnz1568/getInfo.php?workbook=16_08.xlsx&amp;sheet=U0&amp;row=6276&amp;col=6&amp;number=4.2&amp;sourceID=14","4.2")</f>
        <v>4.2</v>
      </c>
      <c r="G6276" s="4" t="str">
        <f>HYPERLINK("http://141.218.60.56/~jnz1568/getInfo.php?workbook=16_08.xlsx&amp;sheet=U0&amp;row=6276&amp;col=7&amp;number=0.00173&amp;sourceID=14","0.00173")</f>
        <v>0.00173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HYPERLINK("http://141.218.60.56/~jnz1568/getInfo.php?workbook=16_08.xlsx&amp;sheet=U0&amp;row=6277&amp;col=6&amp;number=4.3&amp;sourceID=14","4.3")</f>
        <v>4.3</v>
      </c>
      <c r="G6277" s="4" t="str">
        <f>HYPERLINK("http://141.218.60.56/~jnz1568/getInfo.php?workbook=16_08.xlsx&amp;sheet=U0&amp;row=6277&amp;col=7&amp;number=0.00174&amp;sourceID=14","0.00174")</f>
        <v>0.00174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HYPERLINK("http://141.218.60.56/~jnz1568/getInfo.php?workbook=16_08.xlsx&amp;sheet=U0&amp;row=6278&amp;col=6&amp;number=4.4&amp;sourceID=14","4.4")</f>
        <v>4.4</v>
      </c>
      <c r="G6278" s="4" t="str">
        <f>HYPERLINK("http://141.218.60.56/~jnz1568/getInfo.php?workbook=16_08.xlsx&amp;sheet=U0&amp;row=6278&amp;col=7&amp;number=0.00174&amp;sourceID=14","0.00174")</f>
        <v>0.00174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HYPERLINK("http://141.218.60.56/~jnz1568/getInfo.php?workbook=16_08.xlsx&amp;sheet=U0&amp;row=6279&amp;col=6&amp;number=4.5&amp;sourceID=14","4.5")</f>
        <v>4.5</v>
      </c>
      <c r="G6279" s="4" t="str">
        <f>HYPERLINK("http://141.218.60.56/~jnz1568/getInfo.php?workbook=16_08.xlsx&amp;sheet=U0&amp;row=6279&amp;col=7&amp;number=0.00174&amp;sourceID=14","0.00174")</f>
        <v>0.00174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HYPERLINK("http://141.218.60.56/~jnz1568/getInfo.php?workbook=16_08.xlsx&amp;sheet=U0&amp;row=6280&amp;col=6&amp;number=4.6&amp;sourceID=14","4.6")</f>
        <v>4.6</v>
      </c>
      <c r="G6280" s="4" t="str">
        <f>HYPERLINK("http://141.218.60.56/~jnz1568/getInfo.php?workbook=16_08.xlsx&amp;sheet=U0&amp;row=6280&amp;col=7&amp;number=0.00175&amp;sourceID=14","0.00175")</f>
        <v>0.00175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HYPERLINK("http://141.218.60.56/~jnz1568/getInfo.php?workbook=16_08.xlsx&amp;sheet=U0&amp;row=6281&amp;col=6&amp;number=4.7&amp;sourceID=14","4.7")</f>
        <v>4.7</v>
      </c>
      <c r="G6281" s="4" t="str">
        <f>HYPERLINK("http://141.218.60.56/~jnz1568/getInfo.php?workbook=16_08.xlsx&amp;sheet=U0&amp;row=6281&amp;col=7&amp;number=0.00175&amp;sourceID=14","0.00175")</f>
        <v>0.00175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HYPERLINK("http://141.218.60.56/~jnz1568/getInfo.php?workbook=16_08.xlsx&amp;sheet=U0&amp;row=6282&amp;col=6&amp;number=4.8&amp;sourceID=14","4.8")</f>
        <v>4.8</v>
      </c>
      <c r="G6282" s="4" t="str">
        <f>HYPERLINK("http://141.218.60.56/~jnz1568/getInfo.php?workbook=16_08.xlsx&amp;sheet=U0&amp;row=6282&amp;col=7&amp;number=0.00176&amp;sourceID=14","0.00176")</f>
        <v>0.00176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HYPERLINK("http://141.218.60.56/~jnz1568/getInfo.php?workbook=16_08.xlsx&amp;sheet=U0&amp;row=6283&amp;col=6&amp;number=4.9&amp;sourceID=14","4.9")</f>
        <v>4.9</v>
      </c>
      <c r="G6283" s="4" t="str">
        <f>HYPERLINK("http://141.218.60.56/~jnz1568/getInfo.php?workbook=16_08.xlsx&amp;sheet=U0&amp;row=6283&amp;col=7&amp;number=0.00177&amp;sourceID=14","0.00177")</f>
        <v>0.00177</v>
      </c>
    </row>
    <row r="6284" spans="1:7">
      <c r="A6284" s="3">
        <v>16</v>
      </c>
      <c r="B6284" s="3">
        <v>8</v>
      </c>
      <c r="C6284" s="3">
        <v>4</v>
      </c>
      <c r="D6284" s="3">
        <v>67</v>
      </c>
      <c r="E6284" s="3">
        <v>1</v>
      </c>
      <c r="F6284" s="4" t="str">
        <f>HYPERLINK("http://141.218.60.56/~jnz1568/getInfo.php?workbook=16_08.xlsx&amp;sheet=U0&amp;row=6284&amp;col=6&amp;number=3&amp;sourceID=14","3")</f>
        <v>3</v>
      </c>
      <c r="G6284" s="4" t="str">
        <f>HYPERLINK("http://141.218.60.56/~jnz1568/getInfo.php?workbook=16_08.xlsx&amp;sheet=U0&amp;row=6284&amp;col=7&amp;number=0.0349&amp;sourceID=14","0.0349")</f>
        <v>0.0349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HYPERLINK("http://141.218.60.56/~jnz1568/getInfo.php?workbook=16_08.xlsx&amp;sheet=U0&amp;row=6285&amp;col=6&amp;number=3.1&amp;sourceID=14","3.1")</f>
        <v>3.1</v>
      </c>
      <c r="G6285" s="4" t="str">
        <f>HYPERLINK("http://141.218.60.56/~jnz1568/getInfo.php?workbook=16_08.xlsx&amp;sheet=U0&amp;row=6285&amp;col=7&amp;number=0.0349&amp;sourceID=14","0.0349")</f>
        <v>0.0349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HYPERLINK("http://141.218.60.56/~jnz1568/getInfo.php?workbook=16_08.xlsx&amp;sheet=U0&amp;row=6286&amp;col=6&amp;number=3.2&amp;sourceID=14","3.2")</f>
        <v>3.2</v>
      </c>
      <c r="G6286" s="4" t="str">
        <f>HYPERLINK("http://141.218.60.56/~jnz1568/getInfo.php?workbook=16_08.xlsx&amp;sheet=U0&amp;row=6286&amp;col=7&amp;number=0.0349&amp;sourceID=14","0.0349")</f>
        <v>0.0349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HYPERLINK("http://141.218.60.56/~jnz1568/getInfo.php?workbook=16_08.xlsx&amp;sheet=U0&amp;row=6287&amp;col=6&amp;number=3.3&amp;sourceID=14","3.3")</f>
        <v>3.3</v>
      </c>
      <c r="G6287" s="4" t="str">
        <f>HYPERLINK("http://141.218.60.56/~jnz1568/getInfo.php?workbook=16_08.xlsx&amp;sheet=U0&amp;row=6287&amp;col=7&amp;number=0.0349&amp;sourceID=14","0.0349")</f>
        <v>0.0349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HYPERLINK("http://141.218.60.56/~jnz1568/getInfo.php?workbook=16_08.xlsx&amp;sheet=U0&amp;row=6288&amp;col=6&amp;number=3.4&amp;sourceID=14","3.4")</f>
        <v>3.4</v>
      </c>
      <c r="G6288" s="4" t="str">
        <f>HYPERLINK("http://141.218.60.56/~jnz1568/getInfo.php?workbook=16_08.xlsx&amp;sheet=U0&amp;row=6288&amp;col=7&amp;number=0.0349&amp;sourceID=14","0.0349")</f>
        <v>0.0349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HYPERLINK("http://141.218.60.56/~jnz1568/getInfo.php?workbook=16_08.xlsx&amp;sheet=U0&amp;row=6289&amp;col=6&amp;number=3.5&amp;sourceID=14","3.5")</f>
        <v>3.5</v>
      </c>
      <c r="G6289" s="4" t="str">
        <f>HYPERLINK("http://141.218.60.56/~jnz1568/getInfo.php?workbook=16_08.xlsx&amp;sheet=U0&amp;row=6289&amp;col=7&amp;number=0.0349&amp;sourceID=14","0.0349")</f>
        <v>0.0349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HYPERLINK("http://141.218.60.56/~jnz1568/getInfo.php?workbook=16_08.xlsx&amp;sheet=U0&amp;row=6290&amp;col=6&amp;number=3.6&amp;sourceID=14","3.6")</f>
        <v>3.6</v>
      </c>
      <c r="G6290" s="4" t="str">
        <f>HYPERLINK("http://141.218.60.56/~jnz1568/getInfo.php?workbook=16_08.xlsx&amp;sheet=U0&amp;row=6290&amp;col=7&amp;number=0.0349&amp;sourceID=14","0.0349")</f>
        <v>0.0349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HYPERLINK("http://141.218.60.56/~jnz1568/getInfo.php?workbook=16_08.xlsx&amp;sheet=U0&amp;row=6291&amp;col=6&amp;number=3.7&amp;sourceID=14","3.7")</f>
        <v>3.7</v>
      </c>
      <c r="G6291" s="4" t="str">
        <f>HYPERLINK("http://141.218.60.56/~jnz1568/getInfo.php?workbook=16_08.xlsx&amp;sheet=U0&amp;row=6291&amp;col=7&amp;number=0.0349&amp;sourceID=14","0.0349")</f>
        <v>0.0349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HYPERLINK("http://141.218.60.56/~jnz1568/getInfo.php?workbook=16_08.xlsx&amp;sheet=U0&amp;row=6292&amp;col=6&amp;number=3.8&amp;sourceID=14","3.8")</f>
        <v>3.8</v>
      </c>
      <c r="G6292" s="4" t="str">
        <f>HYPERLINK("http://141.218.60.56/~jnz1568/getInfo.php?workbook=16_08.xlsx&amp;sheet=U0&amp;row=6292&amp;col=7&amp;number=0.0349&amp;sourceID=14","0.0349")</f>
        <v>0.0349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HYPERLINK("http://141.218.60.56/~jnz1568/getInfo.php?workbook=16_08.xlsx&amp;sheet=U0&amp;row=6293&amp;col=6&amp;number=3.9&amp;sourceID=14","3.9")</f>
        <v>3.9</v>
      </c>
      <c r="G6293" s="4" t="str">
        <f>HYPERLINK("http://141.218.60.56/~jnz1568/getInfo.php?workbook=16_08.xlsx&amp;sheet=U0&amp;row=6293&amp;col=7&amp;number=0.0349&amp;sourceID=14","0.0349")</f>
        <v>0.0349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HYPERLINK("http://141.218.60.56/~jnz1568/getInfo.php?workbook=16_08.xlsx&amp;sheet=U0&amp;row=6294&amp;col=6&amp;number=4&amp;sourceID=14","4")</f>
        <v>4</v>
      </c>
      <c r="G6294" s="4" t="str">
        <f>HYPERLINK("http://141.218.60.56/~jnz1568/getInfo.php?workbook=16_08.xlsx&amp;sheet=U0&amp;row=6294&amp;col=7&amp;number=0.0348&amp;sourceID=14","0.0348")</f>
        <v>0.0348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HYPERLINK("http://141.218.60.56/~jnz1568/getInfo.php?workbook=16_08.xlsx&amp;sheet=U0&amp;row=6295&amp;col=6&amp;number=4.1&amp;sourceID=14","4.1")</f>
        <v>4.1</v>
      </c>
      <c r="G6295" s="4" t="str">
        <f>HYPERLINK("http://141.218.60.56/~jnz1568/getInfo.php?workbook=16_08.xlsx&amp;sheet=U0&amp;row=6295&amp;col=7&amp;number=0.0348&amp;sourceID=14","0.0348")</f>
        <v>0.0348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HYPERLINK("http://141.218.60.56/~jnz1568/getInfo.php?workbook=16_08.xlsx&amp;sheet=U0&amp;row=6296&amp;col=6&amp;number=4.2&amp;sourceID=14","4.2")</f>
        <v>4.2</v>
      </c>
      <c r="G6296" s="4" t="str">
        <f>HYPERLINK("http://141.218.60.56/~jnz1568/getInfo.php?workbook=16_08.xlsx&amp;sheet=U0&amp;row=6296&amp;col=7&amp;number=0.0348&amp;sourceID=14","0.0348")</f>
        <v>0.0348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HYPERLINK("http://141.218.60.56/~jnz1568/getInfo.php?workbook=16_08.xlsx&amp;sheet=U0&amp;row=6297&amp;col=6&amp;number=4.3&amp;sourceID=14","4.3")</f>
        <v>4.3</v>
      </c>
      <c r="G6297" s="4" t="str">
        <f>HYPERLINK("http://141.218.60.56/~jnz1568/getInfo.php?workbook=16_08.xlsx&amp;sheet=U0&amp;row=6297&amp;col=7&amp;number=0.0348&amp;sourceID=14","0.0348")</f>
        <v>0.0348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HYPERLINK("http://141.218.60.56/~jnz1568/getInfo.php?workbook=16_08.xlsx&amp;sheet=U0&amp;row=6298&amp;col=6&amp;number=4.4&amp;sourceID=14","4.4")</f>
        <v>4.4</v>
      </c>
      <c r="G6298" s="4" t="str">
        <f>HYPERLINK("http://141.218.60.56/~jnz1568/getInfo.php?workbook=16_08.xlsx&amp;sheet=U0&amp;row=6298&amp;col=7&amp;number=0.0347&amp;sourceID=14","0.0347")</f>
        <v>0.0347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HYPERLINK("http://141.218.60.56/~jnz1568/getInfo.php?workbook=16_08.xlsx&amp;sheet=U0&amp;row=6299&amp;col=6&amp;number=4.5&amp;sourceID=14","4.5")</f>
        <v>4.5</v>
      </c>
      <c r="G6299" s="4" t="str">
        <f>HYPERLINK("http://141.218.60.56/~jnz1568/getInfo.php?workbook=16_08.xlsx&amp;sheet=U0&amp;row=6299&amp;col=7&amp;number=0.0347&amp;sourceID=14","0.0347")</f>
        <v>0.0347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HYPERLINK("http://141.218.60.56/~jnz1568/getInfo.php?workbook=16_08.xlsx&amp;sheet=U0&amp;row=6300&amp;col=6&amp;number=4.6&amp;sourceID=14","4.6")</f>
        <v>4.6</v>
      </c>
      <c r="G6300" s="4" t="str">
        <f>HYPERLINK("http://141.218.60.56/~jnz1568/getInfo.php?workbook=16_08.xlsx&amp;sheet=U0&amp;row=6300&amp;col=7&amp;number=0.0346&amp;sourceID=14","0.0346")</f>
        <v>0.0346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HYPERLINK("http://141.218.60.56/~jnz1568/getInfo.php?workbook=16_08.xlsx&amp;sheet=U0&amp;row=6301&amp;col=6&amp;number=4.7&amp;sourceID=14","4.7")</f>
        <v>4.7</v>
      </c>
      <c r="G6301" s="4" t="str">
        <f>HYPERLINK("http://141.218.60.56/~jnz1568/getInfo.php?workbook=16_08.xlsx&amp;sheet=U0&amp;row=6301&amp;col=7&amp;number=0.0345&amp;sourceID=14","0.0345")</f>
        <v>0.0345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HYPERLINK("http://141.218.60.56/~jnz1568/getInfo.php?workbook=16_08.xlsx&amp;sheet=U0&amp;row=6302&amp;col=6&amp;number=4.8&amp;sourceID=14","4.8")</f>
        <v>4.8</v>
      </c>
      <c r="G6302" s="4" t="str">
        <f>HYPERLINK("http://141.218.60.56/~jnz1568/getInfo.php?workbook=16_08.xlsx&amp;sheet=U0&amp;row=6302&amp;col=7&amp;number=0.0344&amp;sourceID=14","0.0344")</f>
        <v>0.0344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HYPERLINK("http://141.218.60.56/~jnz1568/getInfo.php?workbook=16_08.xlsx&amp;sheet=U0&amp;row=6303&amp;col=6&amp;number=4.9&amp;sourceID=14","4.9")</f>
        <v>4.9</v>
      </c>
      <c r="G6303" s="4" t="str">
        <f>HYPERLINK("http://141.218.60.56/~jnz1568/getInfo.php?workbook=16_08.xlsx&amp;sheet=U0&amp;row=6303&amp;col=7&amp;number=0.0343&amp;sourceID=14","0.0343")</f>
        <v>0.0343</v>
      </c>
    </row>
    <row r="6304" spans="1:7">
      <c r="A6304" s="3">
        <v>16</v>
      </c>
      <c r="B6304" s="3">
        <v>8</v>
      </c>
      <c r="C6304" s="3">
        <v>4</v>
      </c>
      <c r="D6304" s="3">
        <v>68</v>
      </c>
      <c r="E6304" s="3">
        <v>1</v>
      </c>
      <c r="F6304" s="4" t="str">
        <f>HYPERLINK("http://141.218.60.56/~jnz1568/getInfo.php?workbook=16_08.xlsx&amp;sheet=U0&amp;row=6304&amp;col=6&amp;number=3&amp;sourceID=14","3")</f>
        <v>3</v>
      </c>
      <c r="G6304" s="4" t="str">
        <f>HYPERLINK("http://141.218.60.56/~jnz1568/getInfo.php?workbook=16_08.xlsx&amp;sheet=U0&amp;row=6304&amp;col=7&amp;number=0.0469&amp;sourceID=14","0.0469")</f>
        <v>0.0469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HYPERLINK("http://141.218.60.56/~jnz1568/getInfo.php?workbook=16_08.xlsx&amp;sheet=U0&amp;row=6305&amp;col=6&amp;number=3.1&amp;sourceID=14","3.1")</f>
        <v>3.1</v>
      </c>
      <c r="G6305" s="4" t="str">
        <f>HYPERLINK("http://141.218.60.56/~jnz1568/getInfo.php?workbook=16_08.xlsx&amp;sheet=U0&amp;row=6305&amp;col=7&amp;number=0.0469&amp;sourceID=14","0.0469")</f>
        <v>0.0469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HYPERLINK("http://141.218.60.56/~jnz1568/getInfo.php?workbook=16_08.xlsx&amp;sheet=U0&amp;row=6306&amp;col=6&amp;number=3.2&amp;sourceID=14","3.2")</f>
        <v>3.2</v>
      </c>
      <c r="G6306" s="4" t="str">
        <f>HYPERLINK("http://141.218.60.56/~jnz1568/getInfo.php?workbook=16_08.xlsx&amp;sheet=U0&amp;row=6306&amp;col=7&amp;number=0.0469&amp;sourceID=14","0.0469")</f>
        <v>0.0469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HYPERLINK("http://141.218.60.56/~jnz1568/getInfo.php?workbook=16_08.xlsx&amp;sheet=U0&amp;row=6307&amp;col=6&amp;number=3.3&amp;sourceID=14","3.3")</f>
        <v>3.3</v>
      </c>
      <c r="G6307" s="4" t="str">
        <f>HYPERLINK("http://141.218.60.56/~jnz1568/getInfo.php?workbook=16_08.xlsx&amp;sheet=U0&amp;row=6307&amp;col=7&amp;number=0.0469&amp;sourceID=14","0.0469")</f>
        <v>0.0469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HYPERLINK("http://141.218.60.56/~jnz1568/getInfo.php?workbook=16_08.xlsx&amp;sheet=U0&amp;row=6308&amp;col=6&amp;number=3.4&amp;sourceID=14","3.4")</f>
        <v>3.4</v>
      </c>
      <c r="G6308" s="4" t="str">
        <f>HYPERLINK("http://141.218.60.56/~jnz1568/getInfo.php?workbook=16_08.xlsx&amp;sheet=U0&amp;row=6308&amp;col=7&amp;number=0.0469&amp;sourceID=14","0.0469")</f>
        <v>0.0469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HYPERLINK("http://141.218.60.56/~jnz1568/getInfo.php?workbook=16_08.xlsx&amp;sheet=U0&amp;row=6309&amp;col=6&amp;number=3.5&amp;sourceID=14","3.5")</f>
        <v>3.5</v>
      </c>
      <c r="G6309" s="4" t="str">
        <f>HYPERLINK("http://141.218.60.56/~jnz1568/getInfo.php?workbook=16_08.xlsx&amp;sheet=U0&amp;row=6309&amp;col=7&amp;number=0.0469&amp;sourceID=14","0.0469")</f>
        <v>0.0469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HYPERLINK("http://141.218.60.56/~jnz1568/getInfo.php?workbook=16_08.xlsx&amp;sheet=U0&amp;row=6310&amp;col=6&amp;number=3.6&amp;sourceID=14","3.6")</f>
        <v>3.6</v>
      </c>
      <c r="G6310" s="4" t="str">
        <f>HYPERLINK("http://141.218.60.56/~jnz1568/getInfo.php?workbook=16_08.xlsx&amp;sheet=U0&amp;row=6310&amp;col=7&amp;number=0.0469&amp;sourceID=14","0.0469")</f>
        <v>0.0469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HYPERLINK("http://141.218.60.56/~jnz1568/getInfo.php?workbook=16_08.xlsx&amp;sheet=U0&amp;row=6311&amp;col=6&amp;number=3.7&amp;sourceID=14","3.7")</f>
        <v>3.7</v>
      </c>
      <c r="G6311" s="4" t="str">
        <f>HYPERLINK("http://141.218.60.56/~jnz1568/getInfo.php?workbook=16_08.xlsx&amp;sheet=U0&amp;row=6311&amp;col=7&amp;number=0.047&amp;sourceID=14","0.047")</f>
        <v>0.047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HYPERLINK("http://141.218.60.56/~jnz1568/getInfo.php?workbook=16_08.xlsx&amp;sheet=U0&amp;row=6312&amp;col=6&amp;number=3.8&amp;sourceID=14","3.8")</f>
        <v>3.8</v>
      </c>
      <c r="G6312" s="4" t="str">
        <f>HYPERLINK("http://141.218.60.56/~jnz1568/getInfo.php?workbook=16_08.xlsx&amp;sheet=U0&amp;row=6312&amp;col=7&amp;number=0.047&amp;sourceID=14","0.047")</f>
        <v>0.047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HYPERLINK("http://141.218.60.56/~jnz1568/getInfo.php?workbook=16_08.xlsx&amp;sheet=U0&amp;row=6313&amp;col=6&amp;number=3.9&amp;sourceID=14","3.9")</f>
        <v>3.9</v>
      </c>
      <c r="G6313" s="4" t="str">
        <f>HYPERLINK("http://141.218.60.56/~jnz1568/getInfo.php?workbook=16_08.xlsx&amp;sheet=U0&amp;row=6313&amp;col=7&amp;number=0.047&amp;sourceID=14","0.047")</f>
        <v>0.047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HYPERLINK("http://141.218.60.56/~jnz1568/getInfo.php?workbook=16_08.xlsx&amp;sheet=U0&amp;row=6314&amp;col=6&amp;number=4&amp;sourceID=14","4")</f>
        <v>4</v>
      </c>
      <c r="G6314" s="4" t="str">
        <f>HYPERLINK("http://141.218.60.56/~jnz1568/getInfo.php?workbook=16_08.xlsx&amp;sheet=U0&amp;row=6314&amp;col=7&amp;number=0.047&amp;sourceID=14","0.047")</f>
        <v>0.047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HYPERLINK("http://141.218.60.56/~jnz1568/getInfo.php?workbook=16_08.xlsx&amp;sheet=U0&amp;row=6315&amp;col=6&amp;number=4.1&amp;sourceID=14","4.1")</f>
        <v>4.1</v>
      </c>
      <c r="G6315" s="4" t="str">
        <f>HYPERLINK("http://141.218.60.56/~jnz1568/getInfo.php?workbook=16_08.xlsx&amp;sheet=U0&amp;row=6315&amp;col=7&amp;number=0.0471&amp;sourceID=14","0.0471")</f>
        <v>0.0471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HYPERLINK("http://141.218.60.56/~jnz1568/getInfo.php?workbook=16_08.xlsx&amp;sheet=U0&amp;row=6316&amp;col=6&amp;number=4.2&amp;sourceID=14","4.2")</f>
        <v>4.2</v>
      </c>
      <c r="G6316" s="4" t="str">
        <f>HYPERLINK("http://141.218.60.56/~jnz1568/getInfo.php?workbook=16_08.xlsx&amp;sheet=U0&amp;row=6316&amp;col=7&amp;number=0.0471&amp;sourceID=14","0.0471")</f>
        <v>0.0471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HYPERLINK("http://141.218.60.56/~jnz1568/getInfo.php?workbook=16_08.xlsx&amp;sheet=U0&amp;row=6317&amp;col=6&amp;number=4.3&amp;sourceID=14","4.3")</f>
        <v>4.3</v>
      </c>
      <c r="G6317" s="4" t="str">
        <f>HYPERLINK("http://141.218.60.56/~jnz1568/getInfo.php?workbook=16_08.xlsx&amp;sheet=U0&amp;row=6317&amp;col=7&amp;number=0.0472&amp;sourceID=14","0.0472")</f>
        <v>0.0472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HYPERLINK("http://141.218.60.56/~jnz1568/getInfo.php?workbook=16_08.xlsx&amp;sheet=U0&amp;row=6318&amp;col=6&amp;number=4.4&amp;sourceID=14","4.4")</f>
        <v>4.4</v>
      </c>
      <c r="G6318" s="4" t="str">
        <f>HYPERLINK("http://141.218.60.56/~jnz1568/getInfo.php?workbook=16_08.xlsx&amp;sheet=U0&amp;row=6318&amp;col=7&amp;number=0.0472&amp;sourceID=14","0.0472")</f>
        <v>0.0472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HYPERLINK("http://141.218.60.56/~jnz1568/getInfo.php?workbook=16_08.xlsx&amp;sheet=U0&amp;row=6319&amp;col=6&amp;number=4.5&amp;sourceID=14","4.5")</f>
        <v>4.5</v>
      </c>
      <c r="G6319" s="4" t="str">
        <f>HYPERLINK("http://141.218.60.56/~jnz1568/getInfo.php?workbook=16_08.xlsx&amp;sheet=U0&amp;row=6319&amp;col=7&amp;number=0.0473&amp;sourceID=14","0.0473")</f>
        <v>0.0473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HYPERLINK("http://141.218.60.56/~jnz1568/getInfo.php?workbook=16_08.xlsx&amp;sheet=U0&amp;row=6320&amp;col=6&amp;number=4.6&amp;sourceID=14","4.6")</f>
        <v>4.6</v>
      </c>
      <c r="G6320" s="4" t="str">
        <f>HYPERLINK("http://141.218.60.56/~jnz1568/getInfo.php?workbook=16_08.xlsx&amp;sheet=U0&amp;row=6320&amp;col=7&amp;number=0.0474&amp;sourceID=14","0.0474")</f>
        <v>0.0474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HYPERLINK("http://141.218.60.56/~jnz1568/getInfo.php?workbook=16_08.xlsx&amp;sheet=U0&amp;row=6321&amp;col=6&amp;number=4.7&amp;sourceID=14","4.7")</f>
        <v>4.7</v>
      </c>
      <c r="G6321" s="4" t="str">
        <f>HYPERLINK("http://141.218.60.56/~jnz1568/getInfo.php?workbook=16_08.xlsx&amp;sheet=U0&amp;row=6321&amp;col=7&amp;number=0.0476&amp;sourceID=14","0.0476")</f>
        <v>0.0476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HYPERLINK("http://141.218.60.56/~jnz1568/getInfo.php?workbook=16_08.xlsx&amp;sheet=U0&amp;row=6322&amp;col=6&amp;number=4.8&amp;sourceID=14","4.8")</f>
        <v>4.8</v>
      </c>
      <c r="G6322" s="4" t="str">
        <f>HYPERLINK("http://141.218.60.56/~jnz1568/getInfo.php?workbook=16_08.xlsx&amp;sheet=U0&amp;row=6322&amp;col=7&amp;number=0.0477&amp;sourceID=14","0.0477")</f>
        <v>0.0477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HYPERLINK("http://141.218.60.56/~jnz1568/getInfo.php?workbook=16_08.xlsx&amp;sheet=U0&amp;row=6323&amp;col=6&amp;number=4.9&amp;sourceID=14","4.9")</f>
        <v>4.9</v>
      </c>
      <c r="G6323" s="4" t="str">
        <f>HYPERLINK("http://141.218.60.56/~jnz1568/getInfo.php?workbook=16_08.xlsx&amp;sheet=U0&amp;row=6323&amp;col=7&amp;number=0.048&amp;sourceID=14","0.048")</f>
        <v>0.048</v>
      </c>
    </row>
    <row r="6324" spans="1:7">
      <c r="A6324" s="3">
        <v>16</v>
      </c>
      <c r="B6324" s="3">
        <v>8</v>
      </c>
      <c r="C6324" s="3">
        <v>4</v>
      </c>
      <c r="D6324" s="3">
        <v>69</v>
      </c>
      <c r="E6324" s="3">
        <v>1</v>
      </c>
      <c r="F6324" s="4" t="str">
        <f>HYPERLINK("http://141.218.60.56/~jnz1568/getInfo.php?workbook=16_08.xlsx&amp;sheet=U0&amp;row=6324&amp;col=6&amp;number=3&amp;sourceID=14","3")</f>
        <v>3</v>
      </c>
      <c r="G6324" s="4" t="str">
        <f>HYPERLINK("http://141.218.60.56/~jnz1568/getInfo.php?workbook=16_08.xlsx&amp;sheet=U0&amp;row=6324&amp;col=7&amp;number=0.0189&amp;sourceID=14","0.0189")</f>
        <v>0.0189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HYPERLINK("http://141.218.60.56/~jnz1568/getInfo.php?workbook=16_08.xlsx&amp;sheet=U0&amp;row=6325&amp;col=6&amp;number=3.1&amp;sourceID=14","3.1")</f>
        <v>3.1</v>
      </c>
      <c r="G6325" s="4" t="str">
        <f>HYPERLINK("http://141.218.60.56/~jnz1568/getInfo.php?workbook=16_08.xlsx&amp;sheet=U0&amp;row=6325&amp;col=7&amp;number=0.0189&amp;sourceID=14","0.0189")</f>
        <v>0.0189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HYPERLINK("http://141.218.60.56/~jnz1568/getInfo.php?workbook=16_08.xlsx&amp;sheet=U0&amp;row=6326&amp;col=6&amp;number=3.2&amp;sourceID=14","3.2")</f>
        <v>3.2</v>
      </c>
      <c r="G6326" s="4" t="str">
        <f>HYPERLINK("http://141.218.60.56/~jnz1568/getInfo.php?workbook=16_08.xlsx&amp;sheet=U0&amp;row=6326&amp;col=7&amp;number=0.0189&amp;sourceID=14","0.0189")</f>
        <v>0.0189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HYPERLINK("http://141.218.60.56/~jnz1568/getInfo.php?workbook=16_08.xlsx&amp;sheet=U0&amp;row=6327&amp;col=6&amp;number=3.3&amp;sourceID=14","3.3")</f>
        <v>3.3</v>
      </c>
      <c r="G6327" s="4" t="str">
        <f>HYPERLINK("http://141.218.60.56/~jnz1568/getInfo.php?workbook=16_08.xlsx&amp;sheet=U0&amp;row=6327&amp;col=7&amp;number=0.0189&amp;sourceID=14","0.0189")</f>
        <v>0.0189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HYPERLINK("http://141.218.60.56/~jnz1568/getInfo.php?workbook=16_08.xlsx&amp;sheet=U0&amp;row=6328&amp;col=6&amp;number=3.4&amp;sourceID=14","3.4")</f>
        <v>3.4</v>
      </c>
      <c r="G6328" s="4" t="str">
        <f>HYPERLINK("http://141.218.60.56/~jnz1568/getInfo.php?workbook=16_08.xlsx&amp;sheet=U0&amp;row=6328&amp;col=7&amp;number=0.0189&amp;sourceID=14","0.0189")</f>
        <v>0.0189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HYPERLINK("http://141.218.60.56/~jnz1568/getInfo.php?workbook=16_08.xlsx&amp;sheet=U0&amp;row=6329&amp;col=6&amp;number=3.5&amp;sourceID=14","3.5")</f>
        <v>3.5</v>
      </c>
      <c r="G6329" s="4" t="str">
        <f>HYPERLINK("http://141.218.60.56/~jnz1568/getInfo.php?workbook=16_08.xlsx&amp;sheet=U0&amp;row=6329&amp;col=7&amp;number=0.0189&amp;sourceID=14","0.0189")</f>
        <v>0.0189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HYPERLINK("http://141.218.60.56/~jnz1568/getInfo.php?workbook=16_08.xlsx&amp;sheet=U0&amp;row=6330&amp;col=6&amp;number=3.6&amp;sourceID=14","3.6")</f>
        <v>3.6</v>
      </c>
      <c r="G6330" s="4" t="str">
        <f>HYPERLINK("http://141.218.60.56/~jnz1568/getInfo.php?workbook=16_08.xlsx&amp;sheet=U0&amp;row=6330&amp;col=7&amp;number=0.0189&amp;sourceID=14","0.0189")</f>
        <v>0.0189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HYPERLINK("http://141.218.60.56/~jnz1568/getInfo.php?workbook=16_08.xlsx&amp;sheet=U0&amp;row=6331&amp;col=6&amp;number=3.7&amp;sourceID=14","3.7")</f>
        <v>3.7</v>
      </c>
      <c r="G6331" s="4" t="str">
        <f>HYPERLINK("http://141.218.60.56/~jnz1568/getInfo.php?workbook=16_08.xlsx&amp;sheet=U0&amp;row=6331&amp;col=7&amp;number=0.0189&amp;sourceID=14","0.0189")</f>
        <v>0.0189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HYPERLINK("http://141.218.60.56/~jnz1568/getInfo.php?workbook=16_08.xlsx&amp;sheet=U0&amp;row=6332&amp;col=6&amp;number=3.8&amp;sourceID=14","3.8")</f>
        <v>3.8</v>
      </c>
      <c r="G6332" s="4" t="str">
        <f>HYPERLINK("http://141.218.60.56/~jnz1568/getInfo.php?workbook=16_08.xlsx&amp;sheet=U0&amp;row=6332&amp;col=7&amp;number=0.0189&amp;sourceID=14","0.0189")</f>
        <v>0.0189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HYPERLINK("http://141.218.60.56/~jnz1568/getInfo.php?workbook=16_08.xlsx&amp;sheet=U0&amp;row=6333&amp;col=6&amp;number=3.9&amp;sourceID=14","3.9")</f>
        <v>3.9</v>
      </c>
      <c r="G6333" s="4" t="str">
        <f>HYPERLINK("http://141.218.60.56/~jnz1568/getInfo.php?workbook=16_08.xlsx&amp;sheet=U0&amp;row=6333&amp;col=7&amp;number=0.0189&amp;sourceID=14","0.0189")</f>
        <v>0.0189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HYPERLINK("http://141.218.60.56/~jnz1568/getInfo.php?workbook=16_08.xlsx&amp;sheet=U0&amp;row=6334&amp;col=6&amp;number=4&amp;sourceID=14","4")</f>
        <v>4</v>
      </c>
      <c r="G6334" s="4" t="str">
        <f>HYPERLINK("http://141.218.60.56/~jnz1568/getInfo.php?workbook=16_08.xlsx&amp;sheet=U0&amp;row=6334&amp;col=7&amp;number=0.0189&amp;sourceID=14","0.0189")</f>
        <v>0.0189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HYPERLINK("http://141.218.60.56/~jnz1568/getInfo.php?workbook=16_08.xlsx&amp;sheet=U0&amp;row=6335&amp;col=6&amp;number=4.1&amp;sourceID=14","4.1")</f>
        <v>4.1</v>
      </c>
      <c r="G6335" s="4" t="str">
        <f>HYPERLINK("http://141.218.60.56/~jnz1568/getInfo.php?workbook=16_08.xlsx&amp;sheet=U0&amp;row=6335&amp;col=7&amp;number=0.0189&amp;sourceID=14","0.0189")</f>
        <v>0.0189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HYPERLINK("http://141.218.60.56/~jnz1568/getInfo.php?workbook=16_08.xlsx&amp;sheet=U0&amp;row=6336&amp;col=6&amp;number=4.2&amp;sourceID=14","4.2")</f>
        <v>4.2</v>
      </c>
      <c r="G6336" s="4" t="str">
        <f>HYPERLINK("http://141.218.60.56/~jnz1568/getInfo.php?workbook=16_08.xlsx&amp;sheet=U0&amp;row=6336&amp;col=7&amp;number=0.0189&amp;sourceID=14","0.0189")</f>
        <v>0.0189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HYPERLINK("http://141.218.60.56/~jnz1568/getInfo.php?workbook=16_08.xlsx&amp;sheet=U0&amp;row=6337&amp;col=6&amp;number=4.3&amp;sourceID=14","4.3")</f>
        <v>4.3</v>
      </c>
      <c r="G6337" s="4" t="str">
        <f>HYPERLINK("http://141.218.60.56/~jnz1568/getInfo.php?workbook=16_08.xlsx&amp;sheet=U0&amp;row=6337&amp;col=7&amp;number=0.0189&amp;sourceID=14","0.0189")</f>
        <v>0.0189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HYPERLINK("http://141.218.60.56/~jnz1568/getInfo.php?workbook=16_08.xlsx&amp;sheet=U0&amp;row=6338&amp;col=6&amp;number=4.4&amp;sourceID=14","4.4")</f>
        <v>4.4</v>
      </c>
      <c r="G6338" s="4" t="str">
        <f>HYPERLINK("http://141.218.60.56/~jnz1568/getInfo.php?workbook=16_08.xlsx&amp;sheet=U0&amp;row=6338&amp;col=7&amp;number=0.0189&amp;sourceID=14","0.0189")</f>
        <v>0.0189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HYPERLINK("http://141.218.60.56/~jnz1568/getInfo.php?workbook=16_08.xlsx&amp;sheet=U0&amp;row=6339&amp;col=6&amp;number=4.5&amp;sourceID=14","4.5")</f>
        <v>4.5</v>
      </c>
      <c r="G6339" s="4" t="str">
        <f>HYPERLINK("http://141.218.60.56/~jnz1568/getInfo.php?workbook=16_08.xlsx&amp;sheet=U0&amp;row=6339&amp;col=7&amp;number=0.0189&amp;sourceID=14","0.0189")</f>
        <v>0.0189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HYPERLINK("http://141.218.60.56/~jnz1568/getInfo.php?workbook=16_08.xlsx&amp;sheet=U0&amp;row=6340&amp;col=6&amp;number=4.6&amp;sourceID=14","4.6")</f>
        <v>4.6</v>
      </c>
      <c r="G6340" s="4" t="str">
        <f>HYPERLINK("http://141.218.60.56/~jnz1568/getInfo.php?workbook=16_08.xlsx&amp;sheet=U0&amp;row=6340&amp;col=7&amp;number=0.0188&amp;sourceID=14","0.0188")</f>
        <v>0.0188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HYPERLINK("http://141.218.60.56/~jnz1568/getInfo.php?workbook=16_08.xlsx&amp;sheet=U0&amp;row=6341&amp;col=6&amp;number=4.7&amp;sourceID=14","4.7")</f>
        <v>4.7</v>
      </c>
      <c r="G6341" s="4" t="str">
        <f>HYPERLINK("http://141.218.60.56/~jnz1568/getInfo.php?workbook=16_08.xlsx&amp;sheet=U0&amp;row=6341&amp;col=7&amp;number=0.0188&amp;sourceID=14","0.0188")</f>
        <v>0.0188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HYPERLINK("http://141.218.60.56/~jnz1568/getInfo.php?workbook=16_08.xlsx&amp;sheet=U0&amp;row=6342&amp;col=6&amp;number=4.8&amp;sourceID=14","4.8")</f>
        <v>4.8</v>
      </c>
      <c r="G6342" s="4" t="str">
        <f>HYPERLINK("http://141.218.60.56/~jnz1568/getInfo.php?workbook=16_08.xlsx&amp;sheet=U0&amp;row=6342&amp;col=7&amp;number=0.0188&amp;sourceID=14","0.0188")</f>
        <v>0.0188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HYPERLINK("http://141.218.60.56/~jnz1568/getInfo.php?workbook=16_08.xlsx&amp;sheet=U0&amp;row=6343&amp;col=6&amp;number=4.9&amp;sourceID=14","4.9")</f>
        <v>4.9</v>
      </c>
      <c r="G6343" s="4" t="str">
        <f>HYPERLINK("http://141.218.60.56/~jnz1568/getInfo.php?workbook=16_08.xlsx&amp;sheet=U0&amp;row=6343&amp;col=7&amp;number=0.0187&amp;sourceID=14","0.0187")</f>
        <v>0.0187</v>
      </c>
    </row>
    <row r="6344" spans="1:7">
      <c r="A6344" s="3">
        <v>16</v>
      </c>
      <c r="B6344" s="3">
        <v>8</v>
      </c>
      <c r="C6344" s="3">
        <v>4</v>
      </c>
      <c r="D6344" s="3">
        <v>70</v>
      </c>
      <c r="E6344" s="3">
        <v>1</v>
      </c>
      <c r="F6344" s="4" t="str">
        <f>HYPERLINK("http://141.218.60.56/~jnz1568/getInfo.php?workbook=16_08.xlsx&amp;sheet=U0&amp;row=6344&amp;col=6&amp;number=3&amp;sourceID=14","3")</f>
        <v>3</v>
      </c>
      <c r="G6344" s="4" t="str">
        <f>HYPERLINK("http://141.218.60.56/~jnz1568/getInfo.php?workbook=16_08.xlsx&amp;sheet=U0&amp;row=6344&amp;col=7&amp;number=0.0126&amp;sourceID=14","0.0126")</f>
        <v>0.0126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HYPERLINK("http://141.218.60.56/~jnz1568/getInfo.php?workbook=16_08.xlsx&amp;sheet=U0&amp;row=6345&amp;col=6&amp;number=3.1&amp;sourceID=14","3.1")</f>
        <v>3.1</v>
      </c>
      <c r="G6345" s="4" t="str">
        <f>HYPERLINK("http://141.218.60.56/~jnz1568/getInfo.php?workbook=16_08.xlsx&amp;sheet=U0&amp;row=6345&amp;col=7&amp;number=0.0126&amp;sourceID=14","0.0126")</f>
        <v>0.0126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HYPERLINK("http://141.218.60.56/~jnz1568/getInfo.php?workbook=16_08.xlsx&amp;sheet=U0&amp;row=6346&amp;col=6&amp;number=3.2&amp;sourceID=14","3.2")</f>
        <v>3.2</v>
      </c>
      <c r="G6346" s="4" t="str">
        <f>HYPERLINK("http://141.218.60.56/~jnz1568/getInfo.php?workbook=16_08.xlsx&amp;sheet=U0&amp;row=6346&amp;col=7&amp;number=0.0126&amp;sourceID=14","0.0126")</f>
        <v>0.0126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HYPERLINK("http://141.218.60.56/~jnz1568/getInfo.php?workbook=16_08.xlsx&amp;sheet=U0&amp;row=6347&amp;col=6&amp;number=3.3&amp;sourceID=14","3.3")</f>
        <v>3.3</v>
      </c>
      <c r="G6347" s="4" t="str">
        <f>HYPERLINK("http://141.218.60.56/~jnz1568/getInfo.php?workbook=16_08.xlsx&amp;sheet=U0&amp;row=6347&amp;col=7&amp;number=0.0126&amp;sourceID=14","0.0126")</f>
        <v>0.0126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HYPERLINK("http://141.218.60.56/~jnz1568/getInfo.php?workbook=16_08.xlsx&amp;sheet=U0&amp;row=6348&amp;col=6&amp;number=3.4&amp;sourceID=14","3.4")</f>
        <v>3.4</v>
      </c>
      <c r="G6348" s="4" t="str">
        <f>HYPERLINK("http://141.218.60.56/~jnz1568/getInfo.php?workbook=16_08.xlsx&amp;sheet=U0&amp;row=6348&amp;col=7&amp;number=0.0126&amp;sourceID=14","0.0126")</f>
        <v>0.0126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HYPERLINK("http://141.218.60.56/~jnz1568/getInfo.php?workbook=16_08.xlsx&amp;sheet=U0&amp;row=6349&amp;col=6&amp;number=3.5&amp;sourceID=14","3.5")</f>
        <v>3.5</v>
      </c>
      <c r="G6349" s="4" t="str">
        <f>HYPERLINK("http://141.218.60.56/~jnz1568/getInfo.php?workbook=16_08.xlsx&amp;sheet=U0&amp;row=6349&amp;col=7&amp;number=0.0126&amp;sourceID=14","0.0126")</f>
        <v>0.0126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HYPERLINK("http://141.218.60.56/~jnz1568/getInfo.php?workbook=16_08.xlsx&amp;sheet=U0&amp;row=6350&amp;col=6&amp;number=3.6&amp;sourceID=14","3.6")</f>
        <v>3.6</v>
      </c>
      <c r="G6350" s="4" t="str">
        <f>HYPERLINK("http://141.218.60.56/~jnz1568/getInfo.php?workbook=16_08.xlsx&amp;sheet=U0&amp;row=6350&amp;col=7&amp;number=0.0126&amp;sourceID=14","0.0126")</f>
        <v>0.0126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HYPERLINK("http://141.218.60.56/~jnz1568/getInfo.php?workbook=16_08.xlsx&amp;sheet=U0&amp;row=6351&amp;col=6&amp;number=3.7&amp;sourceID=14","3.7")</f>
        <v>3.7</v>
      </c>
      <c r="G6351" s="4" t="str">
        <f>HYPERLINK("http://141.218.60.56/~jnz1568/getInfo.php?workbook=16_08.xlsx&amp;sheet=U0&amp;row=6351&amp;col=7&amp;number=0.0126&amp;sourceID=14","0.0126")</f>
        <v>0.0126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HYPERLINK("http://141.218.60.56/~jnz1568/getInfo.php?workbook=16_08.xlsx&amp;sheet=U0&amp;row=6352&amp;col=6&amp;number=3.8&amp;sourceID=14","3.8")</f>
        <v>3.8</v>
      </c>
      <c r="G6352" s="4" t="str">
        <f>HYPERLINK("http://141.218.60.56/~jnz1568/getInfo.php?workbook=16_08.xlsx&amp;sheet=U0&amp;row=6352&amp;col=7&amp;number=0.0126&amp;sourceID=14","0.0126")</f>
        <v>0.0126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HYPERLINK("http://141.218.60.56/~jnz1568/getInfo.php?workbook=16_08.xlsx&amp;sheet=U0&amp;row=6353&amp;col=6&amp;number=3.9&amp;sourceID=14","3.9")</f>
        <v>3.9</v>
      </c>
      <c r="G6353" s="4" t="str">
        <f>HYPERLINK("http://141.218.60.56/~jnz1568/getInfo.php?workbook=16_08.xlsx&amp;sheet=U0&amp;row=6353&amp;col=7&amp;number=0.0125&amp;sourceID=14","0.0125")</f>
        <v>0.0125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HYPERLINK("http://141.218.60.56/~jnz1568/getInfo.php?workbook=16_08.xlsx&amp;sheet=U0&amp;row=6354&amp;col=6&amp;number=4&amp;sourceID=14","4")</f>
        <v>4</v>
      </c>
      <c r="G6354" s="4" t="str">
        <f>HYPERLINK("http://141.218.60.56/~jnz1568/getInfo.php?workbook=16_08.xlsx&amp;sheet=U0&amp;row=6354&amp;col=7&amp;number=0.0125&amp;sourceID=14","0.0125")</f>
        <v>0.0125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HYPERLINK("http://141.218.60.56/~jnz1568/getInfo.php?workbook=16_08.xlsx&amp;sheet=U0&amp;row=6355&amp;col=6&amp;number=4.1&amp;sourceID=14","4.1")</f>
        <v>4.1</v>
      </c>
      <c r="G6355" s="4" t="str">
        <f>HYPERLINK("http://141.218.60.56/~jnz1568/getInfo.php?workbook=16_08.xlsx&amp;sheet=U0&amp;row=6355&amp;col=7&amp;number=0.0125&amp;sourceID=14","0.0125")</f>
        <v>0.0125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HYPERLINK("http://141.218.60.56/~jnz1568/getInfo.php?workbook=16_08.xlsx&amp;sheet=U0&amp;row=6356&amp;col=6&amp;number=4.2&amp;sourceID=14","4.2")</f>
        <v>4.2</v>
      </c>
      <c r="G6356" s="4" t="str">
        <f>HYPERLINK("http://141.218.60.56/~jnz1568/getInfo.php?workbook=16_08.xlsx&amp;sheet=U0&amp;row=6356&amp;col=7&amp;number=0.0125&amp;sourceID=14","0.0125")</f>
        <v>0.0125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HYPERLINK("http://141.218.60.56/~jnz1568/getInfo.php?workbook=16_08.xlsx&amp;sheet=U0&amp;row=6357&amp;col=6&amp;number=4.3&amp;sourceID=14","4.3")</f>
        <v>4.3</v>
      </c>
      <c r="G6357" s="4" t="str">
        <f>HYPERLINK("http://141.218.60.56/~jnz1568/getInfo.php?workbook=16_08.xlsx&amp;sheet=U0&amp;row=6357&amp;col=7&amp;number=0.0125&amp;sourceID=14","0.0125")</f>
        <v>0.0125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HYPERLINK("http://141.218.60.56/~jnz1568/getInfo.php?workbook=16_08.xlsx&amp;sheet=U0&amp;row=6358&amp;col=6&amp;number=4.4&amp;sourceID=14","4.4")</f>
        <v>4.4</v>
      </c>
      <c r="G6358" s="4" t="str">
        <f>HYPERLINK("http://141.218.60.56/~jnz1568/getInfo.php?workbook=16_08.xlsx&amp;sheet=U0&amp;row=6358&amp;col=7&amp;number=0.0125&amp;sourceID=14","0.0125")</f>
        <v>0.0125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HYPERLINK("http://141.218.60.56/~jnz1568/getInfo.php?workbook=16_08.xlsx&amp;sheet=U0&amp;row=6359&amp;col=6&amp;number=4.5&amp;sourceID=14","4.5")</f>
        <v>4.5</v>
      </c>
      <c r="G6359" s="4" t="str">
        <f>HYPERLINK("http://141.218.60.56/~jnz1568/getInfo.php?workbook=16_08.xlsx&amp;sheet=U0&amp;row=6359&amp;col=7&amp;number=0.0125&amp;sourceID=14","0.0125")</f>
        <v>0.0125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HYPERLINK("http://141.218.60.56/~jnz1568/getInfo.php?workbook=16_08.xlsx&amp;sheet=U0&amp;row=6360&amp;col=6&amp;number=4.6&amp;sourceID=14","4.6")</f>
        <v>4.6</v>
      </c>
      <c r="G6360" s="4" t="str">
        <f>HYPERLINK("http://141.218.60.56/~jnz1568/getInfo.php?workbook=16_08.xlsx&amp;sheet=U0&amp;row=6360&amp;col=7&amp;number=0.0125&amp;sourceID=14","0.0125")</f>
        <v>0.0125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HYPERLINK("http://141.218.60.56/~jnz1568/getInfo.php?workbook=16_08.xlsx&amp;sheet=U0&amp;row=6361&amp;col=6&amp;number=4.7&amp;sourceID=14","4.7")</f>
        <v>4.7</v>
      </c>
      <c r="G6361" s="4" t="str">
        <f>HYPERLINK("http://141.218.60.56/~jnz1568/getInfo.php?workbook=16_08.xlsx&amp;sheet=U0&amp;row=6361&amp;col=7&amp;number=0.0125&amp;sourceID=14","0.0125")</f>
        <v>0.0125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HYPERLINK("http://141.218.60.56/~jnz1568/getInfo.php?workbook=16_08.xlsx&amp;sheet=U0&amp;row=6362&amp;col=6&amp;number=4.8&amp;sourceID=14","4.8")</f>
        <v>4.8</v>
      </c>
      <c r="G6362" s="4" t="str">
        <f>HYPERLINK("http://141.218.60.56/~jnz1568/getInfo.php?workbook=16_08.xlsx&amp;sheet=U0&amp;row=6362&amp;col=7&amp;number=0.0125&amp;sourceID=14","0.0125")</f>
        <v>0.0125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HYPERLINK("http://141.218.60.56/~jnz1568/getInfo.php?workbook=16_08.xlsx&amp;sheet=U0&amp;row=6363&amp;col=6&amp;number=4.9&amp;sourceID=14","4.9")</f>
        <v>4.9</v>
      </c>
      <c r="G6363" s="4" t="str">
        <f>HYPERLINK("http://141.218.60.56/~jnz1568/getInfo.php?workbook=16_08.xlsx&amp;sheet=U0&amp;row=6363&amp;col=7&amp;number=0.0125&amp;sourceID=14","0.0125")</f>
        <v>0.0125</v>
      </c>
    </row>
    <row r="6364" spans="1:7">
      <c r="A6364" s="3">
        <v>16</v>
      </c>
      <c r="B6364" s="3">
        <v>8</v>
      </c>
      <c r="C6364" s="3">
        <v>4</v>
      </c>
      <c r="D6364" s="3">
        <v>71</v>
      </c>
      <c r="E6364" s="3">
        <v>1</v>
      </c>
      <c r="F6364" s="4" t="str">
        <f>HYPERLINK("http://141.218.60.56/~jnz1568/getInfo.php?workbook=16_08.xlsx&amp;sheet=U0&amp;row=6364&amp;col=6&amp;number=3&amp;sourceID=14","3")</f>
        <v>3</v>
      </c>
      <c r="G6364" s="4" t="str">
        <f>HYPERLINK("http://141.218.60.56/~jnz1568/getInfo.php?workbook=16_08.xlsx&amp;sheet=U0&amp;row=6364&amp;col=7&amp;number=0.00473&amp;sourceID=14","0.00473")</f>
        <v>0.00473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HYPERLINK("http://141.218.60.56/~jnz1568/getInfo.php?workbook=16_08.xlsx&amp;sheet=U0&amp;row=6365&amp;col=6&amp;number=3.1&amp;sourceID=14","3.1")</f>
        <v>3.1</v>
      </c>
      <c r="G6365" s="4" t="str">
        <f>HYPERLINK("http://141.218.60.56/~jnz1568/getInfo.php?workbook=16_08.xlsx&amp;sheet=U0&amp;row=6365&amp;col=7&amp;number=0.00473&amp;sourceID=14","0.00473")</f>
        <v>0.00473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HYPERLINK("http://141.218.60.56/~jnz1568/getInfo.php?workbook=16_08.xlsx&amp;sheet=U0&amp;row=6366&amp;col=6&amp;number=3.2&amp;sourceID=14","3.2")</f>
        <v>3.2</v>
      </c>
      <c r="G6366" s="4" t="str">
        <f>HYPERLINK("http://141.218.60.56/~jnz1568/getInfo.php?workbook=16_08.xlsx&amp;sheet=U0&amp;row=6366&amp;col=7&amp;number=0.00473&amp;sourceID=14","0.00473")</f>
        <v>0.00473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HYPERLINK("http://141.218.60.56/~jnz1568/getInfo.php?workbook=16_08.xlsx&amp;sheet=U0&amp;row=6367&amp;col=6&amp;number=3.3&amp;sourceID=14","3.3")</f>
        <v>3.3</v>
      </c>
      <c r="G6367" s="4" t="str">
        <f>HYPERLINK("http://141.218.60.56/~jnz1568/getInfo.php?workbook=16_08.xlsx&amp;sheet=U0&amp;row=6367&amp;col=7&amp;number=0.00473&amp;sourceID=14","0.00473")</f>
        <v>0.00473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HYPERLINK("http://141.218.60.56/~jnz1568/getInfo.php?workbook=16_08.xlsx&amp;sheet=U0&amp;row=6368&amp;col=6&amp;number=3.4&amp;sourceID=14","3.4")</f>
        <v>3.4</v>
      </c>
      <c r="G6368" s="4" t="str">
        <f>HYPERLINK("http://141.218.60.56/~jnz1568/getInfo.php?workbook=16_08.xlsx&amp;sheet=U0&amp;row=6368&amp;col=7&amp;number=0.00473&amp;sourceID=14","0.00473")</f>
        <v>0.00473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HYPERLINK("http://141.218.60.56/~jnz1568/getInfo.php?workbook=16_08.xlsx&amp;sheet=U0&amp;row=6369&amp;col=6&amp;number=3.5&amp;sourceID=14","3.5")</f>
        <v>3.5</v>
      </c>
      <c r="G6369" s="4" t="str">
        <f>HYPERLINK("http://141.218.60.56/~jnz1568/getInfo.php?workbook=16_08.xlsx&amp;sheet=U0&amp;row=6369&amp;col=7&amp;number=0.00472&amp;sourceID=14","0.00472")</f>
        <v>0.00472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HYPERLINK("http://141.218.60.56/~jnz1568/getInfo.php?workbook=16_08.xlsx&amp;sheet=U0&amp;row=6370&amp;col=6&amp;number=3.6&amp;sourceID=14","3.6")</f>
        <v>3.6</v>
      </c>
      <c r="G6370" s="4" t="str">
        <f>HYPERLINK("http://141.218.60.56/~jnz1568/getInfo.php?workbook=16_08.xlsx&amp;sheet=U0&amp;row=6370&amp;col=7&amp;number=0.00472&amp;sourceID=14","0.00472")</f>
        <v>0.00472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HYPERLINK("http://141.218.60.56/~jnz1568/getInfo.php?workbook=16_08.xlsx&amp;sheet=U0&amp;row=6371&amp;col=6&amp;number=3.7&amp;sourceID=14","3.7")</f>
        <v>3.7</v>
      </c>
      <c r="G6371" s="4" t="str">
        <f>HYPERLINK("http://141.218.60.56/~jnz1568/getInfo.php?workbook=16_08.xlsx&amp;sheet=U0&amp;row=6371&amp;col=7&amp;number=0.00472&amp;sourceID=14","0.00472")</f>
        <v>0.00472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HYPERLINK("http://141.218.60.56/~jnz1568/getInfo.php?workbook=16_08.xlsx&amp;sheet=U0&amp;row=6372&amp;col=6&amp;number=3.8&amp;sourceID=14","3.8")</f>
        <v>3.8</v>
      </c>
      <c r="G6372" s="4" t="str">
        <f>HYPERLINK("http://141.218.60.56/~jnz1568/getInfo.php?workbook=16_08.xlsx&amp;sheet=U0&amp;row=6372&amp;col=7&amp;number=0.00472&amp;sourceID=14","0.00472")</f>
        <v>0.00472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HYPERLINK("http://141.218.60.56/~jnz1568/getInfo.php?workbook=16_08.xlsx&amp;sheet=U0&amp;row=6373&amp;col=6&amp;number=3.9&amp;sourceID=14","3.9")</f>
        <v>3.9</v>
      </c>
      <c r="G6373" s="4" t="str">
        <f>HYPERLINK("http://141.218.60.56/~jnz1568/getInfo.php?workbook=16_08.xlsx&amp;sheet=U0&amp;row=6373&amp;col=7&amp;number=0.00471&amp;sourceID=14","0.00471")</f>
        <v>0.00471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HYPERLINK("http://141.218.60.56/~jnz1568/getInfo.php?workbook=16_08.xlsx&amp;sheet=U0&amp;row=6374&amp;col=6&amp;number=4&amp;sourceID=14","4")</f>
        <v>4</v>
      </c>
      <c r="G6374" s="4" t="str">
        <f>HYPERLINK("http://141.218.60.56/~jnz1568/getInfo.php?workbook=16_08.xlsx&amp;sheet=U0&amp;row=6374&amp;col=7&amp;number=0.00471&amp;sourceID=14","0.00471")</f>
        <v>0.00471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HYPERLINK("http://141.218.60.56/~jnz1568/getInfo.php?workbook=16_08.xlsx&amp;sheet=U0&amp;row=6375&amp;col=6&amp;number=4.1&amp;sourceID=14","4.1")</f>
        <v>4.1</v>
      </c>
      <c r="G6375" s="4" t="str">
        <f>HYPERLINK("http://141.218.60.56/~jnz1568/getInfo.php?workbook=16_08.xlsx&amp;sheet=U0&amp;row=6375&amp;col=7&amp;number=0.0047&amp;sourceID=14","0.0047")</f>
        <v>0.0047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HYPERLINK("http://141.218.60.56/~jnz1568/getInfo.php?workbook=16_08.xlsx&amp;sheet=U0&amp;row=6376&amp;col=6&amp;number=4.2&amp;sourceID=14","4.2")</f>
        <v>4.2</v>
      </c>
      <c r="G6376" s="4" t="str">
        <f>HYPERLINK("http://141.218.60.56/~jnz1568/getInfo.php?workbook=16_08.xlsx&amp;sheet=U0&amp;row=6376&amp;col=7&amp;number=0.00469&amp;sourceID=14","0.00469")</f>
        <v>0.00469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HYPERLINK("http://141.218.60.56/~jnz1568/getInfo.php?workbook=16_08.xlsx&amp;sheet=U0&amp;row=6377&amp;col=6&amp;number=4.3&amp;sourceID=14","4.3")</f>
        <v>4.3</v>
      </c>
      <c r="G6377" s="4" t="str">
        <f>HYPERLINK("http://141.218.60.56/~jnz1568/getInfo.php?workbook=16_08.xlsx&amp;sheet=U0&amp;row=6377&amp;col=7&amp;number=0.00468&amp;sourceID=14","0.00468")</f>
        <v>0.00468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HYPERLINK("http://141.218.60.56/~jnz1568/getInfo.php?workbook=16_08.xlsx&amp;sheet=U0&amp;row=6378&amp;col=6&amp;number=4.4&amp;sourceID=14","4.4")</f>
        <v>4.4</v>
      </c>
      <c r="G6378" s="4" t="str">
        <f>HYPERLINK("http://141.218.60.56/~jnz1568/getInfo.php?workbook=16_08.xlsx&amp;sheet=U0&amp;row=6378&amp;col=7&amp;number=0.00467&amp;sourceID=14","0.00467")</f>
        <v>0.00467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HYPERLINK("http://141.218.60.56/~jnz1568/getInfo.php?workbook=16_08.xlsx&amp;sheet=U0&amp;row=6379&amp;col=6&amp;number=4.5&amp;sourceID=14","4.5")</f>
        <v>4.5</v>
      </c>
      <c r="G6379" s="4" t="str">
        <f>HYPERLINK("http://141.218.60.56/~jnz1568/getInfo.php?workbook=16_08.xlsx&amp;sheet=U0&amp;row=6379&amp;col=7&amp;number=0.00465&amp;sourceID=14","0.00465")</f>
        <v>0.00465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HYPERLINK("http://141.218.60.56/~jnz1568/getInfo.php?workbook=16_08.xlsx&amp;sheet=U0&amp;row=6380&amp;col=6&amp;number=4.6&amp;sourceID=14","4.6")</f>
        <v>4.6</v>
      </c>
      <c r="G6380" s="4" t="str">
        <f>HYPERLINK("http://141.218.60.56/~jnz1568/getInfo.php?workbook=16_08.xlsx&amp;sheet=U0&amp;row=6380&amp;col=7&amp;number=0.00463&amp;sourceID=14","0.00463")</f>
        <v>0.00463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HYPERLINK("http://141.218.60.56/~jnz1568/getInfo.php?workbook=16_08.xlsx&amp;sheet=U0&amp;row=6381&amp;col=6&amp;number=4.7&amp;sourceID=14","4.7")</f>
        <v>4.7</v>
      </c>
      <c r="G6381" s="4" t="str">
        <f>HYPERLINK("http://141.218.60.56/~jnz1568/getInfo.php?workbook=16_08.xlsx&amp;sheet=U0&amp;row=6381&amp;col=7&amp;number=0.0046&amp;sourceID=14","0.0046")</f>
        <v>0.0046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HYPERLINK("http://141.218.60.56/~jnz1568/getInfo.php?workbook=16_08.xlsx&amp;sheet=U0&amp;row=6382&amp;col=6&amp;number=4.8&amp;sourceID=14","4.8")</f>
        <v>4.8</v>
      </c>
      <c r="G6382" s="4" t="str">
        <f>HYPERLINK("http://141.218.60.56/~jnz1568/getInfo.php?workbook=16_08.xlsx&amp;sheet=U0&amp;row=6382&amp;col=7&amp;number=0.00457&amp;sourceID=14","0.00457")</f>
        <v>0.00457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HYPERLINK("http://141.218.60.56/~jnz1568/getInfo.php?workbook=16_08.xlsx&amp;sheet=U0&amp;row=6383&amp;col=6&amp;number=4.9&amp;sourceID=14","4.9")</f>
        <v>4.9</v>
      </c>
      <c r="G6383" s="4" t="str">
        <f>HYPERLINK("http://141.218.60.56/~jnz1568/getInfo.php?workbook=16_08.xlsx&amp;sheet=U0&amp;row=6383&amp;col=7&amp;number=0.00453&amp;sourceID=14","0.00453")</f>
        <v>0.00453</v>
      </c>
    </row>
    <row r="6384" spans="1:7">
      <c r="A6384" s="3">
        <v>16</v>
      </c>
      <c r="B6384" s="3">
        <v>8</v>
      </c>
      <c r="C6384" s="3">
        <v>4</v>
      </c>
      <c r="D6384" s="3">
        <v>72</v>
      </c>
      <c r="E6384" s="3">
        <v>1</v>
      </c>
      <c r="F6384" s="4" t="str">
        <f>HYPERLINK("http://141.218.60.56/~jnz1568/getInfo.php?workbook=16_08.xlsx&amp;sheet=U0&amp;row=6384&amp;col=6&amp;number=3&amp;sourceID=14","3")</f>
        <v>3</v>
      </c>
      <c r="G6384" s="4" t="str">
        <f>HYPERLINK("http://141.218.60.56/~jnz1568/getInfo.php?workbook=16_08.xlsx&amp;sheet=U0&amp;row=6384&amp;col=7&amp;number=0.0977&amp;sourceID=14","0.0977")</f>
        <v>0.0977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HYPERLINK("http://141.218.60.56/~jnz1568/getInfo.php?workbook=16_08.xlsx&amp;sheet=U0&amp;row=6385&amp;col=6&amp;number=3.1&amp;sourceID=14","3.1")</f>
        <v>3.1</v>
      </c>
      <c r="G6385" s="4" t="str">
        <f>HYPERLINK("http://141.218.60.56/~jnz1568/getInfo.php?workbook=16_08.xlsx&amp;sheet=U0&amp;row=6385&amp;col=7&amp;number=0.0977&amp;sourceID=14","0.0977")</f>
        <v>0.0977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HYPERLINK("http://141.218.60.56/~jnz1568/getInfo.php?workbook=16_08.xlsx&amp;sheet=U0&amp;row=6386&amp;col=6&amp;number=3.2&amp;sourceID=14","3.2")</f>
        <v>3.2</v>
      </c>
      <c r="G6386" s="4" t="str">
        <f>HYPERLINK("http://141.218.60.56/~jnz1568/getInfo.php?workbook=16_08.xlsx&amp;sheet=U0&amp;row=6386&amp;col=7&amp;number=0.0977&amp;sourceID=14","0.0977")</f>
        <v>0.0977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HYPERLINK("http://141.218.60.56/~jnz1568/getInfo.php?workbook=16_08.xlsx&amp;sheet=U0&amp;row=6387&amp;col=6&amp;number=3.3&amp;sourceID=14","3.3")</f>
        <v>3.3</v>
      </c>
      <c r="G6387" s="4" t="str">
        <f>HYPERLINK("http://141.218.60.56/~jnz1568/getInfo.php?workbook=16_08.xlsx&amp;sheet=U0&amp;row=6387&amp;col=7&amp;number=0.0977&amp;sourceID=14","0.0977")</f>
        <v>0.0977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HYPERLINK("http://141.218.60.56/~jnz1568/getInfo.php?workbook=16_08.xlsx&amp;sheet=U0&amp;row=6388&amp;col=6&amp;number=3.4&amp;sourceID=14","3.4")</f>
        <v>3.4</v>
      </c>
      <c r="G6388" s="4" t="str">
        <f>HYPERLINK("http://141.218.60.56/~jnz1568/getInfo.php?workbook=16_08.xlsx&amp;sheet=U0&amp;row=6388&amp;col=7&amp;number=0.0977&amp;sourceID=14","0.0977")</f>
        <v>0.0977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HYPERLINK("http://141.218.60.56/~jnz1568/getInfo.php?workbook=16_08.xlsx&amp;sheet=U0&amp;row=6389&amp;col=6&amp;number=3.5&amp;sourceID=14","3.5")</f>
        <v>3.5</v>
      </c>
      <c r="G6389" s="4" t="str">
        <f>HYPERLINK("http://141.218.60.56/~jnz1568/getInfo.php?workbook=16_08.xlsx&amp;sheet=U0&amp;row=6389&amp;col=7&amp;number=0.0977&amp;sourceID=14","0.0977")</f>
        <v>0.0977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HYPERLINK("http://141.218.60.56/~jnz1568/getInfo.php?workbook=16_08.xlsx&amp;sheet=U0&amp;row=6390&amp;col=6&amp;number=3.6&amp;sourceID=14","3.6")</f>
        <v>3.6</v>
      </c>
      <c r="G6390" s="4" t="str">
        <f>HYPERLINK("http://141.218.60.56/~jnz1568/getInfo.php?workbook=16_08.xlsx&amp;sheet=U0&amp;row=6390&amp;col=7&amp;number=0.0978&amp;sourceID=14","0.0978")</f>
        <v>0.0978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HYPERLINK("http://141.218.60.56/~jnz1568/getInfo.php?workbook=16_08.xlsx&amp;sheet=U0&amp;row=6391&amp;col=6&amp;number=3.7&amp;sourceID=14","3.7")</f>
        <v>3.7</v>
      </c>
      <c r="G6391" s="4" t="str">
        <f>HYPERLINK("http://141.218.60.56/~jnz1568/getInfo.php?workbook=16_08.xlsx&amp;sheet=U0&amp;row=6391&amp;col=7&amp;number=0.0978&amp;sourceID=14","0.0978")</f>
        <v>0.0978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HYPERLINK("http://141.218.60.56/~jnz1568/getInfo.php?workbook=16_08.xlsx&amp;sheet=U0&amp;row=6392&amp;col=6&amp;number=3.8&amp;sourceID=14","3.8")</f>
        <v>3.8</v>
      </c>
      <c r="G6392" s="4" t="str">
        <f>HYPERLINK("http://141.218.60.56/~jnz1568/getInfo.php?workbook=16_08.xlsx&amp;sheet=U0&amp;row=6392&amp;col=7&amp;number=0.0979&amp;sourceID=14","0.0979")</f>
        <v>0.0979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HYPERLINK("http://141.218.60.56/~jnz1568/getInfo.php?workbook=16_08.xlsx&amp;sheet=U0&amp;row=6393&amp;col=6&amp;number=3.9&amp;sourceID=14","3.9")</f>
        <v>3.9</v>
      </c>
      <c r="G6393" s="4" t="str">
        <f>HYPERLINK("http://141.218.60.56/~jnz1568/getInfo.php?workbook=16_08.xlsx&amp;sheet=U0&amp;row=6393&amp;col=7&amp;number=0.098&amp;sourceID=14","0.098")</f>
        <v>0.098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HYPERLINK("http://141.218.60.56/~jnz1568/getInfo.php?workbook=16_08.xlsx&amp;sheet=U0&amp;row=6394&amp;col=6&amp;number=4&amp;sourceID=14","4")</f>
        <v>4</v>
      </c>
      <c r="G6394" s="4" t="str">
        <f>HYPERLINK("http://141.218.60.56/~jnz1568/getInfo.php?workbook=16_08.xlsx&amp;sheet=U0&amp;row=6394&amp;col=7&amp;number=0.098&amp;sourceID=14","0.098")</f>
        <v>0.098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HYPERLINK("http://141.218.60.56/~jnz1568/getInfo.php?workbook=16_08.xlsx&amp;sheet=U0&amp;row=6395&amp;col=6&amp;number=4.1&amp;sourceID=14","4.1")</f>
        <v>4.1</v>
      </c>
      <c r="G6395" s="4" t="str">
        <f>HYPERLINK("http://141.218.60.56/~jnz1568/getInfo.php?workbook=16_08.xlsx&amp;sheet=U0&amp;row=6395&amp;col=7&amp;number=0.0982&amp;sourceID=14","0.0982")</f>
        <v>0.0982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HYPERLINK("http://141.218.60.56/~jnz1568/getInfo.php?workbook=16_08.xlsx&amp;sheet=U0&amp;row=6396&amp;col=6&amp;number=4.2&amp;sourceID=14","4.2")</f>
        <v>4.2</v>
      </c>
      <c r="G6396" s="4" t="str">
        <f>HYPERLINK("http://141.218.60.56/~jnz1568/getInfo.php?workbook=16_08.xlsx&amp;sheet=U0&amp;row=6396&amp;col=7&amp;number=0.0983&amp;sourceID=14","0.0983")</f>
        <v>0.0983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HYPERLINK("http://141.218.60.56/~jnz1568/getInfo.php?workbook=16_08.xlsx&amp;sheet=U0&amp;row=6397&amp;col=6&amp;number=4.3&amp;sourceID=14","4.3")</f>
        <v>4.3</v>
      </c>
      <c r="G6397" s="4" t="str">
        <f>HYPERLINK("http://141.218.60.56/~jnz1568/getInfo.php?workbook=16_08.xlsx&amp;sheet=U0&amp;row=6397&amp;col=7&amp;number=0.0985&amp;sourceID=14","0.0985")</f>
        <v>0.0985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HYPERLINK("http://141.218.60.56/~jnz1568/getInfo.php?workbook=16_08.xlsx&amp;sheet=U0&amp;row=6398&amp;col=6&amp;number=4.4&amp;sourceID=14","4.4")</f>
        <v>4.4</v>
      </c>
      <c r="G6398" s="4" t="str">
        <f>HYPERLINK("http://141.218.60.56/~jnz1568/getInfo.php?workbook=16_08.xlsx&amp;sheet=U0&amp;row=6398&amp;col=7&amp;number=0.0987&amp;sourceID=14","0.0987")</f>
        <v>0.0987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HYPERLINK("http://141.218.60.56/~jnz1568/getInfo.php?workbook=16_08.xlsx&amp;sheet=U0&amp;row=6399&amp;col=6&amp;number=4.5&amp;sourceID=14","4.5")</f>
        <v>4.5</v>
      </c>
      <c r="G6399" s="4" t="str">
        <f>HYPERLINK("http://141.218.60.56/~jnz1568/getInfo.php?workbook=16_08.xlsx&amp;sheet=U0&amp;row=6399&amp;col=7&amp;number=0.099&amp;sourceID=14","0.099")</f>
        <v>0.099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HYPERLINK("http://141.218.60.56/~jnz1568/getInfo.php?workbook=16_08.xlsx&amp;sheet=U0&amp;row=6400&amp;col=6&amp;number=4.6&amp;sourceID=14","4.6")</f>
        <v>4.6</v>
      </c>
      <c r="G6400" s="4" t="str">
        <f>HYPERLINK("http://141.218.60.56/~jnz1568/getInfo.php?workbook=16_08.xlsx&amp;sheet=U0&amp;row=6400&amp;col=7&amp;number=0.0993&amp;sourceID=14","0.0993")</f>
        <v>0.0993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HYPERLINK("http://141.218.60.56/~jnz1568/getInfo.php?workbook=16_08.xlsx&amp;sheet=U0&amp;row=6401&amp;col=6&amp;number=4.7&amp;sourceID=14","4.7")</f>
        <v>4.7</v>
      </c>
      <c r="G6401" s="4" t="str">
        <f>HYPERLINK("http://141.218.60.56/~jnz1568/getInfo.php?workbook=16_08.xlsx&amp;sheet=U0&amp;row=6401&amp;col=7&amp;number=0.0998&amp;sourceID=14","0.0998")</f>
        <v>0.0998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HYPERLINK("http://141.218.60.56/~jnz1568/getInfo.php?workbook=16_08.xlsx&amp;sheet=U0&amp;row=6402&amp;col=6&amp;number=4.8&amp;sourceID=14","4.8")</f>
        <v>4.8</v>
      </c>
      <c r="G6402" s="4" t="str">
        <f>HYPERLINK("http://141.218.60.56/~jnz1568/getInfo.php?workbook=16_08.xlsx&amp;sheet=U0&amp;row=6402&amp;col=7&amp;number=0.1&amp;sourceID=14","0.1")</f>
        <v>0.1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HYPERLINK("http://141.218.60.56/~jnz1568/getInfo.php?workbook=16_08.xlsx&amp;sheet=U0&amp;row=6403&amp;col=6&amp;number=4.9&amp;sourceID=14","4.9")</f>
        <v>4.9</v>
      </c>
      <c r="G6403" s="4" t="str">
        <f>HYPERLINK("http://141.218.60.56/~jnz1568/getInfo.php?workbook=16_08.xlsx&amp;sheet=U0&amp;row=6403&amp;col=7&amp;number=0.101&amp;sourceID=14","0.101")</f>
        <v>0.101</v>
      </c>
    </row>
    <row r="6404" spans="1:7">
      <c r="A6404" s="3">
        <v>16</v>
      </c>
      <c r="B6404" s="3">
        <v>8</v>
      </c>
      <c r="C6404" s="3">
        <v>4</v>
      </c>
      <c r="D6404" s="3">
        <v>73</v>
      </c>
      <c r="E6404" s="3">
        <v>1</v>
      </c>
      <c r="F6404" s="4" t="str">
        <f>HYPERLINK("http://141.218.60.56/~jnz1568/getInfo.php?workbook=16_08.xlsx&amp;sheet=U0&amp;row=6404&amp;col=6&amp;number=3&amp;sourceID=14","3")</f>
        <v>3</v>
      </c>
      <c r="G6404" s="4" t="str">
        <f>HYPERLINK("http://141.218.60.56/~jnz1568/getInfo.php?workbook=16_08.xlsx&amp;sheet=U0&amp;row=6404&amp;col=7&amp;number=0.00706&amp;sourceID=14","0.00706")</f>
        <v>0.00706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HYPERLINK("http://141.218.60.56/~jnz1568/getInfo.php?workbook=16_08.xlsx&amp;sheet=U0&amp;row=6405&amp;col=6&amp;number=3.1&amp;sourceID=14","3.1")</f>
        <v>3.1</v>
      </c>
      <c r="G6405" s="4" t="str">
        <f>HYPERLINK("http://141.218.60.56/~jnz1568/getInfo.php?workbook=16_08.xlsx&amp;sheet=U0&amp;row=6405&amp;col=7&amp;number=0.00706&amp;sourceID=14","0.00706")</f>
        <v>0.00706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HYPERLINK("http://141.218.60.56/~jnz1568/getInfo.php?workbook=16_08.xlsx&amp;sheet=U0&amp;row=6406&amp;col=6&amp;number=3.2&amp;sourceID=14","3.2")</f>
        <v>3.2</v>
      </c>
      <c r="G6406" s="4" t="str">
        <f>HYPERLINK("http://141.218.60.56/~jnz1568/getInfo.php?workbook=16_08.xlsx&amp;sheet=U0&amp;row=6406&amp;col=7&amp;number=0.00706&amp;sourceID=14","0.00706")</f>
        <v>0.00706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HYPERLINK("http://141.218.60.56/~jnz1568/getInfo.php?workbook=16_08.xlsx&amp;sheet=U0&amp;row=6407&amp;col=6&amp;number=3.3&amp;sourceID=14","3.3")</f>
        <v>3.3</v>
      </c>
      <c r="G6407" s="4" t="str">
        <f>HYPERLINK("http://141.218.60.56/~jnz1568/getInfo.php?workbook=16_08.xlsx&amp;sheet=U0&amp;row=6407&amp;col=7&amp;number=0.00706&amp;sourceID=14","0.00706")</f>
        <v>0.00706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HYPERLINK("http://141.218.60.56/~jnz1568/getInfo.php?workbook=16_08.xlsx&amp;sheet=U0&amp;row=6408&amp;col=6&amp;number=3.4&amp;sourceID=14","3.4")</f>
        <v>3.4</v>
      </c>
      <c r="G6408" s="4" t="str">
        <f>HYPERLINK("http://141.218.60.56/~jnz1568/getInfo.php?workbook=16_08.xlsx&amp;sheet=U0&amp;row=6408&amp;col=7&amp;number=0.00706&amp;sourceID=14","0.00706")</f>
        <v>0.00706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HYPERLINK("http://141.218.60.56/~jnz1568/getInfo.php?workbook=16_08.xlsx&amp;sheet=U0&amp;row=6409&amp;col=6&amp;number=3.5&amp;sourceID=14","3.5")</f>
        <v>3.5</v>
      </c>
      <c r="G6409" s="4" t="str">
        <f>HYPERLINK("http://141.218.60.56/~jnz1568/getInfo.php?workbook=16_08.xlsx&amp;sheet=U0&amp;row=6409&amp;col=7&amp;number=0.00706&amp;sourceID=14","0.00706")</f>
        <v>0.00706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HYPERLINK("http://141.218.60.56/~jnz1568/getInfo.php?workbook=16_08.xlsx&amp;sheet=U0&amp;row=6410&amp;col=6&amp;number=3.6&amp;sourceID=14","3.6")</f>
        <v>3.6</v>
      </c>
      <c r="G6410" s="4" t="str">
        <f>HYPERLINK("http://141.218.60.56/~jnz1568/getInfo.php?workbook=16_08.xlsx&amp;sheet=U0&amp;row=6410&amp;col=7&amp;number=0.00706&amp;sourceID=14","0.00706")</f>
        <v>0.00706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HYPERLINK("http://141.218.60.56/~jnz1568/getInfo.php?workbook=16_08.xlsx&amp;sheet=U0&amp;row=6411&amp;col=6&amp;number=3.7&amp;sourceID=14","3.7")</f>
        <v>3.7</v>
      </c>
      <c r="G6411" s="4" t="str">
        <f>HYPERLINK("http://141.218.60.56/~jnz1568/getInfo.php?workbook=16_08.xlsx&amp;sheet=U0&amp;row=6411&amp;col=7&amp;number=0.00706&amp;sourceID=14","0.00706")</f>
        <v>0.00706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HYPERLINK("http://141.218.60.56/~jnz1568/getInfo.php?workbook=16_08.xlsx&amp;sheet=U0&amp;row=6412&amp;col=6&amp;number=3.8&amp;sourceID=14","3.8")</f>
        <v>3.8</v>
      </c>
      <c r="G6412" s="4" t="str">
        <f>HYPERLINK("http://141.218.60.56/~jnz1568/getInfo.php?workbook=16_08.xlsx&amp;sheet=U0&amp;row=6412&amp;col=7&amp;number=0.00705&amp;sourceID=14","0.00705")</f>
        <v>0.00705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HYPERLINK("http://141.218.60.56/~jnz1568/getInfo.php?workbook=16_08.xlsx&amp;sheet=U0&amp;row=6413&amp;col=6&amp;number=3.9&amp;sourceID=14","3.9")</f>
        <v>3.9</v>
      </c>
      <c r="G6413" s="4" t="str">
        <f>HYPERLINK("http://141.218.60.56/~jnz1568/getInfo.php?workbook=16_08.xlsx&amp;sheet=U0&amp;row=6413&amp;col=7&amp;number=0.00705&amp;sourceID=14","0.00705")</f>
        <v>0.00705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HYPERLINK("http://141.218.60.56/~jnz1568/getInfo.php?workbook=16_08.xlsx&amp;sheet=U0&amp;row=6414&amp;col=6&amp;number=4&amp;sourceID=14","4")</f>
        <v>4</v>
      </c>
      <c r="G6414" s="4" t="str">
        <f>HYPERLINK("http://141.218.60.56/~jnz1568/getInfo.php?workbook=16_08.xlsx&amp;sheet=U0&amp;row=6414&amp;col=7&amp;number=0.00705&amp;sourceID=14","0.00705")</f>
        <v>0.00705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HYPERLINK("http://141.218.60.56/~jnz1568/getInfo.php?workbook=16_08.xlsx&amp;sheet=U0&amp;row=6415&amp;col=6&amp;number=4.1&amp;sourceID=14","4.1")</f>
        <v>4.1</v>
      </c>
      <c r="G6415" s="4" t="str">
        <f>HYPERLINK("http://141.218.60.56/~jnz1568/getInfo.php?workbook=16_08.xlsx&amp;sheet=U0&amp;row=6415&amp;col=7&amp;number=0.00704&amp;sourceID=14","0.00704")</f>
        <v>0.00704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HYPERLINK("http://141.218.60.56/~jnz1568/getInfo.php?workbook=16_08.xlsx&amp;sheet=U0&amp;row=6416&amp;col=6&amp;number=4.2&amp;sourceID=14","4.2")</f>
        <v>4.2</v>
      </c>
      <c r="G6416" s="4" t="str">
        <f>HYPERLINK("http://141.218.60.56/~jnz1568/getInfo.php?workbook=16_08.xlsx&amp;sheet=U0&amp;row=6416&amp;col=7&amp;number=0.00704&amp;sourceID=14","0.00704")</f>
        <v>0.00704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HYPERLINK("http://141.218.60.56/~jnz1568/getInfo.php?workbook=16_08.xlsx&amp;sheet=U0&amp;row=6417&amp;col=6&amp;number=4.3&amp;sourceID=14","4.3")</f>
        <v>4.3</v>
      </c>
      <c r="G6417" s="4" t="str">
        <f>HYPERLINK("http://141.218.60.56/~jnz1568/getInfo.php?workbook=16_08.xlsx&amp;sheet=U0&amp;row=6417&amp;col=7&amp;number=0.00703&amp;sourceID=14","0.00703")</f>
        <v>0.00703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HYPERLINK("http://141.218.60.56/~jnz1568/getInfo.php?workbook=16_08.xlsx&amp;sheet=U0&amp;row=6418&amp;col=6&amp;number=4.4&amp;sourceID=14","4.4")</f>
        <v>4.4</v>
      </c>
      <c r="G6418" s="4" t="str">
        <f>HYPERLINK("http://141.218.60.56/~jnz1568/getInfo.php?workbook=16_08.xlsx&amp;sheet=U0&amp;row=6418&amp;col=7&amp;number=0.00702&amp;sourceID=14","0.00702")</f>
        <v>0.00702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HYPERLINK("http://141.218.60.56/~jnz1568/getInfo.php?workbook=16_08.xlsx&amp;sheet=U0&amp;row=6419&amp;col=6&amp;number=4.5&amp;sourceID=14","4.5")</f>
        <v>4.5</v>
      </c>
      <c r="G6419" s="4" t="str">
        <f>HYPERLINK("http://141.218.60.56/~jnz1568/getInfo.php?workbook=16_08.xlsx&amp;sheet=U0&amp;row=6419&amp;col=7&amp;number=0.00701&amp;sourceID=14","0.00701")</f>
        <v>0.00701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HYPERLINK("http://141.218.60.56/~jnz1568/getInfo.php?workbook=16_08.xlsx&amp;sheet=U0&amp;row=6420&amp;col=6&amp;number=4.6&amp;sourceID=14","4.6")</f>
        <v>4.6</v>
      </c>
      <c r="G6420" s="4" t="str">
        <f>HYPERLINK("http://141.218.60.56/~jnz1568/getInfo.php?workbook=16_08.xlsx&amp;sheet=U0&amp;row=6420&amp;col=7&amp;number=0.007&amp;sourceID=14","0.007")</f>
        <v>0.007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HYPERLINK("http://141.218.60.56/~jnz1568/getInfo.php?workbook=16_08.xlsx&amp;sheet=U0&amp;row=6421&amp;col=6&amp;number=4.7&amp;sourceID=14","4.7")</f>
        <v>4.7</v>
      </c>
      <c r="G6421" s="4" t="str">
        <f>HYPERLINK("http://141.218.60.56/~jnz1568/getInfo.php?workbook=16_08.xlsx&amp;sheet=U0&amp;row=6421&amp;col=7&amp;number=0.00698&amp;sourceID=14","0.00698")</f>
        <v>0.00698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HYPERLINK("http://141.218.60.56/~jnz1568/getInfo.php?workbook=16_08.xlsx&amp;sheet=U0&amp;row=6422&amp;col=6&amp;number=4.8&amp;sourceID=14","4.8")</f>
        <v>4.8</v>
      </c>
      <c r="G6422" s="4" t="str">
        <f>HYPERLINK("http://141.218.60.56/~jnz1568/getInfo.php?workbook=16_08.xlsx&amp;sheet=U0&amp;row=6422&amp;col=7&amp;number=0.00696&amp;sourceID=14","0.00696")</f>
        <v>0.00696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HYPERLINK("http://141.218.60.56/~jnz1568/getInfo.php?workbook=16_08.xlsx&amp;sheet=U0&amp;row=6423&amp;col=6&amp;number=4.9&amp;sourceID=14","4.9")</f>
        <v>4.9</v>
      </c>
      <c r="G6423" s="4" t="str">
        <f>HYPERLINK("http://141.218.60.56/~jnz1568/getInfo.php?workbook=16_08.xlsx&amp;sheet=U0&amp;row=6423&amp;col=7&amp;number=0.00694&amp;sourceID=14","0.00694")</f>
        <v>0.00694</v>
      </c>
    </row>
    <row r="6424" spans="1:7">
      <c r="A6424" s="3">
        <v>16</v>
      </c>
      <c r="B6424" s="3">
        <v>8</v>
      </c>
      <c r="C6424" s="3">
        <v>4</v>
      </c>
      <c r="D6424" s="3">
        <v>74</v>
      </c>
      <c r="E6424" s="3">
        <v>1</v>
      </c>
      <c r="F6424" s="4" t="str">
        <f>HYPERLINK("http://141.218.60.56/~jnz1568/getInfo.php?workbook=16_08.xlsx&amp;sheet=U0&amp;row=6424&amp;col=6&amp;number=3&amp;sourceID=14","3")</f>
        <v>3</v>
      </c>
      <c r="G6424" s="4" t="str">
        <f>HYPERLINK("http://141.218.60.56/~jnz1568/getInfo.php?workbook=16_08.xlsx&amp;sheet=U0&amp;row=6424&amp;col=7&amp;number=0.187&amp;sourceID=14","0.187")</f>
        <v>0.187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HYPERLINK("http://141.218.60.56/~jnz1568/getInfo.php?workbook=16_08.xlsx&amp;sheet=U0&amp;row=6425&amp;col=6&amp;number=3.1&amp;sourceID=14","3.1")</f>
        <v>3.1</v>
      </c>
      <c r="G6425" s="4" t="str">
        <f>HYPERLINK("http://141.218.60.56/~jnz1568/getInfo.php?workbook=16_08.xlsx&amp;sheet=U0&amp;row=6425&amp;col=7&amp;number=0.187&amp;sourceID=14","0.187")</f>
        <v>0.187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HYPERLINK("http://141.218.60.56/~jnz1568/getInfo.php?workbook=16_08.xlsx&amp;sheet=U0&amp;row=6426&amp;col=6&amp;number=3.2&amp;sourceID=14","3.2")</f>
        <v>3.2</v>
      </c>
      <c r="G6426" s="4" t="str">
        <f>HYPERLINK("http://141.218.60.56/~jnz1568/getInfo.php?workbook=16_08.xlsx&amp;sheet=U0&amp;row=6426&amp;col=7&amp;number=0.187&amp;sourceID=14","0.187")</f>
        <v>0.187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HYPERLINK("http://141.218.60.56/~jnz1568/getInfo.php?workbook=16_08.xlsx&amp;sheet=U0&amp;row=6427&amp;col=6&amp;number=3.3&amp;sourceID=14","3.3")</f>
        <v>3.3</v>
      </c>
      <c r="G6427" s="4" t="str">
        <f>HYPERLINK("http://141.218.60.56/~jnz1568/getInfo.php?workbook=16_08.xlsx&amp;sheet=U0&amp;row=6427&amp;col=7&amp;number=0.187&amp;sourceID=14","0.187")</f>
        <v>0.187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HYPERLINK("http://141.218.60.56/~jnz1568/getInfo.php?workbook=16_08.xlsx&amp;sheet=U0&amp;row=6428&amp;col=6&amp;number=3.4&amp;sourceID=14","3.4")</f>
        <v>3.4</v>
      </c>
      <c r="G6428" s="4" t="str">
        <f>HYPERLINK("http://141.218.60.56/~jnz1568/getInfo.php?workbook=16_08.xlsx&amp;sheet=U0&amp;row=6428&amp;col=7&amp;number=0.187&amp;sourceID=14","0.187")</f>
        <v>0.187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HYPERLINK("http://141.218.60.56/~jnz1568/getInfo.php?workbook=16_08.xlsx&amp;sheet=U0&amp;row=6429&amp;col=6&amp;number=3.5&amp;sourceID=14","3.5")</f>
        <v>3.5</v>
      </c>
      <c r="G6429" s="4" t="str">
        <f>HYPERLINK("http://141.218.60.56/~jnz1568/getInfo.php?workbook=16_08.xlsx&amp;sheet=U0&amp;row=6429&amp;col=7&amp;number=0.187&amp;sourceID=14","0.187")</f>
        <v>0.187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HYPERLINK("http://141.218.60.56/~jnz1568/getInfo.php?workbook=16_08.xlsx&amp;sheet=U0&amp;row=6430&amp;col=6&amp;number=3.6&amp;sourceID=14","3.6")</f>
        <v>3.6</v>
      </c>
      <c r="G6430" s="4" t="str">
        <f>HYPERLINK("http://141.218.60.56/~jnz1568/getInfo.php?workbook=16_08.xlsx&amp;sheet=U0&amp;row=6430&amp;col=7&amp;number=0.187&amp;sourceID=14","0.187")</f>
        <v>0.187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HYPERLINK("http://141.218.60.56/~jnz1568/getInfo.php?workbook=16_08.xlsx&amp;sheet=U0&amp;row=6431&amp;col=6&amp;number=3.7&amp;sourceID=14","3.7")</f>
        <v>3.7</v>
      </c>
      <c r="G6431" s="4" t="str">
        <f>HYPERLINK("http://141.218.60.56/~jnz1568/getInfo.php?workbook=16_08.xlsx&amp;sheet=U0&amp;row=6431&amp;col=7&amp;number=0.187&amp;sourceID=14","0.187")</f>
        <v>0.187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HYPERLINK("http://141.218.60.56/~jnz1568/getInfo.php?workbook=16_08.xlsx&amp;sheet=U0&amp;row=6432&amp;col=6&amp;number=3.8&amp;sourceID=14","3.8")</f>
        <v>3.8</v>
      </c>
      <c r="G6432" s="4" t="str">
        <f>HYPERLINK("http://141.218.60.56/~jnz1568/getInfo.php?workbook=16_08.xlsx&amp;sheet=U0&amp;row=6432&amp;col=7&amp;number=0.187&amp;sourceID=14","0.187")</f>
        <v>0.187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HYPERLINK("http://141.218.60.56/~jnz1568/getInfo.php?workbook=16_08.xlsx&amp;sheet=U0&amp;row=6433&amp;col=6&amp;number=3.9&amp;sourceID=14","3.9")</f>
        <v>3.9</v>
      </c>
      <c r="G6433" s="4" t="str">
        <f>HYPERLINK("http://141.218.60.56/~jnz1568/getInfo.php?workbook=16_08.xlsx&amp;sheet=U0&amp;row=6433&amp;col=7&amp;number=0.187&amp;sourceID=14","0.187")</f>
        <v>0.187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HYPERLINK("http://141.218.60.56/~jnz1568/getInfo.php?workbook=16_08.xlsx&amp;sheet=U0&amp;row=6434&amp;col=6&amp;number=4&amp;sourceID=14","4")</f>
        <v>4</v>
      </c>
      <c r="G6434" s="4" t="str">
        <f>HYPERLINK("http://141.218.60.56/~jnz1568/getInfo.php?workbook=16_08.xlsx&amp;sheet=U0&amp;row=6434&amp;col=7&amp;number=0.188&amp;sourceID=14","0.188")</f>
        <v>0.188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HYPERLINK("http://141.218.60.56/~jnz1568/getInfo.php?workbook=16_08.xlsx&amp;sheet=U0&amp;row=6435&amp;col=6&amp;number=4.1&amp;sourceID=14","4.1")</f>
        <v>4.1</v>
      </c>
      <c r="G6435" s="4" t="str">
        <f>HYPERLINK("http://141.218.60.56/~jnz1568/getInfo.php?workbook=16_08.xlsx&amp;sheet=U0&amp;row=6435&amp;col=7&amp;number=0.188&amp;sourceID=14","0.188")</f>
        <v>0.188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HYPERLINK("http://141.218.60.56/~jnz1568/getInfo.php?workbook=16_08.xlsx&amp;sheet=U0&amp;row=6436&amp;col=6&amp;number=4.2&amp;sourceID=14","4.2")</f>
        <v>4.2</v>
      </c>
      <c r="G6436" s="4" t="str">
        <f>HYPERLINK("http://141.218.60.56/~jnz1568/getInfo.php?workbook=16_08.xlsx&amp;sheet=U0&amp;row=6436&amp;col=7&amp;number=0.188&amp;sourceID=14","0.188")</f>
        <v>0.188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HYPERLINK("http://141.218.60.56/~jnz1568/getInfo.php?workbook=16_08.xlsx&amp;sheet=U0&amp;row=6437&amp;col=6&amp;number=4.3&amp;sourceID=14","4.3")</f>
        <v>4.3</v>
      </c>
      <c r="G6437" s="4" t="str">
        <f>HYPERLINK("http://141.218.60.56/~jnz1568/getInfo.php?workbook=16_08.xlsx&amp;sheet=U0&amp;row=6437&amp;col=7&amp;number=0.189&amp;sourceID=14","0.189")</f>
        <v>0.189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HYPERLINK("http://141.218.60.56/~jnz1568/getInfo.php?workbook=16_08.xlsx&amp;sheet=U0&amp;row=6438&amp;col=6&amp;number=4.4&amp;sourceID=14","4.4")</f>
        <v>4.4</v>
      </c>
      <c r="G6438" s="4" t="str">
        <f>HYPERLINK("http://141.218.60.56/~jnz1568/getInfo.php?workbook=16_08.xlsx&amp;sheet=U0&amp;row=6438&amp;col=7&amp;number=0.189&amp;sourceID=14","0.189")</f>
        <v>0.189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HYPERLINK("http://141.218.60.56/~jnz1568/getInfo.php?workbook=16_08.xlsx&amp;sheet=U0&amp;row=6439&amp;col=6&amp;number=4.5&amp;sourceID=14","4.5")</f>
        <v>4.5</v>
      </c>
      <c r="G6439" s="4" t="str">
        <f>HYPERLINK("http://141.218.60.56/~jnz1568/getInfo.php?workbook=16_08.xlsx&amp;sheet=U0&amp;row=6439&amp;col=7&amp;number=0.19&amp;sourceID=14","0.19")</f>
        <v>0.19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HYPERLINK("http://141.218.60.56/~jnz1568/getInfo.php?workbook=16_08.xlsx&amp;sheet=U0&amp;row=6440&amp;col=6&amp;number=4.6&amp;sourceID=14","4.6")</f>
        <v>4.6</v>
      </c>
      <c r="G6440" s="4" t="str">
        <f>HYPERLINK("http://141.218.60.56/~jnz1568/getInfo.php?workbook=16_08.xlsx&amp;sheet=U0&amp;row=6440&amp;col=7&amp;number=0.19&amp;sourceID=14","0.19")</f>
        <v>0.19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HYPERLINK("http://141.218.60.56/~jnz1568/getInfo.php?workbook=16_08.xlsx&amp;sheet=U0&amp;row=6441&amp;col=6&amp;number=4.7&amp;sourceID=14","4.7")</f>
        <v>4.7</v>
      </c>
      <c r="G6441" s="4" t="str">
        <f>HYPERLINK("http://141.218.60.56/~jnz1568/getInfo.php?workbook=16_08.xlsx&amp;sheet=U0&amp;row=6441&amp;col=7&amp;number=0.191&amp;sourceID=14","0.191")</f>
        <v>0.191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HYPERLINK("http://141.218.60.56/~jnz1568/getInfo.php?workbook=16_08.xlsx&amp;sheet=U0&amp;row=6442&amp;col=6&amp;number=4.8&amp;sourceID=14","4.8")</f>
        <v>4.8</v>
      </c>
      <c r="G6442" s="4" t="str">
        <f>HYPERLINK("http://141.218.60.56/~jnz1568/getInfo.php?workbook=16_08.xlsx&amp;sheet=U0&amp;row=6442&amp;col=7&amp;number=0.193&amp;sourceID=14","0.193")</f>
        <v>0.193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HYPERLINK("http://141.218.60.56/~jnz1568/getInfo.php?workbook=16_08.xlsx&amp;sheet=U0&amp;row=6443&amp;col=6&amp;number=4.9&amp;sourceID=14","4.9")</f>
        <v>4.9</v>
      </c>
      <c r="G6443" s="4" t="str">
        <f>HYPERLINK("http://141.218.60.56/~jnz1568/getInfo.php?workbook=16_08.xlsx&amp;sheet=U0&amp;row=6443&amp;col=7&amp;number=0.194&amp;sourceID=14","0.194")</f>
        <v>0.194</v>
      </c>
    </row>
    <row r="6444" spans="1:7">
      <c r="A6444" s="3">
        <v>16</v>
      </c>
      <c r="B6444" s="3">
        <v>8</v>
      </c>
      <c r="C6444" s="3">
        <v>4</v>
      </c>
      <c r="D6444" s="3">
        <v>75</v>
      </c>
      <c r="E6444" s="3">
        <v>1</v>
      </c>
      <c r="F6444" s="4" t="str">
        <f>HYPERLINK("http://141.218.60.56/~jnz1568/getInfo.php?workbook=16_08.xlsx&amp;sheet=U0&amp;row=6444&amp;col=6&amp;number=3&amp;sourceID=14","3")</f>
        <v>3</v>
      </c>
      <c r="G6444" s="4" t="str">
        <f>HYPERLINK("http://141.218.60.56/~jnz1568/getInfo.php?workbook=16_08.xlsx&amp;sheet=U0&amp;row=6444&amp;col=7&amp;number=0.0212&amp;sourceID=14","0.0212")</f>
        <v>0.0212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HYPERLINK("http://141.218.60.56/~jnz1568/getInfo.php?workbook=16_08.xlsx&amp;sheet=U0&amp;row=6445&amp;col=6&amp;number=3.1&amp;sourceID=14","3.1")</f>
        <v>3.1</v>
      </c>
      <c r="G6445" s="4" t="str">
        <f>HYPERLINK("http://141.218.60.56/~jnz1568/getInfo.php?workbook=16_08.xlsx&amp;sheet=U0&amp;row=6445&amp;col=7&amp;number=0.0212&amp;sourceID=14","0.0212")</f>
        <v>0.0212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HYPERLINK("http://141.218.60.56/~jnz1568/getInfo.php?workbook=16_08.xlsx&amp;sheet=U0&amp;row=6446&amp;col=6&amp;number=3.2&amp;sourceID=14","3.2")</f>
        <v>3.2</v>
      </c>
      <c r="G6446" s="4" t="str">
        <f>HYPERLINK("http://141.218.60.56/~jnz1568/getInfo.php?workbook=16_08.xlsx&amp;sheet=U0&amp;row=6446&amp;col=7&amp;number=0.0212&amp;sourceID=14","0.0212")</f>
        <v>0.0212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HYPERLINK("http://141.218.60.56/~jnz1568/getInfo.php?workbook=16_08.xlsx&amp;sheet=U0&amp;row=6447&amp;col=6&amp;number=3.3&amp;sourceID=14","3.3")</f>
        <v>3.3</v>
      </c>
      <c r="G6447" s="4" t="str">
        <f>HYPERLINK("http://141.218.60.56/~jnz1568/getInfo.php?workbook=16_08.xlsx&amp;sheet=U0&amp;row=6447&amp;col=7&amp;number=0.0212&amp;sourceID=14","0.0212")</f>
        <v>0.0212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HYPERLINK("http://141.218.60.56/~jnz1568/getInfo.php?workbook=16_08.xlsx&amp;sheet=U0&amp;row=6448&amp;col=6&amp;number=3.4&amp;sourceID=14","3.4")</f>
        <v>3.4</v>
      </c>
      <c r="G6448" s="4" t="str">
        <f>HYPERLINK("http://141.218.60.56/~jnz1568/getInfo.php?workbook=16_08.xlsx&amp;sheet=U0&amp;row=6448&amp;col=7&amp;number=0.0212&amp;sourceID=14","0.0212")</f>
        <v>0.0212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HYPERLINK("http://141.218.60.56/~jnz1568/getInfo.php?workbook=16_08.xlsx&amp;sheet=U0&amp;row=6449&amp;col=6&amp;number=3.5&amp;sourceID=14","3.5")</f>
        <v>3.5</v>
      </c>
      <c r="G6449" s="4" t="str">
        <f>HYPERLINK("http://141.218.60.56/~jnz1568/getInfo.php?workbook=16_08.xlsx&amp;sheet=U0&amp;row=6449&amp;col=7&amp;number=0.0212&amp;sourceID=14","0.0212")</f>
        <v>0.0212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HYPERLINK("http://141.218.60.56/~jnz1568/getInfo.php?workbook=16_08.xlsx&amp;sheet=U0&amp;row=6450&amp;col=6&amp;number=3.6&amp;sourceID=14","3.6")</f>
        <v>3.6</v>
      </c>
      <c r="G6450" s="4" t="str">
        <f>HYPERLINK("http://141.218.60.56/~jnz1568/getInfo.php?workbook=16_08.xlsx&amp;sheet=U0&amp;row=6450&amp;col=7&amp;number=0.0212&amp;sourceID=14","0.0212")</f>
        <v>0.0212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HYPERLINK("http://141.218.60.56/~jnz1568/getInfo.php?workbook=16_08.xlsx&amp;sheet=U0&amp;row=6451&amp;col=6&amp;number=3.7&amp;sourceID=14","3.7")</f>
        <v>3.7</v>
      </c>
      <c r="G6451" s="4" t="str">
        <f>HYPERLINK("http://141.218.60.56/~jnz1568/getInfo.php?workbook=16_08.xlsx&amp;sheet=U0&amp;row=6451&amp;col=7&amp;number=0.0212&amp;sourceID=14","0.0212")</f>
        <v>0.0212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HYPERLINK("http://141.218.60.56/~jnz1568/getInfo.php?workbook=16_08.xlsx&amp;sheet=U0&amp;row=6452&amp;col=6&amp;number=3.8&amp;sourceID=14","3.8")</f>
        <v>3.8</v>
      </c>
      <c r="G6452" s="4" t="str">
        <f>HYPERLINK("http://141.218.60.56/~jnz1568/getInfo.php?workbook=16_08.xlsx&amp;sheet=U0&amp;row=6452&amp;col=7&amp;number=0.0212&amp;sourceID=14","0.0212")</f>
        <v>0.0212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HYPERLINK("http://141.218.60.56/~jnz1568/getInfo.php?workbook=16_08.xlsx&amp;sheet=U0&amp;row=6453&amp;col=6&amp;number=3.9&amp;sourceID=14","3.9")</f>
        <v>3.9</v>
      </c>
      <c r="G6453" s="4" t="str">
        <f>HYPERLINK("http://141.218.60.56/~jnz1568/getInfo.php?workbook=16_08.xlsx&amp;sheet=U0&amp;row=6453&amp;col=7&amp;number=0.0211&amp;sourceID=14","0.0211")</f>
        <v>0.0211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HYPERLINK("http://141.218.60.56/~jnz1568/getInfo.php?workbook=16_08.xlsx&amp;sheet=U0&amp;row=6454&amp;col=6&amp;number=4&amp;sourceID=14","4")</f>
        <v>4</v>
      </c>
      <c r="G6454" s="4" t="str">
        <f>HYPERLINK("http://141.218.60.56/~jnz1568/getInfo.php?workbook=16_08.xlsx&amp;sheet=U0&amp;row=6454&amp;col=7&amp;number=0.0211&amp;sourceID=14","0.0211")</f>
        <v>0.0211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HYPERLINK("http://141.218.60.56/~jnz1568/getInfo.php?workbook=16_08.xlsx&amp;sheet=U0&amp;row=6455&amp;col=6&amp;number=4.1&amp;sourceID=14","4.1")</f>
        <v>4.1</v>
      </c>
      <c r="G6455" s="4" t="str">
        <f>HYPERLINK("http://141.218.60.56/~jnz1568/getInfo.php?workbook=16_08.xlsx&amp;sheet=U0&amp;row=6455&amp;col=7&amp;number=0.0211&amp;sourceID=14","0.0211")</f>
        <v>0.0211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HYPERLINK("http://141.218.60.56/~jnz1568/getInfo.php?workbook=16_08.xlsx&amp;sheet=U0&amp;row=6456&amp;col=6&amp;number=4.2&amp;sourceID=14","4.2")</f>
        <v>4.2</v>
      </c>
      <c r="G6456" s="4" t="str">
        <f>HYPERLINK("http://141.218.60.56/~jnz1568/getInfo.php?workbook=16_08.xlsx&amp;sheet=U0&amp;row=6456&amp;col=7&amp;number=0.0211&amp;sourceID=14","0.0211")</f>
        <v>0.0211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HYPERLINK("http://141.218.60.56/~jnz1568/getInfo.php?workbook=16_08.xlsx&amp;sheet=U0&amp;row=6457&amp;col=6&amp;number=4.3&amp;sourceID=14","4.3")</f>
        <v>4.3</v>
      </c>
      <c r="G6457" s="4" t="str">
        <f>HYPERLINK("http://141.218.60.56/~jnz1568/getInfo.php?workbook=16_08.xlsx&amp;sheet=U0&amp;row=6457&amp;col=7&amp;number=0.0211&amp;sourceID=14","0.0211")</f>
        <v>0.0211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HYPERLINK("http://141.218.60.56/~jnz1568/getInfo.php?workbook=16_08.xlsx&amp;sheet=U0&amp;row=6458&amp;col=6&amp;number=4.4&amp;sourceID=14","4.4")</f>
        <v>4.4</v>
      </c>
      <c r="G6458" s="4" t="str">
        <f>HYPERLINK("http://141.218.60.56/~jnz1568/getInfo.php?workbook=16_08.xlsx&amp;sheet=U0&amp;row=6458&amp;col=7&amp;number=0.0211&amp;sourceID=14","0.0211")</f>
        <v>0.0211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HYPERLINK("http://141.218.60.56/~jnz1568/getInfo.php?workbook=16_08.xlsx&amp;sheet=U0&amp;row=6459&amp;col=6&amp;number=4.5&amp;sourceID=14","4.5")</f>
        <v>4.5</v>
      </c>
      <c r="G6459" s="4" t="str">
        <f>HYPERLINK("http://141.218.60.56/~jnz1568/getInfo.php?workbook=16_08.xlsx&amp;sheet=U0&amp;row=6459&amp;col=7&amp;number=0.021&amp;sourceID=14","0.021")</f>
        <v>0.021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HYPERLINK("http://141.218.60.56/~jnz1568/getInfo.php?workbook=16_08.xlsx&amp;sheet=U0&amp;row=6460&amp;col=6&amp;number=4.6&amp;sourceID=14","4.6")</f>
        <v>4.6</v>
      </c>
      <c r="G6460" s="4" t="str">
        <f>HYPERLINK("http://141.218.60.56/~jnz1568/getInfo.php?workbook=16_08.xlsx&amp;sheet=U0&amp;row=6460&amp;col=7&amp;number=0.021&amp;sourceID=14","0.021")</f>
        <v>0.021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HYPERLINK("http://141.218.60.56/~jnz1568/getInfo.php?workbook=16_08.xlsx&amp;sheet=U0&amp;row=6461&amp;col=6&amp;number=4.7&amp;sourceID=14","4.7")</f>
        <v>4.7</v>
      </c>
      <c r="G6461" s="4" t="str">
        <f>HYPERLINK("http://141.218.60.56/~jnz1568/getInfo.php?workbook=16_08.xlsx&amp;sheet=U0&amp;row=6461&amp;col=7&amp;number=0.0209&amp;sourceID=14","0.0209")</f>
        <v>0.0209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HYPERLINK("http://141.218.60.56/~jnz1568/getInfo.php?workbook=16_08.xlsx&amp;sheet=U0&amp;row=6462&amp;col=6&amp;number=4.8&amp;sourceID=14","4.8")</f>
        <v>4.8</v>
      </c>
      <c r="G6462" s="4" t="str">
        <f>HYPERLINK("http://141.218.60.56/~jnz1568/getInfo.php?workbook=16_08.xlsx&amp;sheet=U0&amp;row=6462&amp;col=7&amp;number=0.0209&amp;sourceID=14","0.0209")</f>
        <v>0.0209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HYPERLINK("http://141.218.60.56/~jnz1568/getInfo.php?workbook=16_08.xlsx&amp;sheet=U0&amp;row=6463&amp;col=6&amp;number=4.9&amp;sourceID=14","4.9")</f>
        <v>4.9</v>
      </c>
      <c r="G6463" s="4" t="str">
        <f>HYPERLINK("http://141.218.60.56/~jnz1568/getInfo.php?workbook=16_08.xlsx&amp;sheet=U0&amp;row=6463&amp;col=7&amp;number=0.0208&amp;sourceID=14","0.0208")</f>
        <v>0.0208</v>
      </c>
    </row>
    <row r="6464" spans="1:7">
      <c r="A6464" s="3">
        <v>16</v>
      </c>
      <c r="B6464" s="3">
        <v>8</v>
      </c>
      <c r="C6464" s="3">
        <v>4</v>
      </c>
      <c r="D6464" s="3">
        <v>76</v>
      </c>
      <c r="E6464" s="3">
        <v>1</v>
      </c>
      <c r="F6464" s="4" t="str">
        <f>HYPERLINK("http://141.218.60.56/~jnz1568/getInfo.php?workbook=16_08.xlsx&amp;sheet=U0&amp;row=6464&amp;col=6&amp;number=3&amp;sourceID=14","3")</f>
        <v>3</v>
      </c>
      <c r="G6464" s="4" t="str">
        <f>HYPERLINK("http://141.218.60.56/~jnz1568/getInfo.php?workbook=16_08.xlsx&amp;sheet=U0&amp;row=6464&amp;col=7&amp;number=0.0201&amp;sourceID=14","0.0201")</f>
        <v>0.0201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HYPERLINK("http://141.218.60.56/~jnz1568/getInfo.php?workbook=16_08.xlsx&amp;sheet=U0&amp;row=6465&amp;col=6&amp;number=3.1&amp;sourceID=14","3.1")</f>
        <v>3.1</v>
      </c>
      <c r="G6465" s="4" t="str">
        <f>HYPERLINK("http://141.218.60.56/~jnz1568/getInfo.php?workbook=16_08.xlsx&amp;sheet=U0&amp;row=6465&amp;col=7&amp;number=0.0201&amp;sourceID=14","0.0201")</f>
        <v>0.0201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HYPERLINK("http://141.218.60.56/~jnz1568/getInfo.php?workbook=16_08.xlsx&amp;sheet=U0&amp;row=6466&amp;col=6&amp;number=3.2&amp;sourceID=14","3.2")</f>
        <v>3.2</v>
      </c>
      <c r="G6466" s="4" t="str">
        <f>HYPERLINK("http://141.218.60.56/~jnz1568/getInfo.php?workbook=16_08.xlsx&amp;sheet=U0&amp;row=6466&amp;col=7&amp;number=0.0201&amp;sourceID=14","0.0201")</f>
        <v>0.0201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HYPERLINK("http://141.218.60.56/~jnz1568/getInfo.php?workbook=16_08.xlsx&amp;sheet=U0&amp;row=6467&amp;col=6&amp;number=3.3&amp;sourceID=14","3.3")</f>
        <v>3.3</v>
      </c>
      <c r="G6467" s="4" t="str">
        <f>HYPERLINK("http://141.218.60.56/~jnz1568/getInfo.php?workbook=16_08.xlsx&amp;sheet=U0&amp;row=6467&amp;col=7&amp;number=0.0201&amp;sourceID=14","0.0201")</f>
        <v>0.0201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HYPERLINK("http://141.218.60.56/~jnz1568/getInfo.php?workbook=16_08.xlsx&amp;sheet=U0&amp;row=6468&amp;col=6&amp;number=3.4&amp;sourceID=14","3.4")</f>
        <v>3.4</v>
      </c>
      <c r="G6468" s="4" t="str">
        <f>HYPERLINK("http://141.218.60.56/~jnz1568/getInfo.php?workbook=16_08.xlsx&amp;sheet=U0&amp;row=6468&amp;col=7&amp;number=0.0201&amp;sourceID=14","0.0201")</f>
        <v>0.0201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HYPERLINK("http://141.218.60.56/~jnz1568/getInfo.php?workbook=16_08.xlsx&amp;sheet=U0&amp;row=6469&amp;col=6&amp;number=3.5&amp;sourceID=14","3.5")</f>
        <v>3.5</v>
      </c>
      <c r="G6469" s="4" t="str">
        <f>HYPERLINK("http://141.218.60.56/~jnz1568/getInfo.php?workbook=16_08.xlsx&amp;sheet=U0&amp;row=6469&amp;col=7&amp;number=0.0201&amp;sourceID=14","0.0201")</f>
        <v>0.0201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HYPERLINK("http://141.218.60.56/~jnz1568/getInfo.php?workbook=16_08.xlsx&amp;sheet=U0&amp;row=6470&amp;col=6&amp;number=3.6&amp;sourceID=14","3.6")</f>
        <v>3.6</v>
      </c>
      <c r="G6470" s="4" t="str">
        <f>HYPERLINK("http://141.218.60.56/~jnz1568/getInfo.php?workbook=16_08.xlsx&amp;sheet=U0&amp;row=6470&amp;col=7&amp;number=0.0201&amp;sourceID=14","0.0201")</f>
        <v>0.0201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HYPERLINK("http://141.218.60.56/~jnz1568/getInfo.php?workbook=16_08.xlsx&amp;sheet=U0&amp;row=6471&amp;col=6&amp;number=3.7&amp;sourceID=14","3.7")</f>
        <v>3.7</v>
      </c>
      <c r="G6471" s="4" t="str">
        <f>HYPERLINK("http://141.218.60.56/~jnz1568/getInfo.php?workbook=16_08.xlsx&amp;sheet=U0&amp;row=6471&amp;col=7&amp;number=0.0201&amp;sourceID=14","0.0201")</f>
        <v>0.0201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HYPERLINK("http://141.218.60.56/~jnz1568/getInfo.php?workbook=16_08.xlsx&amp;sheet=U0&amp;row=6472&amp;col=6&amp;number=3.8&amp;sourceID=14","3.8")</f>
        <v>3.8</v>
      </c>
      <c r="G6472" s="4" t="str">
        <f>HYPERLINK("http://141.218.60.56/~jnz1568/getInfo.php?workbook=16_08.xlsx&amp;sheet=U0&amp;row=6472&amp;col=7&amp;number=0.0201&amp;sourceID=14","0.0201")</f>
        <v>0.0201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HYPERLINK("http://141.218.60.56/~jnz1568/getInfo.php?workbook=16_08.xlsx&amp;sheet=U0&amp;row=6473&amp;col=6&amp;number=3.9&amp;sourceID=14","3.9")</f>
        <v>3.9</v>
      </c>
      <c r="G6473" s="4" t="str">
        <f>HYPERLINK("http://141.218.60.56/~jnz1568/getInfo.php?workbook=16_08.xlsx&amp;sheet=U0&amp;row=6473&amp;col=7&amp;number=0.0201&amp;sourceID=14","0.0201")</f>
        <v>0.0201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HYPERLINK("http://141.218.60.56/~jnz1568/getInfo.php?workbook=16_08.xlsx&amp;sheet=U0&amp;row=6474&amp;col=6&amp;number=4&amp;sourceID=14","4")</f>
        <v>4</v>
      </c>
      <c r="G6474" s="4" t="str">
        <f>HYPERLINK("http://141.218.60.56/~jnz1568/getInfo.php?workbook=16_08.xlsx&amp;sheet=U0&amp;row=6474&amp;col=7&amp;number=0.0201&amp;sourceID=14","0.0201")</f>
        <v>0.0201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HYPERLINK("http://141.218.60.56/~jnz1568/getInfo.php?workbook=16_08.xlsx&amp;sheet=U0&amp;row=6475&amp;col=6&amp;number=4.1&amp;sourceID=14","4.1")</f>
        <v>4.1</v>
      </c>
      <c r="G6475" s="4" t="str">
        <f>HYPERLINK("http://141.218.60.56/~jnz1568/getInfo.php?workbook=16_08.xlsx&amp;sheet=U0&amp;row=6475&amp;col=7&amp;number=0.0201&amp;sourceID=14","0.0201")</f>
        <v>0.0201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HYPERLINK("http://141.218.60.56/~jnz1568/getInfo.php?workbook=16_08.xlsx&amp;sheet=U0&amp;row=6476&amp;col=6&amp;number=4.2&amp;sourceID=14","4.2")</f>
        <v>4.2</v>
      </c>
      <c r="G6476" s="4" t="str">
        <f>HYPERLINK("http://141.218.60.56/~jnz1568/getInfo.php?workbook=16_08.xlsx&amp;sheet=U0&amp;row=6476&amp;col=7&amp;number=0.0201&amp;sourceID=14","0.0201")</f>
        <v>0.0201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HYPERLINK("http://141.218.60.56/~jnz1568/getInfo.php?workbook=16_08.xlsx&amp;sheet=U0&amp;row=6477&amp;col=6&amp;number=4.3&amp;sourceID=14","4.3")</f>
        <v>4.3</v>
      </c>
      <c r="G6477" s="4" t="str">
        <f>HYPERLINK("http://141.218.60.56/~jnz1568/getInfo.php?workbook=16_08.xlsx&amp;sheet=U0&amp;row=6477&amp;col=7&amp;number=0.0201&amp;sourceID=14","0.0201")</f>
        <v>0.0201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HYPERLINK("http://141.218.60.56/~jnz1568/getInfo.php?workbook=16_08.xlsx&amp;sheet=U0&amp;row=6478&amp;col=6&amp;number=4.4&amp;sourceID=14","4.4")</f>
        <v>4.4</v>
      </c>
      <c r="G6478" s="4" t="str">
        <f>HYPERLINK("http://141.218.60.56/~jnz1568/getInfo.php?workbook=16_08.xlsx&amp;sheet=U0&amp;row=6478&amp;col=7&amp;number=0.0201&amp;sourceID=14","0.0201")</f>
        <v>0.0201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HYPERLINK("http://141.218.60.56/~jnz1568/getInfo.php?workbook=16_08.xlsx&amp;sheet=U0&amp;row=6479&amp;col=6&amp;number=4.5&amp;sourceID=14","4.5")</f>
        <v>4.5</v>
      </c>
      <c r="G6479" s="4" t="str">
        <f>HYPERLINK("http://141.218.60.56/~jnz1568/getInfo.php?workbook=16_08.xlsx&amp;sheet=U0&amp;row=6479&amp;col=7&amp;number=0.0201&amp;sourceID=14","0.0201")</f>
        <v>0.0201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HYPERLINK("http://141.218.60.56/~jnz1568/getInfo.php?workbook=16_08.xlsx&amp;sheet=U0&amp;row=6480&amp;col=6&amp;number=4.6&amp;sourceID=14","4.6")</f>
        <v>4.6</v>
      </c>
      <c r="G6480" s="4" t="str">
        <f>HYPERLINK("http://141.218.60.56/~jnz1568/getInfo.php?workbook=16_08.xlsx&amp;sheet=U0&amp;row=6480&amp;col=7&amp;number=0.02&amp;sourceID=14","0.02")</f>
        <v>0.02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HYPERLINK("http://141.218.60.56/~jnz1568/getInfo.php?workbook=16_08.xlsx&amp;sheet=U0&amp;row=6481&amp;col=6&amp;number=4.7&amp;sourceID=14","4.7")</f>
        <v>4.7</v>
      </c>
      <c r="G6481" s="4" t="str">
        <f>HYPERLINK("http://141.218.60.56/~jnz1568/getInfo.php?workbook=16_08.xlsx&amp;sheet=U0&amp;row=6481&amp;col=7&amp;number=0.02&amp;sourceID=14","0.02")</f>
        <v>0.02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HYPERLINK("http://141.218.60.56/~jnz1568/getInfo.php?workbook=16_08.xlsx&amp;sheet=U0&amp;row=6482&amp;col=6&amp;number=4.8&amp;sourceID=14","4.8")</f>
        <v>4.8</v>
      </c>
      <c r="G6482" s="4" t="str">
        <f>HYPERLINK("http://141.218.60.56/~jnz1568/getInfo.php?workbook=16_08.xlsx&amp;sheet=U0&amp;row=6482&amp;col=7&amp;number=0.02&amp;sourceID=14","0.02")</f>
        <v>0.02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HYPERLINK("http://141.218.60.56/~jnz1568/getInfo.php?workbook=16_08.xlsx&amp;sheet=U0&amp;row=6483&amp;col=6&amp;number=4.9&amp;sourceID=14","4.9")</f>
        <v>4.9</v>
      </c>
      <c r="G6483" s="4" t="str">
        <f>HYPERLINK("http://141.218.60.56/~jnz1568/getInfo.php?workbook=16_08.xlsx&amp;sheet=U0&amp;row=6483&amp;col=7&amp;number=0.0199&amp;sourceID=14","0.0199")</f>
        <v>0.0199</v>
      </c>
    </row>
    <row r="6484" spans="1:7">
      <c r="A6484" s="3">
        <v>16</v>
      </c>
      <c r="B6484" s="3">
        <v>8</v>
      </c>
      <c r="C6484" s="3">
        <v>4</v>
      </c>
      <c r="D6484" s="3">
        <v>77</v>
      </c>
      <c r="E6484" s="3">
        <v>1</v>
      </c>
      <c r="F6484" s="4" t="str">
        <f>HYPERLINK("http://141.218.60.56/~jnz1568/getInfo.php?workbook=16_08.xlsx&amp;sheet=U0&amp;row=6484&amp;col=6&amp;number=3&amp;sourceID=14","3")</f>
        <v>3</v>
      </c>
      <c r="G6484" s="4" t="str">
        <f>HYPERLINK("http://141.218.60.56/~jnz1568/getInfo.php?workbook=16_08.xlsx&amp;sheet=U0&amp;row=6484&amp;col=7&amp;number=0.0133&amp;sourceID=14","0.0133")</f>
        <v>0.0133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HYPERLINK("http://141.218.60.56/~jnz1568/getInfo.php?workbook=16_08.xlsx&amp;sheet=U0&amp;row=6485&amp;col=6&amp;number=3.1&amp;sourceID=14","3.1")</f>
        <v>3.1</v>
      </c>
      <c r="G6485" s="4" t="str">
        <f>HYPERLINK("http://141.218.60.56/~jnz1568/getInfo.php?workbook=16_08.xlsx&amp;sheet=U0&amp;row=6485&amp;col=7&amp;number=0.0133&amp;sourceID=14","0.0133")</f>
        <v>0.0133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HYPERLINK("http://141.218.60.56/~jnz1568/getInfo.php?workbook=16_08.xlsx&amp;sheet=U0&amp;row=6486&amp;col=6&amp;number=3.2&amp;sourceID=14","3.2")</f>
        <v>3.2</v>
      </c>
      <c r="G6486" s="4" t="str">
        <f>HYPERLINK("http://141.218.60.56/~jnz1568/getInfo.php?workbook=16_08.xlsx&amp;sheet=U0&amp;row=6486&amp;col=7&amp;number=0.0133&amp;sourceID=14","0.0133")</f>
        <v>0.0133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HYPERLINK("http://141.218.60.56/~jnz1568/getInfo.php?workbook=16_08.xlsx&amp;sheet=U0&amp;row=6487&amp;col=6&amp;number=3.3&amp;sourceID=14","3.3")</f>
        <v>3.3</v>
      </c>
      <c r="G6487" s="4" t="str">
        <f>HYPERLINK("http://141.218.60.56/~jnz1568/getInfo.php?workbook=16_08.xlsx&amp;sheet=U0&amp;row=6487&amp;col=7&amp;number=0.0133&amp;sourceID=14","0.0133")</f>
        <v>0.0133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HYPERLINK("http://141.218.60.56/~jnz1568/getInfo.php?workbook=16_08.xlsx&amp;sheet=U0&amp;row=6488&amp;col=6&amp;number=3.4&amp;sourceID=14","3.4")</f>
        <v>3.4</v>
      </c>
      <c r="G6488" s="4" t="str">
        <f>HYPERLINK("http://141.218.60.56/~jnz1568/getInfo.php?workbook=16_08.xlsx&amp;sheet=U0&amp;row=6488&amp;col=7&amp;number=0.0133&amp;sourceID=14","0.0133")</f>
        <v>0.0133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HYPERLINK("http://141.218.60.56/~jnz1568/getInfo.php?workbook=16_08.xlsx&amp;sheet=U0&amp;row=6489&amp;col=6&amp;number=3.5&amp;sourceID=14","3.5")</f>
        <v>3.5</v>
      </c>
      <c r="G6489" s="4" t="str">
        <f>HYPERLINK("http://141.218.60.56/~jnz1568/getInfo.php?workbook=16_08.xlsx&amp;sheet=U0&amp;row=6489&amp;col=7&amp;number=0.0133&amp;sourceID=14","0.0133")</f>
        <v>0.0133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HYPERLINK("http://141.218.60.56/~jnz1568/getInfo.php?workbook=16_08.xlsx&amp;sheet=U0&amp;row=6490&amp;col=6&amp;number=3.6&amp;sourceID=14","3.6")</f>
        <v>3.6</v>
      </c>
      <c r="G6490" s="4" t="str">
        <f>HYPERLINK("http://141.218.60.56/~jnz1568/getInfo.php?workbook=16_08.xlsx&amp;sheet=U0&amp;row=6490&amp;col=7&amp;number=0.0133&amp;sourceID=14","0.0133")</f>
        <v>0.0133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HYPERLINK("http://141.218.60.56/~jnz1568/getInfo.php?workbook=16_08.xlsx&amp;sheet=U0&amp;row=6491&amp;col=6&amp;number=3.7&amp;sourceID=14","3.7")</f>
        <v>3.7</v>
      </c>
      <c r="G6491" s="4" t="str">
        <f>HYPERLINK("http://141.218.60.56/~jnz1568/getInfo.php?workbook=16_08.xlsx&amp;sheet=U0&amp;row=6491&amp;col=7&amp;number=0.0133&amp;sourceID=14","0.0133")</f>
        <v>0.0133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HYPERLINK("http://141.218.60.56/~jnz1568/getInfo.php?workbook=16_08.xlsx&amp;sheet=U0&amp;row=6492&amp;col=6&amp;number=3.8&amp;sourceID=14","3.8")</f>
        <v>3.8</v>
      </c>
      <c r="G6492" s="4" t="str">
        <f>HYPERLINK("http://141.218.60.56/~jnz1568/getInfo.php?workbook=16_08.xlsx&amp;sheet=U0&amp;row=6492&amp;col=7&amp;number=0.0133&amp;sourceID=14","0.0133")</f>
        <v>0.0133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HYPERLINK("http://141.218.60.56/~jnz1568/getInfo.php?workbook=16_08.xlsx&amp;sheet=U0&amp;row=6493&amp;col=6&amp;number=3.9&amp;sourceID=14","3.9")</f>
        <v>3.9</v>
      </c>
      <c r="G6493" s="4" t="str">
        <f>HYPERLINK("http://141.218.60.56/~jnz1568/getInfo.php?workbook=16_08.xlsx&amp;sheet=U0&amp;row=6493&amp;col=7&amp;number=0.0133&amp;sourceID=14","0.0133")</f>
        <v>0.0133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HYPERLINK("http://141.218.60.56/~jnz1568/getInfo.php?workbook=16_08.xlsx&amp;sheet=U0&amp;row=6494&amp;col=6&amp;number=4&amp;sourceID=14","4")</f>
        <v>4</v>
      </c>
      <c r="G6494" s="4" t="str">
        <f>HYPERLINK("http://141.218.60.56/~jnz1568/getInfo.php?workbook=16_08.xlsx&amp;sheet=U0&amp;row=6494&amp;col=7&amp;number=0.0132&amp;sourceID=14","0.0132")</f>
        <v>0.0132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HYPERLINK("http://141.218.60.56/~jnz1568/getInfo.php?workbook=16_08.xlsx&amp;sheet=U0&amp;row=6495&amp;col=6&amp;number=4.1&amp;sourceID=14","4.1")</f>
        <v>4.1</v>
      </c>
      <c r="G6495" s="4" t="str">
        <f>HYPERLINK("http://141.218.60.56/~jnz1568/getInfo.php?workbook=16_08.xlsx&amp;sheet=U0&amp;row=6495&amp;col=7&amp;number=0.0132&amp;sourceID=14","0.0132")</f>
        <v>0.0132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HYPERLINK("http://141.218.60.56/~jnz1568/getInfo.php?workbook=16_08.xlsx&amp;sheet=U0&amp;row=6496&amp;col=6&amp;number=4.2&amp;sourceID=14","4.2")</f>
        <v>4.2</v>
      </c>
      <c r="G6496" s="4" t="str">
        <f>HYPERLINK("http://141.218.60.56/~jnz1568/getInfo.php?workbook=16_08.xlsx&amp;sheet=U0&amp;row=6496&amp;col=7&amp;number=0.0132&amp;sourceID=14","0.0132")</f>
        <v>0.0132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HYPERLINK("http://141.218.60.56/~jnz1568/getInfo.php?workbook=16_08.xlsx&amp;sheet=U0&amp;row=6497&amp;col=6&amp;number=4.3&amp;sourceID=14","4.3")</f>
        <v>4.3</v>
      </c>
      <c r="G6497" s="4" t="str">
        <f>HYPERLINK("http://141.218.60.56/~jnz1568/getInfo.php?workbook=16_08.xlsx&amp;sheet=U0&amp;row=6497&amp;col=7&amp;number=0.0132&amp;sourceID=14","0.0132")</f>
        <v>0.0132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HYPERLINK("http://141.218.60.56/~jnz1568/getInfo.php?workbook=16_08.xlsx&amp;sheet=U0&amp;row=6498&amp;col=6&amp;number=4.4&amp;sourceID=14","4.4")</f>
        <v>4.4</v>
      </c>
      <c r="G6498" s="4" t="str">
        <f>HYPERLINK("http://141.218.60.56/~jnz1568/getInfo.php?workbook=16_08.xlsx&amp;sheet=U0&amp;row=6498&amp;col=7&amp;number=0.0132&amp;sourceID=14","0.0132")</f>
        <v>0.0132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HYPERLINK("http://141.218.60.56/~jnz1568/getInfo.php?workbook=16_08.xlsx&amp;sheet=U0&amp;row=6499&amp;col=6&amp;number=4.5&amp;sourceID=14","4.5")</f>
        <v>4.5</v>
      </c>
      <c r="G6499" s="4" t="str">
        <f>HYPERLINK("http://141.218.60.56/~jnz1568/getInfo.php?workbook=16_08.xlsx&amp;sheet=U0&amp;row=6499&amp;col=7&amp;number=0.0132&amp;sourceID=14","0.0132")</f>
        <v>0.0132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HYPERLINK("http://141.218.60.56/~jnz1568/getInfo.php?workbook=16_08.xlsx&amp;sheet=U0&amp;row=6500&amp;col=6&amp;number=4.6&amp;sourceID=14","4.6")</f>
        <v>4.6</v>
      </c>
      <c r="G6500" s="4" t="str">
        <f>HYPERLINK("http://141.218.60.56/~jnz1568/getInfo.php?workbook=16_08.xlsx&amp;sheet=U0&amp;row=6500&amp;col=7&amp;number=0.0132&amp;sourceID=14","0.0132")</f>
        <v>0.0132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HYPERLINK("http://141.218.60.56/~jnz1568/getInfo.php?workbook=16_08.xlsx&amp;sheet=U0&amp;row=6501&amp;col=6&amp;number=4.7&amp;sourceID=14","4.7")</f>
        <v>4.7</v>
      </c>
      <c r="G6501" s="4" t="str">
        <f>HYPERLINK("http://141.218.60.56/~jnz1568/getInfo.php?workbook=16_08.xlsx&amp;sheet=U0&amp;row=6501&amp;col=7&amp;number=0.0132&amp;sourceID=14","0.0132")</f>
        <v>0.0132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HYPERLINK("http://141.218.60.56/~jnz1568/getInfo.php?workbook=16_08.xlsx&amp;sheet=U0&amp;row=6502&amp;col=6&amp;number=4.8&amp;sourceID=14","4.8")</f>
        <v>4.8</v>
      </c>
      <c r="G6502" s="4" t="str">
        <f>HYPERLINK("http://141.218.60.56/~jnz1568/getInfo.php?workbook=16_08.xlsx&amp;sheet=U0&amp;row=6502&amp;col=7&amp;number=0.0131&amp;sourceID=14","0.0131")</f>
        <v>0.0131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HYPERLINK("http://141.218.60.56/~jnz1568/getInfo.php?workbook=16_08.xlsx&amp;sheet=U0&amp;row=6503&amp;col=6&amp;number=4.9&amp;sourceID=14","4.9")</f>
        <v>4.9</v>
      </c>
      <c r="G6503" s="4" t="str">
        <f>HYPERLINK("http://141.218.60.56/~jnz1568/getInfo.php?workbook=16_08.xlsx&amp;sheet=U0&amp;row=6503&amp;col=7&amp;number=0.0131&amp;sourceID=14","0.0131")</f>
        <v>0.0131</v>
      </c>
    </row>
    <row r="6504" spans="1:7">
      <c r="A6504" s="3">
        <v>16</v>
      </c>
      <c r="B6504" s="3">
        <v>8</v>
      </c>
      <c r="C6504" s="3">
        <v>4</v>
      </c>
      <c r="D6504" s="3">
        <v>78</v>
      </c>
      <c r="E6504" s="3">
        <v>1</v>
      </c>
      <c r="F6504" s="4" t="str">
        <f>HYPERLINK("http://141.218.60.56/~jnz1568/getInfo.php?workbook=16_08.xlsx&amp;sheet=U0&amp;row=6504&amp;col=6&amp;number=3&amp;sourceID=14","3")</f>
        <v>3</v>
      </c>
      <c r="G6504" s="4" t="str">
        <f>HYPERLINK("http://141.218.60.56/~jnz1568/getInfo.php?workbook=16_08.xlsx&amp;sheet=U0&amp;row=6504&amp;col=7&amp;number=0.0025&amp;sourceID=14","0.0025")</f>
        <v>0.0025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HYPERLINK("http://141.218.60.56/~jnz1568/getInfo.php?workbook=16_08.xlsx&amp;sheet=U0&amp;row=6505&amp;col=6&amp;number=3.1&amp;sourceID=14","3.1")</f>
        <v>3.1</v>
      </c>
      <c r="G6505" s="4" t="str">
        <f>HYPERLINK("http://141.218.60.56/~jnz1568/getInfo.php?workbook=16_08.xlsx&amp;sheet=U0&amp;row=6505&amp;col=7&amp;number=0.0025&amp;sourceID=14","0.0025")</f>
        <v>0.0025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HYPERLINK("http://141.218.60.56/~jnz1568/getInfo.php?workbook=16_08.xlsx&amp;sheet=U0&amp;row=6506&amp;col=6&amp;number=3.2&amp;sourceID=14","3.2")</f>
        <v>3.2</v>
      </c>
      <c r="G6506" s="4" t="str">
        <f>HYPERLINK("http://141.218.60.56/~jnz1568/getInfo.php?workbook=16_08.xlsx&amp;sheet=U0&amp;row=6506&amp;col=7&amp;number=0.0025&amp;sourceID=14","0.0025")</f>
        <v>0.0025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HYPERLINK("http://141.218.60.56/~jnz1568/getInfo.php?workbook=16_08.xlsx&amp;sheet=U0&amp;row=6507&amp;col=6&amp;number=3.3&amp;sourceID=14","3.3")</f>
        <v>3.3</v>
      </c>
      <c r="G6507" s="4" t="str">
        <f>HYPERLINK("http://141.218.60.56/~jnz1568/getInfo.php?workbook=16_08.xlsx&amp;sheet=U0&amp;row=6507&amp;col=7&amp;number=0.00249&amp;sourceID=14","0.00249")</f>
        <v>0.00249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HYPERLINK("http://141.218.60.56/~jnz1568/getInfo.php?workbook=16_08.xlsx&amp;sheet=U0&amp;row=6508&amp;col=6&amp;number=3.4&amp;sourceID=14","3.4")</f>
        <v>3.4</v>
      </c>
      <c r="G6508" s="4" t="str">
        <f>HYPERLINK("http://141.218.60.56/~jnz1568/getInfo.php?workbook=16_08.xlsx&amp;sheet=U0&amp;row=6508&amp;col=7&amp;number=0.00249&amp;sourceID=14","0.00249")</f>
        <v>0.00249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HYPERLINK("http://141.218.60.56/~jnz1568/getInfo.php?workbook=16_08.xlsx&amp;sheet=U0&amp;row=6509&amp;col=6&amp;number=3.5&amp;sourceID=14","3.5")</f>
        <v>3.5</v>
      </c>
      <c r="G6509" s="4" t="str">
        <f>HYPERLINK("http://141.218.60.56/~jnz1568/getInfo.php?workbook=16_08.xlsx&amp;sheet=U0&amp;row=6509&amp;col=7&amp;number=0.00249&amp;sourceID=14","0.00249")</f>
        <v>0.00249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HYPERLINK("http://141.218.60.56/~jnz1568/getInfo.php?workbook=16_08.xlsx&amp;sheet=U0&amp;row=6510&amp;col=6&amp;number=3.6&amp;sourceID=14","3.6")</f>
        <v>3.6</v>
      </c>
      <c r="G6510" s="4" t="str">
        <f>HYPERLINK("http://141.218.60.56/~jnz1568/getInfo.php?workbook=16_08.xlsx&amp;sheet=U0&amp;row=6510&amp;col=7&amp;number=0.00249&amp;sourceID=14","0.00249")</f>
        <v>0.00249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HYPERLINK("http://141.218.60.56/~jnz1568/getInfo.php?workbook=16_08.xlsx&amp;sheet=U0&amp;row=6511&amp;col=6&amp;number=3.7&amp;sourceID=14","3.7")</f>
        <v>3.7</v>
      </c>
      <c r="G6511" s="4" t="str">
        <f>HYPERLINK("http://141.218.60.56/~jnz1568/getInfo.php?workbook=16_08.xlsx&amp;sheet=U0&amp;row=6511&amp;col=7&amp;number=0.00249&amp;sourceID=14","0.00249")</f>
        <v>0.00249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HYPERLINK("http://141.218.60.56/~jnz1568/getInfo.php?workbook=16_08.xlsx&amp;sheet=U0&amp;row=6512&amp;col=6&amp;number=3.8&amp;sourceID=14","3.8")</f>
        <v>3.8</v>
      </c>
      <c r="G6512" s="4" t="str">
        <f>HYPERLINK("http://141.218.60.56/~jnz1568/getInfo.php?workbook=16_08.xlsx&amp;sheet=U0&amp;row=6512&amp;col=7&amp;number=0.00249&amp;sourceID=14","0.00249")</f>
        <v>0.00249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HYPERLINK("http://141.218.60.56/~jnz1568/getInfo.php?workbook=16_08.xlsx&amp;sheet=U0&amp;row=6513&amp;col=6&amp;number=3.9&amp;sourceID=14","3.9")</f>
        <v>3.9</v>
      </c>
      <c r="G6513" s="4" t="str">
        <f>HYPERLINK("http://141.218.60.56/~jnz1568/getInfo.php?workbook=16_08.xlsx&amp;sheet=U0&amp;row=6513&amp;col=7&amp;number=0.00249&amp;sourceID=14","0.00249")</f>
        <v>0.00249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HYPERLINK("http://141.218.60.56/~jnz1568/getInfo.php?workbook=16_08.xlsx&amp;sheet=U0&amp;row=6514&amp;col=6&amp;number=4&amp;sourceID=14","4")</f>
        <v>4</v>
      </c>
      <c r="G6514" s="4" t="str">
        <f>HYPERLINK("http://141.218.60.56/~jnz1568/getInfo.php?workbook=16_08.xlsx&amp;sheet=U0&amp;row=6514&amp;col=7&amp;number=0.00248&amp;sourceID=14","0.00248")</f>
        <v>0.00248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HYPERLINK("http://141.218.60.56/~jnz1568/getInfo.php?workbook=16_08.xlsx&amp;sheet=U0&amp;row=6515&amp;col=6&amp;number=4.1&amp;sourceID=14","4.1")</f>
        <v>4.1</v>
      </c>
      <c r="G6515" s="4" t="str">
        <f>HYPERLINK("http://141.218.60.56/~jnz1568/getInfo.php?workbook=16_08.xlsx&amp;sheet=U0&amp;row=6515&amp;col=7&amp;number=0.00248&amp;sourceID=14","0.00248")</f>
        <v>0.00248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HYPERLINK("http://141.218.60.56/~jnz1568/getInfo.php?workbook=16_08.xlsx&amp;sheet=U0&amp;row=6516&amp;col=6&amp;number=4.2&amp;sourceID=14","4.2")</f>
        <v>4.2</v>
      </c>
      <c r="G6516" s="4" t="str">
        <f>HYPERLINK("http://141.218.60.56/~jnz1568/getInfo.php?workbook=16_08.xlsx&amp;sheet=U0&amp;row=6516&amp;col=7&amp;number=0.00248&amp;sourceID=14","0.00248")</f>
        <v>0.00248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HYPERLINK("http://141.218.60.56/~jnz1568/getInfo.php?workbook=16_08.xlsx&amp;sheet=U0&amp;row=6517&amp;col=6&amp;number=4.3&amp;sourceID=14","4.3")</f>
        <v>4.3</v>
      </c>
      <c r="G6517" s="4" t="str">
        <f>HYPERLINK("http://141.218.60.56/~jnz1568/getInfo.php?workbook=16_08.xlsx&amp;sheet=U0&amp;row=6517&amp;col=7&amp;number=0.00247&amp;sourceID=14","0.00247")</f>
        <v>0.00247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HYPERLINK("http://141.218.60.56/~jnz1568/getInfo.php?workbook=16_08.xlsx&amp;sheet=U0&amp;row=6518&amp;col=6&amp;number=4.4&amp;sourceID=14","4.4")</f>
        <v>4.4</v>
      </c>
      <c r="G6518" s="4" t="str">
        <f>HYPERLINK("http://141.218.60.56/~jnz1568/getInfo.php?workbook=16_08.xlsx&amp;sheet=U0&amp;row=6518&amp;col=7&amp;number=0.00247&amp;sourceID=14","0.00247")</f>
        <v>0.00247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HYPERLINK("http://141.218.60.56/~jnz1568/getInfo.php?workbook=16_08.xlsx&amp;sheet=U0&amp;row=6519&amp;col=6&amp;number=4.5&amp;sourceID=14","4.5")</f>
        <v>4.5</v>
      </c>
      <c r="G6519" s="4" t="str">
        <f>HYPERLINK("http://141.218.60.56/~jnz1568/getInfo.php?workbook=16_08.xlsx&amp;sheet=U0&amp;row=6519&amp;col=7&amp;number=0.00246&amp;sourceID=14","0.00246")</f>
        <v>0.00246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HYPERLINK("http://141.218.60.56/~jnz1568/getInfo.php?workbook=16_08.xlsx&amp;sheet=U0&amp;row=6520&amp;col=6&amp;number=4.6&amp;sourceID=14","4.6")</f>
        <v>4.6</v>
      </c>
      <c r="G6520" s="4" t="str">
        <f>HYPERLINK("http://141.218.60.56/~jnz1568/getInfo.php?workbook=16_08.xlsx&amp;sheet=U0&amp;row=6520&amp;col=7&amp;number=0.00245&amp;sourceID=14","0.00245")</f>
        <v>0.00245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HYPERLINK("http://141.218.60.56/~jnz1568/getInfo.php?workbook=16_08.xlsx&amp;sheet=U0&amp;row=6521&amp;col=6&amp;number=4.7&amp;sourceID=14","4.7")</f>
        <v>4.7</v>
      </c>
      <c r="G6521" s="4" t="str">
        <f>HYPERLINK("http://141.218.60.56/~jnz1568/getInfo.php?workbook=16_08.xlsx&amp;sheet=U0&amp;row=6521&amp;col=7&amp;number=0.00244&amp;sourceID=14","0.00244")</f>
        <v>0.00244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HYPERLINK("http://141.218.60.56/~jnz1568/getInfo.php?workbook=16_08.xlsx&amp;sheet=U0&amp;row=6522&amp;col=6&amp;number=4.8&amp;sourceID=14","4.8")</f>
        <v>4.8</v>
      </c>
      <c r="G6522" s="4" t="str">
        <f>HYPERLINK("http://141.218.60.56/~jnz1568/getInfo.php?workbook=16_08.xlsx&amp;sheet=U0&amp;row=6522&amp;col=7&amp;number=0.00242&amp;sourceID=14","0.00242")</f>
        <v>0.00242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HYPERLINK("http://141.218.60.56/~jnz1568/getInfo.php?workbook=16_08.xlsx&amp;sheet=U0&amp;row=6523&amp;col=6&amp;number=4.9&amp;sourceID=14","4.9")</f>
        <v>4.9</v>
      </c>
      <c r="G6523" s="4" t="str">
        <f>HYPERLINK("http://141.218.60.56/~jnz1568/getInfo.php?workbook=16_08.xlsx&amp;sheet=U0&amp;row=6523&amp;col=7&amp;number=0.0024&amp;sourceID=14","0.0024")</f>
        <v>0.0024</v>
      </c>
    </row>
    <row r="6524" spans="1:7">
      <c r="A6524" s="3">
        <v>16</v>
      </c>
      <c r="B6524" s="3">
        <v>8</v>
      </c>
      <c r="C6524" s="3">
        <v>4</v>
      </c>
      <c r="D6524" s="3">
        <v>79</v>
      </c>
      <c r="E6524" s="3">
        <v>1</v>
      </c>
      <c r="F6524" s="4" t="str">
        <f>HYPERLINK("http://141.218.60.56/~jnz1568/getInfo.php?workbook=16_08.xlsx&amp;sheet=U0&amp;row=6524&amp;col=6&amp;number=3&amp;sourceID=14","3")</f>
        <v>3</v>
      </c>
      <c r="G6524" s="4" t="str">
        <f>HYPERLINK("http://141.218.60.56/~jnz1568/getInfo.php?workbook=16_08.xlsx&amp;sheet=U0&amp;row=6524&amp;col=7&amp;number=0.00659&amp;sourceID=14","0.00659")</f>
        <v>0.00659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HYPERLINK("http://141.218.60.56/~jnz1568/getInfo.php?workbook=16_08.xlsx&amp;sheet=U0&amp;row=6525&amp;col=6&amp;number=3.1&amp;sourceID=14","3.1")</f>
        <v>3.1</v>
      </c>
      <c r="G6525" s="4" t="str">
        <f>HYPERLINK("http://141.218.60.56/~jnz1568/getInfo.php?workbook=16_08.xlsx&amp;sheet=U0&amp;row=6525&amp;col=7&amp;number=0.00659&amp;sourceID=14","0.00659")</f>
        <v>0.00659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HYPERLINK("http://141.218.60.56/~jnz1568/getInfo.php?workbook=16_08.xlsx&amp;sheet=U0&amp;row=6526&amp;col=6&amp;number=3.2&amp;sourceID=14","3.2")</f>
        <v>3.2</v>
      </c>
      <c r="G6526" s="4" t="str">
        <f>HYPERLINK("http://141.218.60.56/~jnz1568/getInfo.php?workbook=16_08.xlsx&amp;sheet=U0&amp;row=6526&amp;col=7&amp;number=0.00659&amp;sourceID=14","0.00659")</f>
        <v>0.00659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HYPERLINK("http://141.218.60.56/~jnz1568/getInfo.php?workbook=16_08.xlsx&amp;sheet=U0&amp;row=6527&amp;col=6&amp;number=3.3&amp;sourceID=14","3.3")</f>
        <v>3.3</v>
      </c>
      <c r="G6527" s="4" t="str">
        <f>HYPERLINK("http://141.218.60.56/~jnz1568/getInfo.php?workbook=16_08.xlsx&amp;sheet=U0&amp;row=6527&amp;col=7&amp;number=0.00659&amp;sourceID=14","0.00659")</f>
        <v>0.00659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HYPERLINK("http://141.218.60.56/~jnz1568/getInfo.php?workbook=16_08.xlsx&amp;sheet=U0&amp;row=6528&amp;col=6&amp;number=3.4&amp;sourceID=14","3.4")</f>
        <v>3.4</v>
      </c>
      <c r="G6528" s="4" t="str">
        <f>HYPERLINK("http://141.218.60.56/~jnz1568/getInfo.php?workbook=16_08.xlsx&amp;sheet=U0&amp;row=6528&amp;col=7&amp;number=0.00659&amp;sourceID=14","0.00659")</f>
        <v>0.00659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HYPERLINK("http://141.218.60.56/~jnz1568/getInfo.php?workbook=16_08.xlsx&amp;sheet=U0&amp;row=6529&amp;col=6&amp;number=3.5&amp;sourceID=14","3.5")</f>
        <v>3.5</v>
      </c>
      <c r="G6529" s="4" t="str">
        <f>HYPERLINK("http://141.218.60.56/~jnz1568/getInfo.php?workbook=16_08.xlsx&amp;sheet=U0&amp;row=6529&amp;col=7&amp;number=0.00659&amp;sourceID=14","0.00659")</f>
        <v>0.00659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HYPERLINK("http://141.218.60.56/~jnz1568/getInfo.php?workbook=16_08.xlsx&amp;sheet=U0&amp;row=6530&amp;col=6&amp;number=3.6&amp;sourceID=14","3.6")</f>
        <v>3.6</v>
      </c>
      <c r="G6530" s="4" t="str">
        <f>HYPERLINK("http://141.218.60.56/~jnz1568/getInfo.php?workbook=16_08.xlsx&amp;sheet=U0&amp;row=6530&amp;col=7&amp;number=0.00659&amp;sourceID=14","0.00659")</f>
        <v>0.00659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HYPERLINK("http://141.218.60.56/~jnz1568/getInfo.php?workbook=16_08.xlsx&amp;sheet=U0&amp;row=6531&amp;col=6&amp;number=3.7&amp;sourceID=14","3.7")</f>
        <v>3.7</v>
      </c>
      <c r="G6531" s="4" t="str">
        <f>HYPERLINK("http://141.218.60.56/~jnz1568/getInfo.php?workbook=16_08.xlsx&amp;sheet=U0&amp;row=6531&amp;col=7&amp;number=0.00659&amp;sourceID=14","0.00659")</f>
        <v>0.00659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HYPERLINK("http://141.218.60.56/~jnz1568/getInfo.php?workbook=16_08.xlsx&amp;sheet=U0&amp;row=6532&amp;col=6&amp;number=3.8&amp;sourceID=14","3.8")</f>
        <v>3.8</v>
      </c>
      <c r="G6532" s="4" t="str">
        <f>HYPERLINK("http://141.218.60.56/~jnz1568/getInfo.php?workbook=16_08.xlsx&amp;sheet=U0&amp;row=6532&amp;col=7&amp;number=0.00659&amp;sourceID=14","0.00659")</f>
        <v>0.00659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HYPERLINK("http://141.218.60.56/~jnz1568/getInfo.php?workbook=16_08.xlsx&amp;sheet=U0&amp;row=6533&amp;col=6&amp;number=3.9&amp;sourceID=14","3.9")</f>
        <v>3.9</v>
      </c>
      <c r="G6533" s="4" t="str">
        <f>HYPERLINK("http://141.218.60.56/~jnz1568/getInfo.php?workbook=16_08.xlsx&amp;sheet=U0&amp;row=6533&amp;col=7&amp;number=0.00658&amp;sourceID=14","0.00658")</f>
        <v>0.00658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HYPERLINK("http://141.218.60.56/~jnz1568/getInfo.php?workbook=16_08.xlsx&amp;sheet=U0&amp;row=6534&amp;col=6&amp;number=4&amp;sourceID=14","4")</f>
        <v>4</v>
      </c>
      <c r="G6534" s="4" t="str">
        <f>HYPERLINK("http://141.218.60.56/~jnz1568/getInfo.php?workbook=16_08.xlsx&amp;sheet=U0&amp;row=6534&amp;col=7&amp;number=0.00658&amp;sourceID=14","0.00658")</f>
        <v>0.00658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HYPERLINK("http://141.218.60.56/~jnz1568/getInfo.php?workbook=16_08.xlsx&amp;sheet=U0&amp;row=6535&amp;col=6&amp;number=4.1&amp;sourceID=14","4.1")</f>
        <v>4.1</v>
      </c>
      <c r="G6535" s="4" t="str">
        <f>HYPERLINK("http://141.218.60.56/~jnz1568/getInfo.php?workbook=16_08.xlsx&amp;sheet=U0&amp;row=6535&amp;col=7&amp;number=0.00658&amp;sourceID=14","0.00658")</f>
        <v>0.00658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HYPERLINK("http://141.218.60.56/~jnz1568/getInfo.php?workbook=16_08.xlsx&amp;sheet=U0&amp;row=6536&amp;col=6&amp;number=4.2&amp;sourceID=14","4.2")</f>
        <v>4.2</v>
      </c>
      <c r="G6536" s="4" t="str">
        <f>HYPERLINK("http://141.218.60.56/~jnz1568/getInfo.php?workbook=16_08.xlsx&amp;sheet=U0&amp;row=6536&amp;col=7&amp;number=0.00658&amp;sourceID=14","0.00658")</f>
        <v>0.00658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HYPERLINK("http://141.218.60.56/~jnz1568/getInfo.php?workbook=16_08.xlsx&amp;sheet=U0&amp;row=6537&amp;col=6&amp;number=4.3&amp;sourceID=14","4.3")</f>
        <v>4.3</v>
      </c>
      <c r="G6537" s="4" t="str">
        <f>HYPERLINK("http://141.218.60.56/~jnz1568/getInfo.php?workbook=16_08.xlsx&amp;sheet=U0&amp;row=6537&amp;col=7&amp;number=0.00657&amp;sourceID=14","0.00657")</f>
        <v>0.00657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HYPERLINK("http://141.218.60.56/~jnz1568/getInfo.php?workbook=16_08.xlsx&amp;sheet=U0&amp;row=6538&amp;col=6&amp;number=4.4&amp;sourceID=14","4.4")</f>
        <v>4.4</v>
      </c>
      <c r="G6538" s="4" t="str">
        <f>HYPERLINK("http://141.218.60.56/~jnz1568/getInfo.php?workbook=16_08.xlsx&amp;sheet=U0&amp;row=6538&amp;col=7&amp;number=0.00657&amp;sourceID=14","0.00657")</f>
        <v>0.00657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HYPERLINK("http://141.218.60.56/~jnz1568/getInfo.php?workbook=16_08.xlsx&amp;sheet=U0&amp;row=6539&amp;col=6&amp;number=4.5&amp;sourceID=14","4.5")</f>
        <v>4.5</v>
      </c>
      <c r="G6539" s="4" t="str">
        <f>HYPERLINK("http://141.218.60.56/~jnz1568/getInfo.php?workbook=16_08.xlsx&amp;sheet=U0&amp;row=6539&amp;col=7&amp;number=0.00656&amp;sourceID=14","0.00656")</f>
        <v>0.00656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HYPERLINK("http://141.218.60.56/~jnz1568/getInfo.php?workbook=16_08.xlsx&amp;sheet=U0&amp;row=6540&amp;col=6&amp;number=4.6&amp;sourceID=14","4.6")</f>
        <v>4.6</v>
      </c>
      <c r="G6540" s="4" t="str">
        <f>HYPERLINK("http://141.218.60.56/~jnz1568/getInfo.php?workbook=16_08.xlsx&amp;sheet=U0&amp;row=6540&amp;col=7&amp;number=0.00655&amp;sourceID=14","0.00655")</f>
        <v>0.00655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HYPERLINK("http://141.218.60.56/~jnz1568/getInfo.php?workbook=16_08.xlsx&amp;sheet=U0&amp;row=6541&amp;col=6&amp;number=4.7&amp;sourceID=14","4.7")</f>
        <v>4.7</v>
      </c>
      <c r="G6541" s="4" t="str">
        <f>HYPERLINK("http://141.218.60.56/~jnz1568/getInfo.php?workbook=16_08.xlsx&amp;sheet=U0&amp;row=6541&amp;col=7&amp;number=0.00654&amp;sourceID=14","0.00654")</f>
        <v>0.00654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HYPERLINK("http://141.218.60.56/~jnz1568/getInfo.php?workbook=16_08.xlsx&amp;sheet=U0&amp;row=6542&amp;col=6&amp;number=4.8&amp;sourceID=14","4.8")</f>
        <v>4.8</v>
      </c>
      <c r="G6542" s="4" t="str">
        <f>HYPERLINK("http://141.218.60.56/~jnz1568/getInfo.php?workbook=16_08.xlsx&amp;sheet=U0&amp;row=6542&amp;col=7&amp;number=0.00653&amp;sourceID=14","0.00653")</f>
        <v>0.00653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HYPERLINK("http://141.218.60.56/~jnz1568/getInfo.php?workbook=16_08.xlsx&amp;sheet=U0&amp;row=6543&amp;col=6&amp;number=4.9&amp;sourceID=14","4.9")</f>
        <v>4.9</v>
      </c>
      <c r="G6543" s="4" t="str">
        <f>HYPERLINK("http://141.218.60.56/~jnz1568/getInfo.php?workbook=16_08.xlsx&amp;sheet=U0&amp;row=6543&amp;col=7&amp;number=0.00651&amp;sourceID=14","0.00651")</f>
        <v>0.00651</v>
      </c>
    </row>
    <row r="6544" spans="1:7">
      <c r="A6544" s="3">
        <v>16</v>
      </c>
      <c r="B6544" s="3">
        <v>8</v>
      </c>
      <c r="C6544" s="3">
        <v>4</v>
      </c>
      <c r="D6544" s="3">
        <v>80</v>
      </c>
      <c r="E6544" s="3">
        <v>1</v>
      </c>
      <c r="F6544" s="4" t="str">
        <f>HYPERLINK("http://141.218.60.56/~jnz1568/getInfo.php?workbook=16_08.xlsx&amp;sheet=U0&amp;row=6544&amp;col=6&amp;number=3&amp;sourceID=14","3")</f>
        <v>3</v>
      </c>
      <c r="G6544" s="4" t="str">
        <f>HYPERLINK("http://141.218.60.56/~jnz1568/getInfo.php?workbook=16_08.xlsx&amp;sheet=U0&amp;row=6544&amp;col=7&amp;number=0.0102&amp;sourceID=14","0.0102")</f>
        <v>0.0102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HYPERLINK("http://141.218.60.56/~jnz1568/getInfo.php?workbook=16_08.xlsx&amp;sheet=U0&amp;row=6545&amp;col=6&amp;number=3.1&amp;sourceID=14","3.1")</f>
        <v>3.1</v>
      </c>
      <c r="G6545" s="4" t="str">
        <f>HYPERLINK("http://141.218.60.56/~jnz1568/getInfo.php?workbook=16_08.xlsx&amp;sheet=U0&amp;row=6545&amp;col=7&amp;number=0.0102&amp;sourceID=14","0.0102")</f>
        <v>0.0102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HYPERLINK("http://141.218.60.56/~jnz1568/getInfo.php?workbook=16_08.xlsx&amp;sheet=U0&amp;row=6546&amp;col=6&amp;number=3.2&amp;sourceID=14","3.2")</f>
        <v>3.2</v>
      </c>
      <c r="G6546" s="4" t="str">
        <f>HYPERLINK("http://141.218.60.56/~jnz1568/getInfo.php?workbook=16_08.xlsx&amp;sheet=U0&amp;row=6546&amp;col=7&amp;number=0.0102&amp;sourceID=14","0.0102")</f>
        <v>0.0102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HYPERLINK("http://141.218.60.56/~jnz1568/getInfo.php?workbook=16_08.xlsx&amp;sheet=U0&amp;row=6547&amp;col=6&amp;number=3.3&amp;sourceID=14","3.3")</f>
        <v>3.3</v>
      </c>
      <c r="G6547" s="4" t="str">
        <f>HYPERLINK("http://141.218.60.56/~jnz1568/getInfo.php?workbook=16_08.xlsx&amp;sheet=U0&amp;row=6547&amp;col=7&amp;number=0.0102&amp;sourceID=14","0.0102")</f>
        <v>0.0102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HYPERLINK("http://141.218.60.56/~jnz1568/getInfo.php?workbook=16_08.xlsx&amp;sheet=U0&amp;row=6548&amp;col=6&amp;number=3.4&amp;sourceID=14","3.4")</f>
        <v>3.4</v>
      </c>
      <c r="G6548" s="4" t="str">
        <f>HYPERLINK("http://141.218.60.56/~jnz1568/getInfo.php?workbook=16_08.xlsx&amp;sheet=U0&amp;row=6548&amp;col=7&amp;number=0.0102&amp;sourceID=14","0.0102")</f>
        <v>0.0102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HYPERLINK("http://141.218.60.56/~jnz1568/getInfo.php?workbook=16_08.xlsx&amp;sheet=U0&amp;row=6549&amp;col=6&amp;number=3.5&amp;sourceID=14","3.5")</f>
        <v>3.5</v>
      </c>
      <c r="G6549" s="4" t="str">
        <f>HYPERLINK("http://141.218.60.56/~jnz1568/getInfo.php?workbook=16_08.xlsx&amp;sheet=U0&amp;row=6549&amp;col=7&amp;number=0.0102&amp;sourceID=14","0.0102")</f>
        <v>0.0102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HYPERLINK("http://141.218.60.56/~jnz1568/getInfo.php?workbook=16_08.xlsx&amp;sheet=U0&amp;row=6550&amp;col=6&amp;number=3.6&amp;sourceID=14","3.6")</f>
        <v>3.6</v>
      </c>
      <c r="G6550" s="4" t="str">
        <f>HYPERLINK("http://141.218.60.56/~jnz1568/getInfo.php?workbook=16_08.xlsx&amp;sheet=U0&amp;row=6550&amp;col=7&amp;number=0.0102&amp;sourceID=14","0.0102")</f>
        <v>0.0102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HYPERLINK("http://141.218.60.56/~jnz1568/getInfo.php?workbook=16_08.xlsx&amp;sheet=U0&amp;row=6551&amp;col=6&amp;number=3.7&amp;sourceID=14","3.7")</f>
        <v>3.7</v>
      </c>
      <c r="G6551" s="4" t="str">
        <f>HYPERLINK("http://141.218.60.56/~jnz1568/getInfo.php?workbook=16_08.xlsx&amp;sheet=U0&amp;row=6551&amp;col=7&amp;number=0.0102&amp;sourceID=14","0.0102")</f>
        <v>0.0102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HYPERLINK("http://141.218.60.56/~jnz1568/getInfo.php?workbook=16_08.xlsx&amp;sheet=U0&amp;row=6552&amp;col=6&amp;number=3.8&amp;sourceID=14","3.8")</f>
        <v>3.8</v>
      </c>
      <c r="G6552" s="4" t="str">
        <f>HYPERLINK("http://141.218.60.56/~jnz1568/getInfo.php?workbook=16_08.xlsx&amp;sheet=U0&amp;row=6552&amp;col=7&amp;number=0.0102&amp;sourceID=14","0.0102")</f>
        <v>0.0102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HYPERLINK("http://141.218.60.56/~jnz1568/getInfo.php?workbook=16_08.xlsx&amp;sheet=U0&amp;row=6553&amp;col=6&amp;number=3.9&amp;sourceID=14","3.9")</f>
        <v>3.9</v>
      </c>
      <c r="G6553" s="4" t="str">
        <f>HYPERLINK("http://141.218.60.56/~jnz1568/getInfo.php?workbook=16_08.xlsx&amp;sheet=U0&amp;row=6553&amp;col=7&amp;number=0.0102&amp;sourceID=14","0.0102")</f>
        <v>0.0102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HYPERLINK("http://141.218.60.56/~jnz1568/getInfo.php?workbook=16_08.xlsx&amp;sheet=U0&amp;row=6554&amp;col=6&amp;number=4&amp;sourceID=14","4")</f>
        <v>4</v>
      </c>
      <c r="G6554" s="4" t="str">
        <f>HYPERLINK("http://141.218.60.56/~jnz1568/getInfo.php?workbook=16_08.xlsx&amp;sheet=U0&amp;row=6554&amp;col=7&amp;number=0.0102&amp;sourceID=14","0.0102")</f>
        <v>0.0102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HYPERLINK("http://141.218.60.56/~jnz1568/getInfo.php?workbook=16_08.xlsx&amp;sheet=U0&amp;row=6555&amp;col=6&amp;number=4.1&amp;sourceID=14","4.1")</f>
        <v>4.1</v>
      </c>
      <c r="G6555" s="4" t="str">
        <f>HYPERLINK("http://141.218.60.56/~jnz1568/getInfo.php?workbook=16_08.xlsx&amp;sheet=U0&amp;row=6555&amp;col=7&amp;number=0.0102&amp;sourceID=14","0.0102")</f>
        <v>0.0102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HYPERLINK("http://141.218.60.56/~jnz1568/getInfo.php?workbook=16_08.xlsx&amp;sheet=U0&amp;row=6556&amp;col=6&amp;number=4.2&amp;sourceID=14","4.2")</f>
        <v>4.2</v>
      </c>
      <c r="G6556" s="4" t="str">
        <f>HYPERLINK("http://141.218.60.56/~jnz1568/getInfo.php?workbook=16_08.xlsx&amp;sheet=U0&amp;row=6556&amp;col=7&amp;number=0.0102&amp;sourceID=14","0.0102")</f>
        <v>0.0102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HYPERLINK("http://141.218.60.56/~jnz1568/getInfo.php?workbook=16_08.xlsx&amp;sheet=U0&amp;row=6557&amp;col=6&amp;number=4.3&amp;sourceID=14","4.3")</f>
        <v>4.3</v>
      </c>
      <c r="G6557" s="4" t="str">
        <f>HYPERLINK("http://141.218.60.56/~jnz1568/getInfo.php?workbook=16_08.xlsx&amp;sheet=U0&amp;row=6557&amp;col=7&amp;number=0.0102&amp;sourceID=14","0.0102")</f>
        <v>0.0102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HYPERLINK("http://141.218.60.56/~jnz1568/getInfo.php?workbook=16_08.xlsx&amp;sheet=U0&amp;row=6558&amp;col=6&amp;number=4.4&amp;sourceID=14","4.4")</f>
        <v>4.4</v>
      </c>
      <c r="G6558" s="4" t="str">
        <f>HYPERLINK("http://141.218.60.56/~jnz1568/getInfo.php?workbook=16_08.xlsx&amp;sheet=U0&amp;row=6558&amp;col=7&amp;number=0.0102&amp;sourceID=14","0.0102")</f>
        <v>0.0102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HYPERLINK("http://141.218.60.56/~jnz1568/getInfo.php?workbook=16_08.xlsx&amp;sheet=U0&amp;row=6559&amp;col=6&amp;number=4.5&amp;sourceID=14","4.5")</f>
        <v>4.5</v>
      </c>
      <c r="G6559" s="4" t="str">
        <f>HYPERLINK("http://141.218.60.56/~jnz1568/getInfo.php?workbook=16_08.xlsx&amp;sheet=U0&amp;row=6559&amp;col=7&amp;number=0.0101&amp;sourceID=14","0.0101")</f>
        <v>0.0101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HYPERLINK("http://141.218.60.56/~jnz1568/getInfo.php?workbook=16_08.xlsx&amp;sheet=U0&amp;row=6560&amp;col=6&amp;number=4.6&amp;sourceID=14","4.6")</f>
        <v>4.6</v>
      </c>
      <c r="G6560" s="4" t="str">
        <f>HYPERLINK("http://141.218.60.56/~jnz1568/getInfo.php?workbook=16_08.xlsx&amp;sheet=U0&amp;row=6560&amp;col=7&amp;number=0.0101&amp;sourceID=14","0.0101")</f>
        <v>0.0101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HYPERLINK("http://141.218.60.56/~jnz1568/getInfo.php?workbook=16_08.xlsx&amp;sheet=U0&amp;row=6561&amp;col=6&amp;number=4.7&amp;sourceID=14","4.7")</f>
        <v>4.7</v>
      </c>
      <c r="G6561" s="4" t="str">
        <f>HYPERLINK("http://141.218.60.56/~jnz1568/getInfo.php?workbook=16_08.xlsx&amp;sheet=U0&amp;row=6561&amp;col=7&amp;number=0.0101&amp;sourceID=14","0.0101")</f>
        <v>0.0101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HYPERLINK("http://141.218.60.56/~jnz1568/getInfo.php?workbook=16_08.xlsx&amp;sheet=U0&amp;row=6562&amp;col=6&amp;number=4.8&amp;sourceID=14","4.8")</f>
        <v>4.8</v>
      </c>
      <c r="G6562" s="4" t="str">
        <f>HYPERLINK("http://141.218.60.56/~jnz1568/getInfo.php?workbook=16_08.xlsx&amp;sheet=U0&amp;row=6562&amp;col=7&amp;number=0.0101&amp;sourceID=14","0.0101")</f>
        <v>0.0101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HYPERLINK("http://141.218.60.56/~jnz1568/getInfo.php?workbook=16_08.xlsx&amp;sheet=U0&amp;row=6563&amp;col=6&amp;number=4.9&amp;sourceID=14","4.9")</f>
        <v>4.9</v>
      </c>
      <c r="G6563" s="4" t="str">
        <f>HYPERLINK("http://141.218.60.56/~jnz1568/getInfo.php?workbook=16_08.xlsx&amp;sheet=U0&amp;row=6563&amp;col=7&amp;number=0.01&amp;sourceID=14","0.01")</f>
        <v>0.01</v>
      </c>
    </row>
    <row r="6564" spans="1:7">
      <c r="A6564" s="3">
        <v>16</v>
      </c>
      <c r="B6564" s="3">
        <v>8</v>
      </c>
      <c r="C6564" s="3">
        <v>4</v>
      </c>
      <c r="D6564" s="3">
        <v>81</v>
      </c>
      <c r="E6564" s="3">
        <v>1</v>
      </c>
      <c r="F6564" s="4" t="str">
        <f>HYPERLINK("http://141.218.60.56/~jnz1568/getInfo.php?workbook=16_08.xlsx&amp;sheet=U0&amp;row=6564&amp;col=6&amp;number=3&amp;sourceID=14","3")</f>
        <v>3</v>
      </c>
      <c r="G6564" s="4" t="str">
        <f>HYPERLINK("http://141.218.60.56/~jnz1568/getInfo.php?workbook=16_08.xlsx&amp;sheet=U0&amp;row=6564&amp;col=7&amp;number=0.0346&amp;sourceID=14","0.0346")</f>
        <v>0.0346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HYPERLINK("http://141.218.60.56/~jnz1568/getInfo.php?workbook=16_08.xlsx&amp;sheet=U0&amp;row=6565&amp;col=6&amp;number=3.1&amp;sourceID=14","3.1")</f>
        <v>3.1</v>
      </c>
      <c r="G6565" s="4" t="str">
        <f>HYPERLINK("http://141.218.60.56/~jnz1568/getInfo.php?workbook=16_08.xlsx&amp;sheet=U0&amp;row=6565&amp;col=7&amp;number=0.0346&amp;sourceID=14","0.0346")</f>
        <v>0.0346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HYPERLINK("http://141.218.60.56/~jnz1568/getInfo.php?workbook=16_08.xlsx&amp;sheet=U0&amp;row=6566&amp;col=6&amp;number=3.2&amp;sourceID=14","3.2")</f>
        <v>3.2</v>
      </c>
      <c r="G6566" s="4" t="str">
        <f>HYPERLINK("http://141.218.60.56/~jnz1568/getInfo.php?workbook=16_08.xlsx&amp;sheet=U0&amp;row=6566&amp;col=7&amp;number=0.0346&amp;sourceID=14","0.0346")</f>
        <v>0.0346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HYPERLINK("http://141.218.60.56/~jnz1568/getInfo.php?workbook=16_08.xlsx&amp;sheet=U0&amp;row=6567&amp;col=6&amp;number=3.3&amp;sourceID=14","3.3")</f>
        <v>3.3</v>
      </c>
      <c r="G6567" s="4" t="str">
        <f>HYPERLINK("http://141.218.60.56/~jnz1568/getInfo.php?workbook=16_08.xlsx&amp;sheet=U0&amp;row=6567&amp;col=7&amp;number=0.0346&amp;sourceID=14","0.0346")</f>
        <v>0.0346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HYPERLINK("http://141.218.60.56/~jnz1568/getInfo.php?workbook=16_08.xlsx&amp;sheet=U0&amp;row=6568&amp;col=6&amp;number=3.4&amp;sourceID=14","3.4")</f>
        <v>3.4</v>
      </c>
      <c r="G6568" s="4" t="str">
        <f>HYPERLINK("http://141.218.60.56/~jnz1568/getInfo.php?workbook=16_08.xlsx&amp;sheet=U0&amp;row=6568&amp;col=7&amp;number=0.0346&amp;sourceID=14","0.0346")</f>
        <v>0.0346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HYPERLINK("http://141.218.60.56/~jnz1568/getInfo.php?workbook=16_08.xlsx&amp;sheet=U0&amp;row=6569&amp;col=6&amp;number=3.5&amp;sourceID=14","3.5")</f>
        <v>3.5</v>
      </c>
      <c r="G6569" s="4" t="str">
        <f>HYPERLINK("http://141.218.60.56/~jnz1568/getInfo.php?workbook=16_08.xlsx&amp;sheet=U0&amp;row=6569&amp;col=7&amp;number=0.0346&amp;sourceID=14","0.0346")</f>
        <v>0.0346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HYPERLINK("http://141.218.60.56/~jnz1568/getInfo.php?workbook=16_08.xlsx&amp;sheet=U0&amp;row=6570&amp;col=6&amp;number=3.6&amp;sourceID=14","3.6")</f>
        <v>3.6</v>
      </c>
      <c r="G6570" s="4" t="str">
        <f>HYPERLINK("http://141.218.60.56/~jnz1568/getInfo.php?workbook=16_08.xlsx&amp;sheet=U0&amp;row=6570&amp;col=7&amp;number=0.0346&amp;sourceID=14","0.0346")</f>
        <v>0.0346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HYPERLINK("http://141.218.60.56/~jnz1568/getInfo.php?workbook=16_08.xlsx&amp;sheet=U0&amp;row=6571&amp;col=6&amp;number=3.7&amp;sourceID=14","3.7")</f>
        <v>3.7</v>
      </c>
      <c r="G6571" s="4" t="str">
        <f>HYPERLINK("http://141.218.60.56/~jnz1568/getInfo.php?workbook=16_08.xlsx&amp;sheet=U0&amp;row=6571&amp;col=7&amp;number=0.0346&amp;sourceID=14","0.0346")</f>
        <v>0.0346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HYPERLINK("http://141.218.60.56/~jnz1568/getInfo.php?workbook=16_08.xlsx&amp;sheet=U0&amp;row=6572&amp;col=6&amp;number=3.8&amp;sourceID=14","3.8")</f>
        <v>3.8</v>
      </c>
      <c r="G6572" s="4" t="str">
        <f>HYPERLINK("http://141.218.60.56/~jnz1568/getInfo.php?workbook=16_08.xlsx&amp;sheet=U0&amp;row=6572&amp;col=7&amp;number=0.0346&amp;sourceID=14","0.0346")</f>
        <v>0.0346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HYPERLINK("http://141.218.60.56/~jnz1568/getInfo.php?workbook=16_08.xlsx&amp;sheet=U0&amp;row=6573&amp;col=6&amp;number=3.9&amp;sourceID=14","3.9")</f>
        <v>3.9</v>
      </c>
      <c r="G6573" s="4" t="str">
        <f>HYPERLINK("http://141.218.60.56/~jnz1568/getInfo.php?workbook=16_08.xlsx&amp;sheet=U0&amp;row=6573&amp;col=7&amp;number=0.0347&amp;sourceID=14","0.0347")</f>
        <v>0.0347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HYPERLINK("http://141.218.60.56/~jnz1568/getInfo.php?workbook=16_08.xlsx&amp;sheet=U0&amp;row=6574&amp;col=6&amp;number=4&amp;sourceID=14","4")</f>
        <v>4</v>
      </c>
      <c r="G6574" s="4" t="str">
        <f>HYPERLINK("http://141.218.60.56/~jnz1568/getInfo.php?workbook=16_08.xlsx&amp;sheet=U0&amp;row=6574&amp;col=7&amp;number=0.0347&amp;sourceID=14","0.0347")</f>
        <v>0.0347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HYPERLINK("http://141.218.60.56/~jnz1568/getInfo.php?workbook=16_08.xlsx&amp;sheet=U0&amp;row=6575&amp;col=6&amp;number=4.1&amp;sourceID=14","4.1")</f>
        <v>4.1</v>
      </c>
      <c r="G6575" s="4" t="str">
        <f>HYPERLINK("http://141.218.60.56/~jnz1568/getInfo.php?workbook=16_08.xlsx&amp;sheet=U0&amp;row=6575&amp;col=7&amp;number=0.0347&amp;sourceID=14","0.0347")</f>
        <v>0.0347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HYPERLINK("http://141.218.60.56/~jnz1568/getInfo.php?workbook=16_08.xlsx&amp;sheet=U0&amp;row=6576&amp;col=6&amp;number=4.2&amp;sourceID=14","4.2")</f>
        <v>4.2</v>
      </c>
      <c r="G6576" s="4" t="str">
        <f>HYPERLINK("http://141.218.60.56/~jnz1568/getInfo.php?workbook=16_08.xlsx&amp;sheet=U0&amp;row=6576&amp;col=7&amp;number=0.0347&amp;sourceID=14","0.0347")</f>
        <v>0.0347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HYPERLINK("http://141.218.60.56/~jnz1568/getInfo.php?workbook=16_08.xlsx&amp;sheet=U0&amp;row=6577&amp;col=6&amp;number=4.3&amp;sourceID=14","4.3")</f>
        <v>4.3</v>
      </c>
      <c r="G6577" s="4" t="str">
        <f>HYPERLINK("http://141.218.60.56/~jnz1568/getInfo.php?workbook=16_08.xlsx&amp;sheet=U0&amp;row=6577&amp;col=7&amp;number=0.0348&amp;sourceID=14","0.0348")</f>
        <v>0.0348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HYPERLINK("http://141.218.60.56/~jnz1568/getInfo.php?workbook=16_08.xlsx&amp;sheet=U0&amp;row=6578&amp;col=6&amp;number=4.4&amp;sourceID=14","4.4")</f>
        <v>4.4</v>
      </c>
      <c r="G6578" s="4" t="str">
        <f>HYPERLINK("http://141.218.60.56/~jnz1568/getInfo.php?workbook=16_08.xlsx&amp;sheet=U0&amp;row=6578&amp;col=7&amp;number=0.0348&amp;sourceID=14","0.0348")</f>
        <v>0.0348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HYPERLINK("http://141.218.60.56/~jnz1568/getInfo.php?workbook=16_08.xlsx&amp;sheet=U0&amp;row=6579&amp;col=6&amp;number=4.5&amp;sourceID=14","4.5")</f>
        <v>4.5</v>
      </c>
      <c r="G6579" s="4" t="str">
        <f>HYPERLINK("http://141.218.60.56/~jnz1568/getInfo.php?workbook=16_08.xlsx&amp;sheet=U0&amp;row=6579&amp;col=7&amp;number=0.0349&amp;sourceID=14","0.0349")</f>
        <v>0.0349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HYPERLINK("http://141.218.60.56/~jnz1568/getInfo.php?workbook=16_08.xlsx&amp;sheet=U0&amp;row=6580&amp;col=6&amp;number=4.6&amp;sourceID=14","4.6")</f>
        <v>4.6</v>
      </c>
      <c r="G6580" s="4" t="str">
        <f>HYPERLINK("http://141.218.60.56/~jnz1568/getInfo.php?workbook=16_08.xlsx&amp;sheet=U0&amp;row=6580&amp;col=7&amp;number=0.035&amp;sourceID=14","0.035")</f>
        <v>0.035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HYPERLINK("http://141.218.60.56/~jnz1568/getInfo.php?workbook=16_08.xlsx&amp;sheet=U0&amp;row=6581&amp;col=6&amp;number=4.7&amp;sourceID=14","4.7")</f>
        <v>4.7</v>
      </c>
      <c r="G6581" s="4" t="str">
        <f>HYPERLINK("http://141.218.60.56/~jnz1568/getInfo.php?workbook=16_08.xlsx&amp;sheet=U0&amp;row=6581&amp;col=7&amp;number=0.0351&amp;sourceID=14","0.0351")</f>
        <v>0.0351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HYPERLINK("http://141.218.60.56/~jnz1568/getInfo.php?workbook=16_08.xlsx&amp;sheet=U0&amp;row=6582&amp;col=6&amp;number=4.8&amp;sourceID=14","4.8")</f>
        <v>4.8</v>
      </c>
      <c r="G6582" s="4" t="str">
        <f>HYPERLINK("http://141.218.60.56/~jnz1568/getInfo.php?workbook=16_08.xlsx&amp;sheet=U0&amp;row=6582&amp;col=7&amp;number=0.0352&amp;sourceID=14","0.0352")</f>
        <v>0.0352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HYPERLINK("http://141.218.60.56/~jnz1568/getInfo.php?workbook=16_08.xlsx&amp;sheet=U0&amp;row=6583&amp;col=6&amp;number=4.9&amp;sourceID=14","4.9")</f>
        <v>4.9</v>
      </c>
      <c r="G6583" s="4" t="str">
        <f>HYPERLINK("http://141.218.60.56/~jnz1568/getInfo.php?workbook=16_08.xlsx&amp;sheet=U0&amp;row=6583&amp;col=7&amp;number=0.0354&amp;sourceID=14","0.0354")</f>
        <v>0.0354</v>
      </c>
    </row>
    <row r="6584" spans="1:7">
      <c r="A6584" s="3">
        <v>16</v>
      </c>
      <c r="B6584" s="3">
        <v>8</v>
      </c>
      <c r="C6584" s="3">
        <v>4</v>
      </c>
      <c r="D6584" s="3">
        <v>82</v>
      </c>
      <c r="E6584" s="3">
        <v>1</v>
      </c>
      <c r="F6584" s="4" t="str">
        <f>HYPERLINK("http://141.218.60.56/~jnz1568/getInfo.php?workbook=16_08.xlsx&amp;sheet=U0&amp;row=6584&amp;col=6&amp;number=3&amp;sourceID=14","3")</f>
        <v>3</v>
      </c>
      <c r="G6584" s="4" t="str">
        <f>HYPERLINK("http://141.218.60.56/~jnz1568/getInfo.php?workbook=16_08.xlsx&amp;sheet=U0&amp;row=6584&amp;col=7&amp;number=0.0156&amp;sourceID=14","0.0156")</f>
        <v>0.0156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HYPERLINK("http://141.218.60.56/~jnz1568/getInfo.php?workbook=16_08.xlsx&amp;sheet=U0&amp;row=6585&amp;col=6&amp;number=3.1&amp;sourceID=14","3.1")</f>
        <v>3.1</v>
      </c>
      <c r="G6585" s="4" t="str">
        <f>HYPERLINK("http://141.218.60.56/~jnz1568/getInfo.php?workbook=16_08.xlsx&amp;sheet=U0&amp;row=6585&amp;col=7&amp;number=0.0156&amp;sourceID=14","0.0156")</f>
        <v>0.0156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HYPERLINK("http://141.218.60.56/~jnz1568/getInfo.php?workbook=16_08.xlsx&amp;sheet=U0&amp;row=6586&amp;col=6&amp;number=3.2&amp;sourceID=14","3.2")</f>
        <v>3.2</v>
      </c>
      <c r="G6586" s="4" t="str">
        <f>HYPERLINK("http://141.218.60.56/~jnz1568/getInfo.php?workbook=16_08.xlsx&amp;sheet=U0&amp;row=6586&amp;col=7&amp;number=0.0156&amp;sourceID=14","0.0156")</f>
        <v>0.0156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HYPERLINK("http://141.218.60.56/~jnz1568/getInfo.php?workbook=16_08.xlsx&amp;sheet=U0&amp;row=6587&amp;col=6&amp;number=3.3&amp;sourceID=14","3.3")</f>
        <v>3.3</v>
      </c>
      <c r="G6587" s="4" t="str">
        <f>HYPERLINK("http://141.218.60.56/~jnz1568/getInfo.php?workbook=16_08.xlsx&amp;sheet=U0&amp;row=6587&amp;col=7&amp;number=0.0156&amp;sourceID=14","0.0156")</f>
        <v>0.0156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HYPERLINK("http://141.218.60.56/~jnz1568/getInfo.php?workbook=16_08.xlsx&amp;sheet=U0&amp;row=6588&amp;col=6&amp;number=3.4&amp;sourceID=14","3.4")</f>
        <v>3.4</v>
      </c>
      <c r="G6588" s="4" t="str">
        <f>HYPERLINK("http://141.218.60.56/~jnz1568/getInfo.php?workbook=16_08.xlsx&amp;sheet=U0&amp;row=6588&amp;col=7&amp;number=0.0156&amp;sourceID=14","0.0156")</f>
        <v>0.0156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HYPERLINK("http://141.218.60.56/~jnz1568/getInfo.php?workbook=16_08.xlsx&amp;sheet=U0&amp;row=6589&amp;col=6&amp;number=3.5&amp;sourceID=14","3.5")</f>
        <v>3.5</v>
      </c>
      <c r="G6589" s="4" t="str">
        <f>HYPERLINK("http://141.218.60.56/~jnz1568/getInfo.php?workbook=16_08.xlsx&amp;sheet=U0&amp;row=6589&amp;col=7&amp;number=0.0156&amp;sourceID=14","0.0156")</f>
        <v>0.0156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HYPERLINK("http://141.218.60.56/~jnz1568/getInfo.php?workbook=16_08.xlsx&amp;sheet=U0&amp;row=6590&amp;col=6&amp;number=3.6&amp;sourceID=14","3.6")</f>
        <v>3.6</v>
      </c>
      <c r="G6590" s="4" t="str">
        <f>HYPERLINK("http://141.218.60.56/~jnz1568/getInfo.php?workbook=16_08.xlsx&amp;sheet=U0&amp;row=6590&amp;col=7&amp;number=0.0156&amp;sourceID=14","0.0156")</f>
        <v>0.0156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HYPERLINK("http://141.218.60.56/~jnz1568/getInfo.php?workbook=16_08.xlsx&amp;sheet=U0&amp;row=6591&amp;col=6&amp;number=3.7&amp;sourceID=14","3.7")</f>
        <v>3.7</v>
      </c>
      <c r="G6591" s="4" t="str">
        <f>HYPERLINK("http://141.218.60.56/~jnz1568/getInfo.php?workbook=16_08.xlsx&amp;sheet=U0&amp;row=6591&amp;col=7&amp;number=0.0156&amp;sourceID=14","0.0156")</f>
        <v>0.0156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HYPERLINK("http://141.218.60.56/~jnz1568/getInfo.php?workbook=16_08.xlsx&amp;sheet=U0&amp;row=6592&amp;col=6&amp;number=3.8&amp;sourceID=14","3.8")</f>
        <v>3.8</v>
      </c>
      <c r="G6592" s="4" t="str">
        <f>HYPERLINK("http://141.218.60.56/~jnz1568/getInfo.php?workbook=16_08.xlsx&amp;sheet=U0&amp;row=6592&amp;col=7&amp;number=0.0156&amp;sourceID=14","0.0156")</f>
        <v>0.0156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HYPERLINK("http://141.218.60.56/~jnz1568/getInfo.php?workbook=16_08.xlsx&amp;sheet=U0&amp;row=6593&amp;col=6&amp;number=3.9&amp;sourceID=14","3.9")</f>
        <v>3.9</v>
      </c>
      <c r="G6593" s="4" t="str">
        <f>HYPERLINK("http://141.218.60.56/~jnz1568/getInfo.php?workbook=16_08.xlsx&amp;sheet=U0&amp;row=6593&amp;col=7&amp;number=0.0156&amp;sourceID=14","0.0156")</f>
        <v>0.0156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HYPERLINK("http://141.218.60.56/~jnz1568/getInfo.php?workbook=16_08.xlsx&amp;sheet=U0&amp;row=6594&amp;col=6&amp;number=4&amp;sourceID=14","4")</f>
        <v>4</v>
      </c>
      <c r="G6594" s="4" t="str">
        <f>HYPERLINK("http://141.218.60.56/~jnz1568/getInfo.php?workbook=16_08.xlsx&amp;sheet=U0&amp;row=6594&amp;col=7&amp;number=0.0156&amp;sourceID=14","0.0156")</f>
        <v>0.0156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HYPERLINK("http://141.218.60.56/~jnz1568/getInfo.php?workbook=16_08.xlsx&amp;sheet=U0&amp;row=6595&amp;col=6&amp;number=4.1&amp;sourceID=14","4.1")</f>
        <v>4.1</v>
      </c>
      <c r="G6595" s="4" t="str">
        <f>HYPERLINK("http://141.218.60.56/~jnz1568/getInfo.php?workbook=16_08.xlsx&amp;sheet=U0&amp;row=6595&amp;col=7&amp;number=0.0156&amp;sourceID=14","0.0156")</f>
        <v>0.0156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HYPERLINK("http://141.218.60.56/~jnz1568/getInfo.php?workbook=16_08.xlsx&amp;sheet=U0&amp;row=6596&amp;col=6&amp;number=4.2&amp;sourceID=14","4.2")</f>
        <v>4.2</v>
      </c>
      <c r="G6596" s="4" t="str">
        <f>HYPERLINK("http://141.218.60.56/~jnz1568/getInfo.php?workbook=16_08.xlsx&amp;sheet=U0&amp;row=6596&amp;col=7&amp;number=0.0156&amp;sourceID=14","0.0156")</f>
        <v>0.0156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HYPERLINK("http://141.218.60.56/~jnz1568/getInfo.php?workbook=16_08.xlsx&amp;sheet=U0&amp;row=6597&amp;col=6&amp;number=4.3&amp;sourceID=14","4.3")</f>
        <v>4.3</v>
      </c>
      <c r="G6597" s="4" t="str">
        <f>HYPERLINK("http://141.218.60.56/~jnz1568/getInfo.php?workbook=16_08.xlsx&amp;sheet=U0&amp;row=6597&amp;col=7&amp;number=0.0156&amp;sourceID=14","0.0156")</f>
        <v>0.0156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HYPERLINK("http://141.218.60.56/~jnz1568/getInfo.php?workbook=16_08.xlsx&amp;sheet=U0&amp;row=6598&amp;col=6&amp;number=4.4&amp;sourceID=14","4.4")</f>
        <v>4.4</v>
      </c>
      <c r="G6598" s="4" t="str">
        <f>HYPERLINK("http://141.218.60.56/~jnz1568/getInfo.php?workbook=16_08.xlsx&amp;sheet=U0&amp;row=6598&amp;col=7&amp;number=0.0155&amp;sourceID=14","0.0155")</f>
        <v>0.0155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HYPERLINK("http://141.218.60.56/~jnz1568/getInfo.php?workbook=16_08.xlsx&amp;sheet=U0&amp;row=6599&amp;col=6&amp;number=4.5&amp;sourceID=14","4.5")</f>
        <v>4.5</v>
      </c>
      <c r="G6599" s="4" t="str">
        <f>HYPERLINK("http://141.218.60.56/~jnz1568/getInfo.php?workbook=16_08.xlsx&amp;sheet=U0&amp;row=6599&amp;col=7&amp;number=0.0155&amp;sourceID=14","0.0155")</f>
        <v>0.0155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HYPERLINK("http://141.218.60.56/~jnz1568/getInfo.php?workbook=16_08.xlsx&amp;sheet=U0&amp;row=6600&amp;col=6&amp;number=4.6&amp;sourceID=14","4.6")</f>
        <v>4.6</v>
      </c>
      <c r="G6600" s="4" t="str">
        <f>HYPERLINK("http://141.218.60.56/~jnz1568/getInfo.php?workbook=16_08.xlsx&amp;sheet=U0&amp;row=6600&amp;col=7&amp;number=0.0155&amp;sourceID=14","0.0155")</f>
        <v>0.0155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HYPERLINK("http://141.218.60.56/~jnz1568/getInfo.php?workbook=16_08.xlsx&amp;sheet=U0&amp;row=6601&amp;col=6&amp;number=4.7&amp;sourceID=14","4.7")</f>
        <v>4.7</v>
      </c>
      <c r="G6601" s="4" t="str">
        <f>HYPERLINK("http://141.218.60.56/~jnz1568/getInfo.php?workbook=16_08.xlsx&amp;sheet=U0&amp;row=6601&amp;col=7&amp;number=0.0155&amp;sourceID=14","0.0155")</f>
        <v>0.0155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HYPERLINK("http://141.218.60.56/~jnz1568/getInfo.php?workbook=16_08.xlsx&amp;sheet=U0&amp;row=6602&amp;col=6&amp;number=4.8&amp;sourceID=14","4.8")</f>
        <v>4.8</v>
      </c>
      <c r="G6602" s="4" t="str">
        <f>HYPERLINK("http://141.218.60.56/~jnz1568/getInfo.php?workbook=16_08.xlsx&amp;sheet=U0&amp;row=6602&amp;col=7&amp;number=0.0154&amp;sourceID=14","0.0154")</f>
        <v>0.0154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HYPERLINK("http://141.218.60.56/~jnz1568/getInfo.php?workbook=16_08.xlsx&amp;sheet=U0&amp;row=6603&amp;col=6&amp;number=4.9&amp;sourceID=14","4.9")</f>
        <v>4.9</v>
      </c>
      <c r="G6603" s="4" t="str">
        <f>HYPERLINK("http://141.218.60.56/~jnz1568/getInfo.php?workbook=16_08.xlsx&amp;sheet=U0&amp;row=6603&amp;col=7&amp;number=0.0154&amp;sourceID=14","0.0154")</f>
        <v>0.0154</v>
      </c>
    </row>
    <row r="6604" spans="1:7">
      <c r="A6604" s="3">
        <v>16</v>
      </c>
      <c r="B6604" s="3">
        <v>8</v>
      </c>
      <c r="C6604" s="3">
        <v>4</v>
      </c>
      <c r="D6604" s="3">
        <v>83</v>
      </c>
      <c r="E6604" s="3">
        <v>1</v>
      </c>
      <c r="F6604" s="4" t="str">
        <f>HYPERLINK("http://141.218.60.56/~jnz1568/getInfo.php?workbook=16_08.xlsx&amp;sheet=U0&amp;row=6604&amp;col=6&amp;number=3&amp;sourceID=14","3")</f>
        <v>3</v>
      </c>
      <c r="G6604" s="4" t="str">
        <f>HYPERLINK("http://141.218.60.56/~jnz1568/getInfo.php?workbook=16_08.xlsx&amp;sheet=U0&amp;row=6604&amp;col=7&amp;number=0.00632&amp;sourceID=14","0.00632")</f>
        <v>0.00632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HYPERLINK("http://141.218.60.56/~jnz1568/getInfo.php?workbook=16_08.xlsx&amp;sheet=U0&amp;row=6605&amp;col=6&amp;number=3.1&amp;sourceID=14","3.1")</f>
        <v>3.1</v>
      </c>
      <c r="G6605" s="4" t="str">
        <f>HYPERLINK("http://141.218.60.56/~jnz1568/getInfo.php?workbook=16_08.xlsx&amp;sheet=U0&amp;row=6605&amp;col=7&amp;number=0.00632&amp;sourceID=14","0.00632")</f>
        <v>0.00632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HYPERLINK("http://141.218.60.56/~jnz1568/getInfo.php?workbook=16_08.xlsx&amp;sheet=U0&amp;row=6606&amp;col=6&amp;number=3.2&amp;sourceID=14","3.2")</f>
        <v>3.2</v>
      </c>
      <c r="G6606" s="4" t="str">
        <f>HYPERLINK("http://141.218.60.56/~jnz1568/getInfo.php?workbook=16_08.xlsx&amp;sheet=U0&amp;row=6606&amp;col=7&amp;number=0.00632&amp;sourceID=14","0.00632")</f>
        <v>0.00632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HYPERLINK("http://141.218.60.56/~jnz1568/getInfo.php?workbook=16_08.xlsx&amp;sheet=U0&amp;row=6607&amp;col=6&amp;number=3.3&amp;sourceID=14","3.3")</f>
        <v>3.3</v>
      </c>
      <c r="G6607" s="4" t="str">
        <f>HYPERLINK("http://141.218.60.56/~jnz1568/getInfo.php?workbook=16_08.xlsx&amp;sheet=U0&amp;row=6607&amp;col=7&amp;number=0.00632&amp;sourceID=14","0.00632")</f>
        <v>0.00632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HYPERLINK("http://141.218.60.56/~jnz1568/getInfo.php?workbook=16_08.xlsx&amp;sheet=U0&amp;row=6608&amp;col=6&amp;number=3.4&amp;sourceID=14","3.4")</f>
        <v>3.4</v>
      </c>
      <c r="G6608" s="4" t="str">
        <f>HYPERLINK("http://141.218.60.56/~jnz1568/getInfo.php?workbook=16_08.xlsx&amp;sheet=U0&amp;row=6608&amp;col=7&amp;number=0.00632&amp;sourceID=14","0.00632")</f>
        <v>0.00632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HYPERLINK("http://141.218.60.56/~jnz1568/getInfo.php?workbook=16_08.xlsx&amp;sheet=U0&amp;row=6609&amp;col=6&amp;number=3.5&amp;sourceID=14","3.5")</f>
        <v>3.5</v>
      </c>
      <c r="G6609" s="4" t="str">
        <f>HYPERLINK("http://141.218.60.56/~jnz1568/getInfo.php?workbook=16_08.xlsx&amp;sheet=U0&amp;row=6609&amp;col=7&amp;number=0.00632&amp;sourceID=14","0.00632")</f>
        <v>0.00632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HYPERLINK("http://141.218.60.56/~jnz1568/getInfo.php?workbook=16_08.xlsx&amp;sheet=U0&amp;row=6610&amp;col=6&amp;number=3.6&amp;sourceID=14","3.6")</f>
        <v>3.6</v>
      </c>
      <c r="G6610" s="4" t="str">
        <f>HYPERLINK("http://141.218.60.56/~jnz1568/getInfo.php?workbook=16_08.xlsx&amp;sheet=U0&amp;row=6610&amp;col=7&amp;number=0.00632&amp;sourceID=14","0.00632")</f>
        <v>0.00632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HYPERLINK("http://141.218.60.56/~jnz1568/getInfo.php?workbook=16_08.xlsx&amp;sheet=U0&amp;row=6611&amp;col=6&amp;number=3.7&amp;sourceID=14","3.7")</f>
        <v>3.7</v>
      </c>
      <c r="G6611" s="4" t="str">
        <f>HYPERLINK("http://141.218.60.56/~jnz1568/getInfo.php?workbook=16_08.xlsx&amp;sheet=U0&amp;row=6611&amp;col=7&amp;number=0.00632&amp;sourceID=14","0.00632")</f>
        <v>0.00632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HYPERLINK("http://141.218.60.56/~jnz1568/getInfo.php?workbook=16_08.xlsx&amp;sheet=U0&amp;row=6612&amp;col=6&amp;number=3.8&amp;sourceID=14","3.8")</f>
        <v>3.8</v>
      </c>
      <c r="G6612" s="4" t="str">
        <f>HYPERLINK("http://141.218.60.56/~jnz1568/getInfo.php?workbook=16_08.xlsx&amp;sheet=U0&amp;row=6612&amp;col=7&amp;number=0.00631&amp;sourceID=14","0.00631")</f>
        <v>0.00631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HYPERLINK("http://141.218.60.56/~jnz1568/getInfo.php?workbook=16_08.xlsx&amp;sheet=U0&amp;row=6613&amp;col=6&amp;number=3.9&amp;sourceID=14","3.9")</f>
        <v>3.9</v>
      </c>
      <c r="G6613" s="4" t="str">
        <f>HYPERLINK("http://141.218.60.56/~jnz1568/getInfo.php?workbook=16_08.xlsx&amp;sheet=U0&amp;row=6613&amp;col=7&amp;number=0.00631&amp;sourceID=14","0.00631")</f>
        <v>0.00631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HYPERLINK("http://141.218.60.56/~jnz1568/getInfo.php?workbook=16_08.xlsx&amp;sheet=U0&amp;row=6614&amp;col=6&amp;number=4&amp;sourceID=14","4")</f>
        <v>4</v>
      </c>
      <c r="G6614" s="4" t="str">
        <f>HYPERLINK("http://141.218.60.56/~jnz1568/getInfo.php?workbook=16_08.xlsx&amp;sheet=U0&amp;row=6614&amp;col=7&amp;number=0.00631&amp;sourceID=14","0.00631")</f>
        <v>0.00631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HYPERLINK("http://141.218.60.56/~jnz1568/getInfo.php?workbook=16_08.xlsx&amp;sheet=U0&amp;row=6615&amp;col=6&amp;number=4.1&amp;sourceID=14","4.1")</f>
        <v>4.1</v>
      </c>
      <c r="G6615" s="4" t="str">
        <f>HYPERLINK("http://141.218.60.56/~jnz1568/getInfo.php?workbook=16_08.xlsx&amp;sheet=U0&amp;row=6615&amp;col=7&amp;number=0.0063&amp;sourceID=14","0.0063")</f>
        <v>0.0063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HYPERLINK("http://141.218.60.56/~jnz1568/getInfo.php?workbook=16_08.xlsx&amp;sheet=U0&amp;row=6616&amp;col=6&amp;number=4.2&amp;sourceID=14","4.2")</f>
        <v>4.2</v>
      </c>
      <c r="G6616" s="4" t="str">
        <f>HYPERLINK("http://141.218.60.56/~jnz1568/getInfo.php?workbook=16_08.xlsx&amp;sheet=U0&amp;row=6616&amp;col=7&amp;number=0.0063&amp;sourceID=14","0.0063")</f>
        <v>0.0063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HYPERLINK("http://141.218.60.56/~jnz1568/getInfo.php?workbook=16_08.xlsx&amp;sheet=U0&amp;row=6617&amp;col=6&amp;number=4.3&amp;sourceID=14","4.3")</f>
        <v>4.3</v>
      </c>
      <c r="G6617" s="4" t="str">
        <f>HYPERLINK("http://141.218.60.56/~jnz1568/getInfo.php?workbook=16_08.xlsx&amp;sheet=U0&amp;row=6617&amp;col=7&amp;number=0.00629&amp;sourceID=14","0.00629")</f>
        <v>0.00629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HYPERLINK("http://141.218.60.56/~jnz1568/getInfo.php?workbook=16_08.xlsx&amp;sheet=U0&amp;row=6618&amp;col=6&amp;number=4.4&amp;sourceID=14","4.4")</f>
        <v>4.4</v>
      </c>
      <c r="G6618" s="4" t="str">
        <f>HYPERLINK("http://141.218.60.56/~jnz1568/getInfo.php?workbook=16_08.xlsx&amp;sheet=U0&amp;row=6618&amp;col=7&amp;number=0.00629&amp;sourceID=14","0.00629")</f>
        <v>0.00629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HYPERLINK("http://141.218.60.56/~jnz1568/getInfo.php?workbook=16_08.xlsx&amp;sheet=U0&amp;row=6619&amp;col=6&amp;number=4.5&amp;sourceID=14","4.5")</f>
        <v>4.5</v>
      </c>
      <c r="G6619" s="4" t="str">
        <f>HYPERLINK("http://141.218.60.56/~jnz1568/getInfo.php?workbook=16_08.xlsx&amp;sheet=U0&amp;row=6619&amp;col=7&amp;number=0.00628&amp;sourceID=14","0.00628")</f>
        <v>0.00628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HYPERLINK("http://141.218.60.56/~jnz1568/getInfo.php?workbook=16_08.xlsx&amp;sheet=U0&amp;row=6620&amp;col=6&amp;number=4.6&amp;sourceID=14","4.6")</f>
        <v>4.6</v>
      </c>
      <c r="G6620" s="4" t="str">
        <f>HYPERLINK("http://141.218.60.56/~jnz1568/getInfo.php?workbook=16_08.xlsx&amp;sheet=U0&amp;row=6620&amp;col=7&amp;number=0.00626&amp;sourceID=14","0.00626")</f>
        <v>0.00626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HYPERLINK("http://141.218.60.56/~jnz1568/getInfo.php?workbook=16_08.xlsx&amp;sheet=U0&amp;row=6621&amp;col=6&amp;number=4.7&amp;sourceID=14","4.7")</f>
        <v>4.7</v>
      </c>
      <c r="G6621" s="4" t="str">
        <f>HYPERLINK("http://141.218.60.56/~jnz1568/getInfo.php?workbook=16_08.xlsx&amp;sheet=U0&amp;row=6621&amp;col=7&amp;number=0.00625&amp;sourceID=14","0.00625")</f>
        <v>0.00625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HYPERLINK("http://141.218.60.56/~jnz1568/getInfo.php?workbook=16_08.xlsx&amp;sheet=U0&amp;row=6622&amp;col=6&amp;number=4.8&amp;sourceID=14","4.8")</f>
        <v>4.8</v>
      </c>
      <c r="G6622" s="4" t="str">
        <f>HYPERLINK("http://141.218.60.56/~jnz1568/getInfo.php?workbook=16_08.xlsx&amp;sheet=U0&amp;row=6622&amp;col=7&amp;number=0.00623&amp;sourceID=14","0.00623")</f>
        <v>0.00623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HYPERLINK("http://141.218.60.56/~jnz1568/getInfo.php?workbook=16_08.xlsx&amp;sheet=U0&amp;row=6623&amp;col=6&amp;number=4.9&amp;sourceID=14","4.9")</f>
        <v>4.9</v>
      </c>
      <c r="G6623" s="4" t="str">
        <f>HYPERLINK("http://141.218.60.56/~jnz1568/getInfo.php?workbook=16_08.xlsx&amp;sheet=U0&amp;row=6623&amp;col=7&amp;number=0.0062&amp;sourceID=14","0.0062")</f>
        <v>0.0062</v>
      </c>
    </row>
    <row r="6624" spans="1:7">
      <c r="A6624" s="3">
        <v>16</v>
      </c>
      <c r="B6624" s="3">
        <v>8</v>
      </c>
      <c r="C6624" s="3">
        <v>4</v>
      </c>
      <c r="D6624" s="3">
        <v>84</v>
      </c>
      <c r="E6624" s="3">
        <v>1</v>
      </c>
      <c r="F6624" s="4" t="str">
        <f>HYPERLINK("http://141.218.60.56/~jnz1568/getInfo.php?workbook=16_08.xlsx&amp;sheet=U0&amp;row=6624&amp;col=6&amp;number=3&amp;sourceID=14","3")</f>
        <v>3</v>
      </c>
      <c r="G6624" s="4" t="str">
        <f>HYPERLINK("http://141.218.60.56/~jnz1568/getInfo.php?workbook=16_08.xlsx&amp;sheet=U0&amp;row=6624&amp;col=7&amp;number=0.103&amp;sourceID=14","0.103")</f>
        <v>0.103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HYPERLINK("http://141.218.60.56/~jnz1568/getInfo.php?workbook=16_08.xlsx&amp;sheet=U0&amp;row=6625&amp;col=6&amp;number=3.1&amp;sourceID=14","3.1")</f>
        <v>3.1</v>
      </c>
      <c r="G6625" s="4" t="str">
        <f>HYPERLINK("http://141.218.60.56/~jnz1568/getInfo.php?workbook=16_08.xlsx&amp;sheet=U0&amp;row=6625&amp;col=7&amp;number=0.103&amp;sourceID=14","0.103")</f>
        <v>0.103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HYPERLINK("http://141.218.60.56/~jnz1568/getInfo.php?workbook=16_08.xlsx&amp;sheet=U0&amp;row=6626&amp;col=6&amp;number=3.2&amp;sourceID=14","3.2")</f>
        <v>3.2</v>
      </c>
      <c r="G6626" s="4" t="str">
        <f>HYPERLINK("http://141.218.60.56/~jnz1568/getInfo.php?workbook=16_08.xlsx&amp;sheet=U0&amp;row=6626&amp;col=7&amp;number=0.103&amp;sourceID=14","0.103")</f>
        <v>0.103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HYPERLINK("http://141.218.60.56/~jnz1568/getInfo.php?workbook=16_08.xlsx&amp;sheet=U0&amp;row=6627&amp;col=6&amp;number=3.3&amp;sourceID=14","3.3")</f>
        <v>3.3</v>
      </c>
      <c r="G6627" s="4" t="str">
        <f>HYPERLINK("http://141.218.60.56/~jnz1568/getInfo.php?workbook=16_08.xlsx&amp;sheet=U0&amp;row=6627&amp;col=7&amp;number=0.103&amp;sourceID=14","0.103")</f>
        <v>0.103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HYPERLINK("http://141.218.60.56/~jnz1568/getInfo.php?workbook=16_08.xlsx&amp;sheet=U0&amp;row=6628&amp;col=6&amp;number=3.4&amp;sourceID=14","3.4")</f>
        <v>3.4</v>
      </c>
      <c r="G6628" s="4" t="str">
        <f>HYPERLINK("http://141.218.60.56/~jnz1568/getInfo.php?workbook=16_08.xlsx&amp;sheet=U0&amp;row=6628&amp;col=7&amp;number=0.104&amp;sourceID=14","0.104")</f>
        <v>0.104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HYPERLINK("http://141.218.60.56/~jnz1568/getInfo.php?workbook=16_08.xlsx&amp;sheet=U0&amp;row=6629&amp;col=6&amp;number=3.5&amp;sourceID=14","3.5")</f>
        <v>3.5</v>
      </c>
      <c r="G6629" s="4" t="str">
        <f>HYPERLINK("http://141.218.60.56/~jnz1568/getInfo.php?workbook=16_08.xlsx&amp;sheet=U0&amp;row=6629&amp;col=7&amp;number=0.104&amp;sourceID=14","0.104")</f>
        <v>0.104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HYPERLINK("http://141.218.60.56/~jnz1568/getInfo.php?workbook=16_08.xlsx&amp;sheet=U0&amp;row=6630&amp;col=6&amp;number=3.6&amp;sourceID=14","3.6")</f>
        <v>3.6</v>
      </c>
      <c r="G6630" s="4" t="str">
        <f>HYPERLINK("http://141.218.60.56/~jnz1568/getInfo.php?workbook=16_08.xlsx&amp;sheet=U0&amp;row=6630&amp;col=7&amp;number=0.104&amp;sourceID=14","0.104")</f>
        <v>0.104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HYPERLINK("http://141.218.60.56/~jnz1568/getInfo.php?workbook=16_08.xlsx&amp;sheet=U0&amp;row=6631&amp;col=6&amp;number=3.7&amp;sourceID=14","3.7")</f>
        <v>3.7</v>
      </c>
      <c r="G6631" s="4" t="str">
        <f>HYPERLINK("http://141.218.60.56/~jnz1568/getInfo.php?workbook=16_08.xlsx&amp;sheet=U0&amp;row=6631&amp;col=7&amp;number=0.104&amp;sourceID=14","0.104")</f>
        <v>0.104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HYPERLINK("http://141.218.60.56/~jnz1568/getInfo.php?workbook=16_08.xlsx&amp;sheet=U0&amp;row=6632&amp;col=6&amp;number=3.8&amp;sourceID=14","3.8")</f>
        <v>3.8</v>
      </c>
      <c r="G6632" s="4" t="str">
        <f>HYPERLINK("http://141.218.60.56/~jnz1568/getInfo.php?workbook=16_08.xlsx&amp;sheet=U0&amp;row=6632&amp;col=7&amp;number=0.104&amp;sourceID=14","0.104")</f>
        <v>0.104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HYPERLINK("http://141.218.60.56/~jnz1568/getInfo.php?workbook=16_08.xlsx&amp;sheet=U0&amp;row=6633&amp;col=6&amp;number=3.9&amp;sourceID=14","3.9")</f>
        <v>3.9</v>
      </c>
      <c r="G6633" s="4" t="str">
        <f>HYPERLINK("http://141.218.60.56/~jnz1568/getInfo.php?workbook=16_08.xlsx&amp;sheet=U0&amp;row=6633&amp;col=7&amp;number=0.104&amp;sourceID=14","0.104")</f>
        <v>0.104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HYPERLINK("http://141.218.60.56/~jnz1568/getInfo.php?workbook=16_08.xlsx&amp;sheet=U0&amp;row=6634&amp;col=6&amp;number=4&amp;sourceID=14","4")</f>
        <v>4</v>
      </c>
      <c r="G6634" s="4" t="str">
        <f>HYPERLINK("http://141.218.60.56/~jnz1568/getInfo.php?workbook=16_08.xlsx&amp;sheet=U0&amp;row=6634&amp;col=7&amp;number=0.104&amp;sourceID=14","0.104")</f>
        <v>0.104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HYPERLINK("http://141.218.60.56/~jnz1568/getInfo.php?workbook=16_08.xlsx&amp;sheet=U0&amp;row=6635&amp;col=6&amp;number=4.1&amp;sourceID=14","4.1")</f>
        <v>4.1</v>
      </c>
      <c r="G6635" s="4" t="str">
        <f>HYPERLINK("http://141.218.60.56/~jnz1568/getInfo.php?workbook=16_08.xlsx&amp;sheet=U0&amp;row=6635&amp;col=7&amp;number=0.104&amp;sourceID=14","0.104")</f>
        <v>0.104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HYPERLINK("http://141.218.60.56/~jnz1568/getInfo.php?workbook=16_08.xlsx&amp;sheet=U0&amp;row=6636&amp;col=6&amp;number=4.2&amp;sourceID=14","4.2")</f>
        <v>4.2</v>
      </c>
      <c r="G6636" s="4" t="str">
        <f>HYPERLINK("http://141.218.60.56/~jnz1568/getInfo.php?workbook=16_08.xlsx&amp;sheet=U0&amp;row=6636&amp;col=7&amp;number=0.104&amp;sourceID=14","0.104")</f>
        <v>0.104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HYPERLINK("http://141.218.60.56/~jnz1568/getInfo.php?workbook=16_08.xlsx&amp;sheet=U0&amp;row=6637&amp;col=6&amp;number=4.3&amp;sourceID=14","4.3")</f>
        <v>4.3</v>
      </c>
      <c r="G6637" s="4" t="str">
        <f>HYPERLINK("http://141.218.60.56/~jnz1568/getInfo.php?workbook=16_08.xlsx&amp;sheet=U0&amp;row=6637&amp;col=7&amp;number=0.104&amp;sourceID=14","0.104")</f>
        <v>0.104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HYPERLINK("http://141.218.60.56/~jnz1568/getInfo.php?workbook=16_08.xlsx&amp;sheet=U0&amp;row=6638&amp;col=6&amp;number=4.4&amp;sourceID=14","4.4")</f>
        <v>4.4</v>
      </c>
      <c r="G6638" s="4" t="str">
        <f>HYPERLINK("http://141.218.60.56/~jnz1568/getInfo.php?workbook=16_08.xlsx&amp;sheet=U0&amp;row=6638&amp;col=7&amp;number=0.105&amp;sourceID=14","0.105")</f>
        <v>0.105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HYPERLINK("http://141.218.60.56/~jnz1568/getInfo.php?workbook=16_08.xlsx&amp;sheet=U0&amp;row=6639&amp;col=6&amp;number=4.5&amp;sourceID=14","4.5")</f>
        <v>4.5</v>
      </c>
      <c r="G6639" s="4" t="str">
        <f>HYPERLINK("http://141.218.60.56/~jnz1568/getInfo.php?workbook=16_08.xlsx&amp;sheet=U0&amp;row=6639&amp;col=7&amp;number=0.105&amp;sourceID=14","0.105")</f>
        <v>0.105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HYPERLINK("http://141.218.60.56/~jnz1568/getInfo.php?workbook=16_08.xlsx&amp;sheet=U0&amp;row=6640&amp;col=6&amp;number=4.6&amp;sourceID=14","4.6")</f>
        <v>4.6</v>
      </c>
      <c r="G6640" s="4" t="str">
        <f>HYPERLINK("http://141.218.60.56/~jnz1568/getInfo.php?workbook=16_08.xlsx&amp;sheet=U0&amp;row=6640&amp;col=7&amp;number=0.105&amp;sourceID=14","0.105")</f>
        <v>0.105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HYPERLINK("http://141.218.60.56/~jnz1568/getInfo.php?workbook=16_08.xlsx&amp;sheet=U0&amp;row=6641&amp;col=6&amp;number=4.7&amp;sourceID=14","4.7")</f>
        <v>4.7</v>
      </c>
      <c r="G6641" s="4" t="str">
        <f>HYPERLINK("http://141.218.60.56/~jnz1568/getInfo.php?workbook=16_08.xlsx&amp;sheet=U0&amp;row=6641&amp;col=7&amp;number=0.106&amp;sourceID=14","0.106")</f>
        <v>0.106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HYPERLINK("http://141.218.60.56/~jnz1568/getInfo.php?workbook=16_08.xlsx&amp;sheet=U0&amp;row=6642&amp;col=6&amp;number=4.8&amp;sourceID=14","4.8")</f>
        <v>4.8</v>
      </c>
      <c r="G6642" s="4" t="str">
        <f>HYPERLINK("http://141.218.60.56/~jnz1568/getInfo.php?workbook=16_08.xlsx&amp;sheet=U0&amp;row=6642&amp;col=7&amp;number=0.106&amp;sourceID=14","0.106")</f>
        <v>0.106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HYPERLINK("http://141.218.60.56/~jnz1568/getInfo.php?workbook=16_08.xlsx&amp;sheet=U0&amp;row=6643&amp;col=6&amp;number=4.9&amp;sourceID=14","4.9")</f>
        <v>4.9</v>
      </c>
      <c r="G6643" s="4" t="str">
        <f>HYPERLINK("http://141.218.60.56/~jnz1568/getInfo.php?workbook=16_08.xlsx&amp;sheet=U0&amp;row=6643&amp;col=7&amp;number=0.107&amp;sourceID=14","0.107")</f>
        <v>0.107</v>
      </c>
    </row>
    <row r="6644" spans="1:7">
      <c r="A6644" s="3">
        <v>16</v>
      </c>
      <c r="B6644" s="3">
        <v>8</v>
      </c>
      <c r="C6644" s="3">
        <v>4</v>
      </c>
      <c r="D6644" s="3">
        <v>85</v>
      </c>
      <c r="E6644" s="3">
        <v>1</v>
      </c>
      <c r="F6644" s="4" t="str">
        <f>HYPERLINK("http://141.218.60.56/~jnz1568/getInfo.php?workbook=16_08.xlsx&amp;sheet=U0&amp;row=6644&amp;col=6&amp;number=3&amp;sourceID=14","3")</f>
        <v>3</v>
      </c>
      <c r="G6644" s="4" t="str">
        <f>HYPERLINK("http://141.218.60.56/~jnz1568/getInfo.php?workbook=16_08.xlsx&amp;sheet=U0&amp;row=6644&amp;col=7&amp;number=0.263&amp;sourceID=14","0.263")</f>
        <v>0.263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HYPERLINK("http://141.218.60.56/~jnz1568/getInfo.php?workbook=16_08.xlsx&amp;sheet=U0&amp;row=6645&amp;col=6&amp;number=3.1&amp;sourceID=14","3.1")</f>
        <v>3.1</v>
      </c>
      <c r="G6645" s="4" t="str">
        <f>HYPERLINK("http://141.218.60.56/~jnz1568/getInfo.php?workbook=16_08.xlsx&amp;sheet=U0&amp;row=6645&amp;col=7&amp;number=0.263&amp;sourceID=14","0.263")</f>
        <v>0.263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HYPERLINK("http://141.218.60.56/~jnz1568/getInfo.php?workbook=16_08.xlsx&amp;sheet=U0&amp;row=6646&amp;col=6&amp;number=3.2&amp;sourceID=14","3.2")</f>
        <v>3.2</v>
      </c>
      <c r="G6646" s="4" t="str">
        <f>HYPERLINK("http://141.218.60.56/~jnz1568/getInfo.php?workbook=16_08.xlsx&amp;sheet=U0&amp;row=6646&amp;col=7&amp;number=0.263&amp;sourceID=14","0.263")</f>
        <v>0.263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HYPERLINK("http://141.218.60.56/~jnz1568/getInfo.php?workbook=16_08.xlsx&amp;sheet=U0&amp;row=6647&amp;col=6&amp;number=3.3&amp;sourceID=14","3.3")</f>
        <v>3.3</v>
      </c>
      <c r="G6647" s="4" t="str">
        <f>HYPERLINK("http://141.218.60.56/~jnz1568/getInfo.php?workbook=16_08.xlsx&amp;sheet=U0&amp;row=6647&amp;col=7&amp;number=0.263&amp;sourceID=14","0.263")</f>
        <v>0.263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HYPERLINK("http://141.218.60.56/~jnz1568/getInfo.php?workbook=16_08.xlsx&amp;sheet=U0&amp;row=6648&amp;col=6&amp;number=3.4&amp;sourceID=14","3.4")</f>
        <v>3.4</v>
      </c>
      <c r="G6648" s="4" t="str">
        <f>HYPERLINK("http://141.218.60.56/~jnz1568/getInfo.php?workbook=16_08.xlsx&amp;sheet=U0&amp;row=6648&amp;col=7&amp;number=0.263&amp;sourceID=14","0.263")</f>
        <v>0.263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HYPERLINK("http://141.218.60.56/~jnz1568/getInfo.php?workbook=16_08.xlsx&amp;sheet=U0&amp;row=6649&amp;col=6&amp;number=3.5&amp;sourceID=14","3.5")</f>
        <v>3.5</v>
      </c>
      <c r="G6649" s="4" t="str">
        <f>HYPERLINK("http://141.218.60.56/~jnz1568/getInfo.php?workbook=16_08.xlsx&amp;sheet=U0&amp;row=6649&amp;col=7&amp;number=0.263&amp;sourceID=14","0.263")</f>
        <v>0.263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HYPERLINK("http://141.218.60.56/~jnz1568/getInfo.php?workbook=16_08.xlsx&amp;sheet=U0&amp;row=6650&amp;col=6&amp;number=3.6&amp;sourceID=14","3.6")</f>
        <v>3.6</v>
      </c>
      <c r="G6650" s="4" t="str">
        <f>HYPERLINK("http://141.218.60.56/~jnz1568/getInfo.php?workbook=16_08.xlsx&amp;sheet=U0&amp;row=6650&amp;col=7&amp;number=0.263&amp;sourceID=14","0.263")</f>
        <v>0.263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HYPERLINK("http://141.218.60.56/~jnz1568/getInfo.php?workbook=16_08.xlsx&amp;sheet=U0&amp;row=6651&amp;col=6&amp;number=3.7&amp;sourceID=14","3.7")</f>
        <v>3.7</v>
      </c>
      <c r="G6651" s="4" t="str">
        <f>HYPERLINK("http://141.218.60.56/~jnz1568/getInfo.php?workbook=16_08.xlsx&amp;sheet=U0&amp;row=6651&amp;col=7&amp;number=0.264&amp;sourceID=14","0.264")</f>
        <v>0.264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HYPERLINK("http://141.218.60.56/~jnz1568/getInfo.php?workbook=16_08.xlsx&amp;sheet=U0&amp;row=6652&amp;col=6&amp;number=3.8&amp;sourceID=14","3.8")</f>
        <v>3.8</v>
      </c>
      <c r="G6652" s="4" t="str">
        <f>HYPERLINK("http://141.218.60.56/~jnz1568/getInfo.php?workbook=16_08.xlsx&amp;sheet=U0&amp;row=6652&amp;col=7&amp;number=0.264&amp;sourceID=14","0.264")</f>
        <v>0.264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HYPERLINK("http://141.218.60.56/~jnz1568/getInfo.php?workbook=16_08.xlsx&amp;sheet=U0&amp;row=6653&amp;col=6&amp;number=3.9&amp;sourceID=14","3.9")</f>
        <v>3.9</v>
      </c>
      <c r="G6653" s="4" t="str">
        <f>HYPERLINK("http://141.218.60.56/~jnz1568/getInfo.php?workbook=16_08.xlsx&amp;sheet=U0&amp;row=6653&amp;col=7&amp;number=0.264&amp;sourceID=14","0.264")</f>
        <v>0.264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HYPERLINK("http://141.218.60.56/~jnz1568/getInfo.php?workbook=16_08.xlsx&amp;sheet=U0&amp;row=6654&amp;col=6&amp;number=4&amp;sourceID=14","4")</f>
        <v>4</v>
      </c>
      <c r="G6654" s="4" t="str">
        <f>HYPERLINK("http://141.218.60.56/~jnz1568/getInfo.php?workbook=16_08.xlsx&amp;sheet=U0&amp;row=6654&amp;col=7&amp;number=0.264&amp;sourceID=14","0.264")</f>
        <v>0.264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HYPERLINK("http://141.218.60.56/~jnz1568/getInfo.php?workbook=16_08.xlsx&amp;sheet=U0&amp;row=6655&amp;col=6&amp;number=4.1&amp;sourceID=14","4.1")</f>
        <v>4.1</v>
      </c>
      <c r="G6655" s="4" t="str">
        <f>HYPERLINK("http://141.218.60.56/~jnz1568/getInfo.php?workbook=16_08.xlsx&amp;sheet=U0&amp;row=6655&amp;col=7&amp;number=0.265&amp;sourceID=14","0.265")</f>
        <v>0.265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HYPERLINK("http://141.218.60.56/~jnz1568/getInfo.php?workbook=16_08.xlsx&amp;sheet=U0&amp;row=6656&amp;col=6&amp;number=4.2&amp;sourceID=14","4.2")</f>
        <v>4.2</v>
      </c>
      <c r="G6656" s="4" t="str">
        <f>HYPERLINK("http://141.218.60.56/~jnz1568/getInfo.php?workbook=16_08.xlsx&amp;sheet=U0&amp;row=6656&amp;col=7&amp;number=0.265&amp;sourceID=14","0.265")</f>
        <v>0.265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HYPERLINK("http://141.218.60.56/~jnz1568/getInfo.php?workbook=16_08.xlsx&amp;sheet=U0&amp;row=6657&amp;col=6&amp;number=4.3&amp;sourceID=14","4.3")</f>
        <v>4.3</v>
      </c>
      <c r="G6657" s="4" t="str">
        <f>HYPERLINK("http://141.218.60.56/~jnz1568/getInfo.php?workbook=16_08.xlsx&amp;sheet=U0&amp;row=6657&amp;col=7&amp;number=0.265&amp;sourceID=14","0.265")</f>
        <v>0.265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HYPERLINK("http://141.218.60.56/~jnz1568/getInfo.php?workbook=16_08.xlsx&amp;sheet=U0&amp;row=6658&amp;col=6&amp;number=4.4&amp;sourceID=14","4.4")</f>
        <v>4.4</v>
      </c>
      <c r="G6658" s="4" t="str">
        <f>HYPERLINK("http://141.218.60.56/~jnz1568/getInfo.php?workbook=16_08.xlsx&amp;sheet=U0&amp;row=6658&amp;col=7&amp;number=0.266&amp;sourceID=14","0.266")</f>
        <v>0.266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HYPERLINK("http://141.218.60.56/~jnz1568/getInfo.php?workbook=16_08.xlsx&amp;sheet=U0&amp;row=6659&amp;col=6&amp;number=4.5&amp;sourceID=14","4.5")</f>
        <v>4.5</v>
      </c>
      <c r="G6659" s="4" t="str">
        <f>HYPERLINK("http://141.218.60.56/~jnz1568/getInfo.php?workbook=16_08.xlsx&amp;sheet=U0&amp;row=6659&amp;col=7&amp;number=0.267&amp;sourceID=14","0.267")</f>
        <v>0.267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HYPERLINK("http://141.218.60.56/~jnz1568/getInfo.php?workbook=16_08.xlsx&amp;sheet=U0&amp;row=6660&amp;col=6&amp;number=4.6&amp;sourceID=14","4.6")</f>
        <v>4.6</v>
      </c>
      <c r="G6660" s="4" t="str">
        <f>HYPERLINK("http://141.218.60.56/~jnz1568/getInfo.php?workbook=16_08.xlsx&amp;sheet=U0&amp;row=6660&amp;col=7&amp;number=0.268&amp;sourceID=14","0.268")</f>
        <v>0.268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HYPERLINK("http://141.218.60.56/~jnz1568/getInfo.php?workbook=16_08.xlsx&amp;sheet=U0&amp;row=6661&amp;col=6&amp;number=4.7&amp;sourceID=14","4.7")</f>
        <v>4.7</v>
      </c>
      <c r="G6661" s="4" t="str">
        <f>HYPERLINK("http://141.218.60.56/~jnz1568/getInfo.php?workbook=16_08.xlsx&amp;sheet=U0&amp;row=6661&amp;col=7&amp;number=0.269&amp;sourceID=14","0.269")</f>
        <v>0.269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HYPERLINK("http://141.218.60.56/~jnz1568/getInfo.php?workbook=16_08.xlsx&amp;sheet=U0&amp;row=6662&amp;col=6&amp;number=4.8&amp;sourceID=14","4.8")</f>
        <v>4.8</v>
      </c>
      <c r="G6662" s="4" t="str">
        <f>HYPERLINK("http://141.218.60.56/~jnz1568/getInfo.php?workbook=16_08.xlsx&amp;sheet=U0&amp;row=6662&amp;col=7&amp;number=0.271&amp;sourceID=14","0.271")</f>
        <v>0.271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HYPERLINK("http://141.218.60.56/~jnz1568/getInfo.php?workbook=16_08.xlsx&amp;sheet=U0&amp;row=6663&amp;col=6&amp;number=4.9&amp;sourceID=14","4.9")</f>
        <v>4.9</v>
      </c>
      <c r="G6663" s="4" t="str">
        <f>HYPERLINK("http://141.218.60.56/~jnz1568/getInfo.php?workbook=16_08.xlsx&amp;sheet=U0&amp;row=6663&amp;col=7&amp;number=0.273&amp;sourceID=14","0.273")</f>
        <v>0.273</v>
      </c>
    </row>
    <row r="6664" spans="1:7">
      <c r="A6664" s="3">
        <v>16</v>
      </c>
      <c r="B6664" s="3">
        <v>8</v>
      </c>
      <c r="C6664" s="3">
        <v>4</v>
      </c>
      <c r="D6664" s="3">
        <v>86</v>
      </c>
      <c r="E6664" s="3">
        <v>1</v>
      </c>
      <c r="F6664" s="4" t="str">
        <f>HYPERLINK("http://141.218.60.56/~jnz1568/getInfo.php?workbook=16_08.xlsx&amp;sheet=U0&amp;row=6664&amp;col=6&amp;number=3&amp;sourceID=14","3")</f>
        <v>3</v>
      </c>
      <c r="G6664" s="4" t="str">
        <f>HYPERLINK("http://141.218.60.56/~jnz1568/getInfo.php?workbook=16_08.xlsx&amp;sheet=U0&amp;row=6664&amp;col=7&amp;number=0.00894&amp;sourceID=14","0.00894")</f>
        <v>0.00894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HYPERLINK("http://141.218.60.56/~jnz1568/getInfo.php?workbook=16_08.xlsx&amp;sheet=U0&amp;row=6665&amp;col=6&amp;number=3.1&amp;sourceID=14","3.1")</f>
        <v>3.1</v>
      </c>
      <c r="G6665" s="4" t="str">
        <f>HYPERLINK("http://141.218.60.56/~jnz1568/getInfo.php?workbook=16_08.xlsx&amp;sheet=U0&amp;row=6665&amp;col=7&amp;number=0.00894&amp;sourceID=14","0.00894")</f>
        <v>0.00894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HYPERLINK("http://141.218.60.56/~jnz1568/getInfo.php?workbook=16_08.xlsx&amp;sheet=U0&amp;row=6666&amp;col=6&amp;number=3.2&amp;sourceID=14","3.2")</f>
        <v>3.2</v>
      </c>
      <c r="G6666" s="4" t="str">
        <f>HYPERLINK("http://141.218.60.56/~jnz1568/getInfo.php?workbook=16_08.xlsx&amp;sheet=U0&amp;row=6666&amp;col=7&amp;number=0.00894&amp;sourceID=14","0.00894")</f>
        <v>0.00894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HYPERLINK("http://141.218.60.56/~jnz1568/getInfo.php?workbook=16_08.xlsx&amp;sheet=U0&amp;row=6667&amp;col=6&amp;number=3.3&amp;sourceID=14","3.3")</f>
        <v>3.3</v>
      </c>
      <c r="G6667" s="4" t="str">
        <f>HYPERLINK("http://141.218.60.56/~jnz1568/getInfo.php?workbook=16_08.xlsx&amp;sheet=U0&amp;row=6667&amp;col=7&amp;number=0.00894&amp;sourceID=14","0.00894")</f>
        <v>0.00894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HYPERLINK("http://141.218.60.56/~jnz1568/getInfo.php?workbook=16_08.xlsx&amp;sheet=U0&amp;row=6668&amp;col=6&amp;number=3.4&amp;sourceID=14","3.4")</f>
        <v>3.4</v>
      </c>
      <c r="G6668" s="4" t="str">
        <f>HYPERLINK("http://141.218.60.56/~jnz1568/getInfo.php?workbook=16_08.xlsx&amp;sheet=U0&amp;row=6668&amp;col=7&amp;number=0.00894&amp;sourceID=14","0.00894")</f>
        <v>0.00894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HYPERLINK("http://141.218.60.56/~jnz1568/getInfo.php?workbook=16_08.xlsx&amp;sheet=U0&amp;row=6669&amp;col=6&amp;number=3.5&amp;sourceID=14","3.5")</f>
        <v>3.5</v>
      </c>
      <c r="G6669" s="4" t="str">
        <f>HYPERLINK("http://141.218.60.56/~jnz1568/getInfo.php?workbook=16_08.xlsx&amp;sheet=U0&amp;row=6669&amp;col=7&amp;number=0.00895&amp;sourceID=14","0.00895")</f>
        <v>0.00895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HYPERLINK("http://141.218.60.56/~jnz1568/getInfo.php?workbook=16_08.xlsx&amp;sheet=U0&amp;row=6670&amp;col=6&amp;number=3.6&amp;sourceID=14","3.6")</f>
        <v>3.6</v>
      </c>
      <c r="G6670" s="4" t="str">
        <f>HYPERLINK("http://141.218.60.56/~jnz1568/getInfo.php?workbook=16_08.xlsx&amp;sheet=U0&amp;row=6670&amp;col=7&amp;number=0.00895&amp;sourceID=14","0.00895")</f>
        <v>0.00895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HYPERLINK("http://141.218.60.56/~jnz1568/getInfo.php?workbook=16_08.xlsx&amp;sheet=U0&amp;row=6671&amp;col=6&amp;number=3.7&amp;sourceID=14","3.7")</f>
        <v>3.7</v>
      </c>
      <c r="G6671" s="4" t="str">
        <f>HYPERLINK("http://141.218.60.56/~jnz1568/getInfo.php?workbook=16_08.xlsx&amp;sheet=U0&amp;row=6671&amp;col=7&amp;number=0.00895&amp;sourceID=14","0.00895")</f>
        <v>0.00895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HYPERLINK("http://141.218.60.56/~jnz1568/getInfo.php?workbook=16_08.xlsx&amp;sheet=U0&amp;row=6672&amp;col=6&amp;number=3.8&amp;sourceID=14","3.8")</f>
        <v>3.8</v>
      </c>
      <c r="G6672" s="4" t="str">
        <f>HYPERLINK("http://141.218.60.56/~jnz1568/getInfo.php?workbook=16_08.xlsx&amp;sheet=U0&amp;row=6672&amp;col=7&amp;number=0.00895&amp;sourceID=14","0.00895")</f>
        <v>0.00895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HYPERLINK("http://141.218.60.56/~jnz1568/getInfo.php?workbook=16_08.xlsx&amp;sheet=U0&amp;row=6673&amp;col=6&amp;number=3.9&amp;sourceID=14","3.9")</f>
        <v>3.9</v>
      </c>
      <c r="G6673" s="4" t="str">
        <f>HYPERLINK("http://141.218.60.56/~jnz1568/getInfo.php?workbook=16_08.xlsx&amp;sheet=U0&amp;row=6673&amp;col=7&amp;number=0.00896&amp;sourceID=14","0.00896")</f>
        <v>0.00896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HYPERLINK("http://141.218.60.56/~jnz1568/getInfo.php?workbook=16_08.xlsx&amp;sheet=U0&amp;row=6674&amp;col=6&amp;number=4&amp;sourceID=14","4")</f>
        <v>4</v>
      </c>
      <c r="G6674" s="4" t="str">
        <f>HYPERLINK("http://141.218.60.56/~jnz1568/getInfo.php?workbook=16_08.xlsx&amp;sheet=U0&amp;row=6674&amp;col=7&amp;number=0.00896&amp;sourceID=14","0.00896")</f>
        <v>0.00896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HYPERLINK("http://141.218.60.56/~jnz1568/getInfo.php?workbook=16_08.xlsx&amp;sheet=U0&amp;row=6675&amp;col=6&amp;number=4.1&amp;sourceID=14","4.1")</f>
        <v>4.1</v>
      </c>
      <c r="G6675" s="4" t="str">
        <f>HYPERLINK("http://141.218.60.56/~jnz1568/getInfo.php?workbook=16_08.xlsx&amp;sheet=U0&amp;row=6675&amp;col=7&amp;number=0.00897&amp;sourceID=14","0.00897")</f>
        <v>0.00897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HYPERLINK("http://141.218.60.56/~jnz1568/getInfo.php?workbook=16_08.xlsx&amp;sheet=U0&amp;row=6676&amp;col=6&amp;number=4.2&amp;sourceID=14","4.2")</f>
        <v>4.2</v>
      </c>
      <c r="G6676" s="4" t="str">
        <f>HYPERLINK("http://141.218.60.56/~jnz1568/getInfo.php?workbook=16_08.xlsx&amp;sheet=U0&amp;row=6676&amp;col=7&amp;number=0.00898&amp;sourceID=14","0.00898")</f>
        <v>0.00898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HYPERLINK("http://141.218.60.56/~jnz1568/getInfo.php?workbook=16_08.xlsx&amp;sheet=U0&amp;row=6677&amp;col=6&amp;number=4.3&amp;sourceID=14","4.3")</f>
        <v>4.3</v>
      </c>
      <c r="G6677" s="4" t="str">
        <f>HYPERLINK("http://141.218.60.56/~jnz1568/getInfo.php?workbook=16_08.xlsx&amp;sheet=U0&amp;row=6677&amp;col=7&amp;number=0.00899&amp;sourceID=14","0.00899")</f>
        <v>0.00899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HYPERLINK("http://141.218.60.56/~jnz1568/getInfo.php?workbook=16_08.xlsx&amp;sheet=U0&amp;row=6678&amp;col=6&amp;number=4.4&amp;sourceID=14","4.4")</f>
        <v>4.4</v>
      </c>
      <c r="G6678" s="4" t="str">
        <f>HYPERLINK("http://141.218.60.56/~jnz1568/getInfo.php?workbook=16_08.xlsx&amp;sheet=U0&amp;row=6678&amp;col=7&amp;number=0.009&amp;sourceID=14","0.009")</f>
        <v>0.009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HYPERLINK("http://141.218.60.56/~jnz1568/getInfo.php?workbook=16_08.xlsx&amp;sheet=U0&amp;row=6679&amp;col=6&amp;number=4.5&amp;sourceID=14","4.5")</f>
        <v>4.5</v>
      </c>
      <c r="G6679" s="4" t="str">
        <f>HYPERLINK("http://141.218.60.56/~jnz1568/getInfo.php?workbook=16_08.xlsx&amp;sheet=U0&amp;row=6679&amp;col=7&amp;number=0.00902&amp;sourceID=14","0.00902")</f>
        <v>0.00902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HYPERLINK("http://141.218.60.56/~jnz1568/getInfo.php?workbook=16_08.xlsx&amp;sheet=U0&amp;row=6680&amp;col=6&amp;number=4.6&amp;sourceID=14","4.6")</f>
        <v>4.6</v>
      </c>
      <c r="G6680" s="4" t="str">
        <f>HYPERLINK("http://141.218.60.56/~jnz1568/getInfo.php?workbook=16_08.xlsx&amp;sheet=U0&amp;row=6680&amp;col=7&amp;number=0.00904&amp;sourceID=14","0.00904")</f>
        <v>0.00904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HYPERLINK("http://141.218.60.56/~jnz1568/getInfo.php?workbook=16_08.xlsx&amp;sheet=U0&amp;row=6681&amp;col=6&amp;number=4.7&amp;sourceID=14","4.7")</f>
        <v>4.7</v>
      </c>
      <c r="G6681" s="4" t="str">
        <f>HYPERLINK("http://141.218.60.56/~jnz1568/getInfo.php?workbook=16_08.xlsx&amp;sheet=U0&amp;row=6681&amp;col=7&amp;number=0.00907&amp;sourceID=14","0.00907")</f>
        <v>0.00907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HYPERLINK("http://141.218.60.56/~jnz1568/getInfo.php?workbook=16_08.xlsx&amp;sheet=U0&amp;row=6682&amp;col=6&amp;number=4.8&amp;sourceID=14","4.8")</f>
        <v>4.8</v>
      </c>
      <c r="G6682" s="4" t="str">
        <f>HYPERLINK("http://141.218.60.56/~jnz1568/getInfo.php?workbook=16_08.xlsx&amp;sheet=U0&amp;row=6682&amp;col=7&amp;number=0.0091&amp;sourceID=14","0.0091")</f>
        <v>0.0091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HYPERLINK("http://141.218.60.56/~jnz1568/getInfo.php?workbook=16_08.xlsx&amp;sheet=U0&amp;row=6683&amp;col=6&amp;number=4.9&amp;sourceID=14","4.9")</f>
        <v>4.9</v>
      </c>
      <c r="G6683" s="4" t="str">
        <f>HYPERLINK("http://141.218.60.56/~jnz1568/getInfo.php?workbook=16_08.xlsx&amp;sheet=U0&amp;row=6683&amp;col=7&amp;number=0.00915&amp;sourceID=14","0.00915")</f>
        <v>0.00915</v>
      </c>
    </row>
    <row r="6684" spans="1:7">
      <c r="A6684" s="3">
        <v>16</v>
      </c>
      <c r="B6684" s="3">
        <v>8</v>
      </c>
      <c r="C6684" s="3">
        <v>5</v>
      </c>
      <c r="D6684" s="3">
        <v>6</v>
      </c>
      <c r="E6684" s="3">
        <v>1</v>
      </c>
      <c r="F6684" s="4" t="str">
        <f>HYPERLINK("http://141.218.60.56/~jnz1568/getInfo.php?workbook=16_08.xlsx&amp;sheet=U0&amp;row=6684&amp;col=6&amp;number=3&amp;sourceID=14","3")</f>
        <v>3</v>
      </c>
      <c r="G6684" s="4" t="str">
        <f>HYPERLINK("http://141.218.60.56/~jnz1568/getInfo.php?workbook=16_08.xlsx&amp;sheet=U0&amp;row=6684&amp;col=7&amp;number=0.0126&amp;sourceID=14","0.0126")</f>
        <v>0.0126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HYPERLINK("http://141.218.60.56/~jnz1568/getInfo.php?workbook=16_08.xlsx&amp;sheet=U0&amp;row=6685&amp;col=6&amp;number=3.1&amp;sourceID=14","3.1")</f>
        <v>3.1</v>
      </c>
      <c r="G6685" s="4" t="str">
        <f>HYPERLINK("http://141.218.60.56/~jnz1568/getInfo.php?workbook=16_08.xlsx&amp;sheet=U0&amp;row=6685&amp;col=7&amp;number=0.0126&amp;sourceID=14","0.0126")</f>
        <v>0.0126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HYPERLINK("http://141.218.60.56/~jnz1568/getInfo.php?workbook=16_08.xlsx&amp;sheet=U0&amp;row=6686&amp;col=6&amp;number=3.2&amp;sourceID=14","3.2")</f>
        <v>3.2</v>
      </c>
      <c r="G6686" s="4" t="str">
        <f>HYPERLINK("http://141.218.60.56/~jnz1568/getInfo.php?workbook=16_08.xlsx&amp;sheet=U0&amp;row=6686&amp;col=7&amp;number=0.0126&amp;sourceID=14","0.0126")</f>
        <v>0.0126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HYPERLINK("http://141.218.60.56/~jnz1568/getInfo.php?workbook=16_08.xlsx&amp;sheet=U0&amp;row=6687&amp;col=6&amp;number=3.3&amp;sourceID=14","3.3")</f>
        <v>3.3</v>
      </c>
      <c r="G6687" s="4" t="str">
        <f>HYPERLINK("http://141.218.60.56/~jnz1568/getInfo.php?workbook=16_08.xlsx&amp;sheet=U0&amp;row=6687&amp;col=7&amp;number=0.0126&amp;sourceID=14","0.0126")</f>
        <v>0.0126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HYPERLINK("http://141.218.60.56/~jnz1568/getInfo.php?workbook=16_08.xlsx&amp;sheet=U0&amp;row=6688&amp;col=6&amp;number=3.4&amp;sourceID=14","3.4")</f>
        <v>3.4</v>
      </c>
      <c r="G6688" s="4" t="str">
        <f>HYPERLINK("http://141.218.60.56/~jnz1568/getInfo.php?workbook=16_08.xlsx&amp;sheet=U0&amp;row=6688&amp;col=7&amp;number=0.0126&amp;sourceID=14","0.0126")</f>
        <v>0.0126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HYPERLINK("http://141.218.60.56/~jnz1568/getInfo.php?workbook=16_08.xlsx&amp;sheet=U0&amp;row=6689&amp;col=6&amp;number=3.5&amp;sourceID=14","3.5")</f>
        <v>3.5</v>
      </c>
      <c r="G6689" s="4" t="str">
        <f>HYPERLINK("http://141.218.60.56/~jnz1568/getInfo.php?workbook=16_08.xlsx&amp;sheet=U0&amp;row=6689&amp;col=7&amp;number=0.0126&amp;sourceID=14","0.0126")</f>
        <v>0.0126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HYPERLINK("http://141.218.60.56/~jnz1568/getInfo.php?workbook=16_08.xlsx&amp;sheet=U0&amp;row=6690&amp;col=6&amp;number=3.6&amp;sourceID=14","3.6")</f>
        <v>3.6</v>
      </c>
      <c r="G6690" s="4" t="str">
        <f>HYPERLINK("http://141.218.60.56/~jnz1568/getInfo.php?workbook=16_08.xlsx&amp;sheet=U0&amp;row=6690&amp;col=7&amp;number=0.0126&amp;sourceID=14","0.0126")</f>
        <v>0.0126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HYPERLINK("http://141.218.60.56/~jnz1568/getInfo.php?workbook=16_08.xlsx&amp;sheet=U0&amp;row=6691&amp;col=6&amp;number=3.7&amp;sourceID=14","3.7")</f>
        <v>3.7</v>
      </c>
      <c r="G6691" s="4" t="str">
        <f>HYPERLINK("http://141.218.60.56/~jnz1568/getInfo.php?workbook=16_08.xlsx&amp;sheet=U0&amp;row=6691&amp;col=7&amp;number=0.0126&amp;sourceID=14","0.0126")</f>
        <v>0.0126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HYPERLINK("http://141.218.60.56/~jnz1568/getInfo.php?workbook=16_08.xlsx&amp;sheet=U0&amp;row=6692&amp;col=6&amp;number=3.8&amp;sourceID=14","3.8")</f>
        <v>3.8</v>
      </c>
      <c r="G6692" s="4" t="str">
        <f>HYPERLINK("http://141.218.60.56/~jnz1568/getInfo.php?workbook=16_08.xlsx&amp;sheet=U0&amp;row=6692&amp;col=7&amp;number=0.0125&amp;sourceID=14","0.0125")</f>
        <v>0.0125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HYPERLINK("http://141.218.60.56/~jnz1568/getInfo.php?workbook=16_08.xlsx&amp;sheet=U0&amp;row=6693&amp;col=6&amp;number=3.9&amp;sourceID=14","3.9")</f>
        <v>3.9</v>
      </c>
      <c r="G6693" s="4" t="str">
        <f>HYPERLINK("http://141.218.60.56/~jnz1568/getInfo.php?workbook=16_08.xlsx&amp;sheet=U0&amp;row=6693&amp;col=7&amp;number=0.0125&amp;sourceID=14","0.0125")</f>
        <v>0.0125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HYPERLINK("http://141.218.60.56/~jnz1568/getInfo.php?workbook=16_08.xlsx&amp;sheet=U0&amp;row=6694&amp;col=6&amp;number=4&amp;sourceID=14","4")</f>
        <v>4</v>
      </c>
      <c r="G6694" s="4" t="str">
        <f>HYPERLINK("http://141.218.60.56/~jnz1568/getInfo.php?workbook=16_08.xlsx&amp;sheet=U0&amp;row=6694&amp;col=7&amp;number=0.0125&amp;sourceID=14","0.0125")</f>
        <v>0.0125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HYPERLINK("http://141.218.60.56/~jnz1568/getInfo.php?workbook=16_08.xlsx&amp;sheet=U0&amp;row=6695&amp;col=6&amp;number=4.1&amp;sourceID=14","4.1")</f>
        <v>4.1</v>
      </c>
      <c r="G6695" s="4" t="str">
        <f>HYPERLINK("http://141.218.60.56/~jnz1568/getInfo.php?workbook=16_08.xlsx&amp;sheet=U0&amp;row=6695&amp;col=7&amp;number=0.0125&amp;sourceID=14","0.0125")</f>
        <v>0.0125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HYPERLINK("http://141.218.60.56/~jnz1568/getInfo.php?workbook=16_08.xlsx&amp;sheet=U0&amp;row=6696&amp;col=6&amp;number=4.2&amp;sourceID=14","4.2")</f>
        <v>4.2</v>
      </c>
      <c r="G6696" s="4" t="str">
        <f>HYPERLINK("http://141.218.60.56/~jnz1568/getInfo.php?workbook=16_08.xlsx&amp;sheet=U0&amp;row=6696&amp;col=7&amp;number=0.0125&amp;sourceID=14","0.0125")</f>
        <v>0.0125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HYPERLINK("http://141.218.60.56/~jnz1568/getInfo.php?workbook=16_08.xlsx&amp;sheet=U0&amp;row=6697&amp;col=6&amp;number=4.3&amp;sourceID=14","4.3")</f>
        <v>4.3</v>
      </c>
      <c r="G6697" s="4" t="str">
        <f>HYPERLINK("http://141.218.60.56/~jnz1568/getInfo.php?workbook=16_08.xlsx&amp;sheet=U0&amp;row=6697&amp;col=7&amp;number=0.0125&amp;sourceID=14","0.0125")</f>
        <v>0.0125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HYPERLINK("http://141.218.60.56/~jnz1568/getInfo.php?workbook=16_08.xlsx&amp;sheet=U0&amp;row=6698&amp;col=6&amp;number=4.4&amp;sourceID=14","4.4")</f>
        <v>4.4</v>
      </c>
      <c r="G6698" s="4" t="str">
        <f>HYPERLINK("http://141.218.60.56/~jnz1568/getInfo.php?workbook=16_08.xlsx&amp;sheet=U0&amp;row=6698&amp;col=7&amp;number=0.0125&amp;sourceID=14","0.0125")</f>
        <v>0.0125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HYPERLINK("http://141.218.60.56/~jnz1568/getInfo.php?workbook=16_08.xlsx&amp;sheet=U0&amp;row=6699&amp;col=6&amp;number=4.5&amp;sourceID=14","4.5")</f>
        <v>4.5</v>
      </c>
      <c r="G6699" s="4" t="str">
        <f>HYPERLINK("http://141.218.60.56/~jnz1568/getInfo.php?workbook=16_08.xlsx&amp;sheet=U0&amp;row=6699&amp;col=7&amp;number=0.0125&amp;sourceID=14","0.0125")</f>
        <v>0.0125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HYPERLINK("http://141.218.60.56/~jnz1568/getInfo.php?workbook=16_08.xlsx&amp;sheet=U0&amp;row=6700&amp;col=6&amp;number=4.6&amp;sourceID=14","4.6")</f>
        <v>4.6</v>
      </c>
      <c r="G6700" s="4" t="str">
        <f>HYPERLINK("http://141.218.60.56/~jnz1568/getInfo.php?workbook=16_08.xlsx&amp;sheet=U0&amp;row=6700&amp;col=7&amp;number=0.0125&amp;sourceID=14","0.0125")</f>
        <v>0.0125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HYPERLINK("http://141.218.60.56/~jnz1568/getInfo.php?workbook=16_08.xlsx&amp;sheet=U0&amp;row=6701&amp;col=6&amp;number=4.7&amp;sourceID=14","4.7")</f>
        <v>4.7</v>
      </c>
      <c r="G6701" s="4" t="str">
        <f>HYPERLINK("http://141.218.60.56/~jnz1568/getInfo.php?workbook=16_08.xlsx&amp;sheet=U0&amp;row=6701&amp;col=7&amp;number=0.0125&amp;sourceID=14","0.0125")</f>
        <v>0.0125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HYPERLINK("http://141.218.60.56/~jnz1568/getInfo.php?workbook=16_08.xlsx&amp;sheet=U0&amp;row=6702&amp;col=6&amp;number=4.8&amp;sourceID=14","4.8")</f>
        <v>4.8</v>
      </c>
      <c r="G6702" s="4" t="str">
        <f>HYPERLINK("http://141.218.60.56/~jnz1568/getInfo.php?workbook=16_08.xlsx&amp;sheet=U0&amp;row=6702&amp;col=7&amp;number=0.0124&amp;sourceID=14","0.0124")</f>
        <v>0.0124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HYPERLINK("http://141.218.60.56/~jnz1568/getInfo.php?workbook=16_08.xlsx&amp;sheet=U0&amp;row=6703&amp;col=6&amp;number=4.9&amp;sourceID=14","4.9")</f>
        <v>4.9</v>
      </c>
      <c r="G6703" s="4" t="str">
        <f>HYPERLINK("http://141.218.60.56/~jnz1568/getInfo.php?workbook=16_08.xlsx&amp;sheet=U0&amp;row=6703&amp;col=7&amp;number=0.0124&amp;sourceID=14","0.0124")</f>
        <v>0.0124</v>
      </c>
    </row>
    <row r="6704" spans="1:7">
      <c r="A6704" s="3">
        <v>16</v>
      </c>
      <c r="B6704" s="3">
        <v>8</v>
      </c>
      <c r="C6704" s="3">
        <v>5</v>
      </c>
      <c r="D6704" s="3">
        <v>7</v>
      </c>
      <c r="E6704" s="3">
        <v>1</v>
      </c>
      <c r="F6704" s="4" t="str">
        <f>HYPERLINK("http://141.218.60.56/~jnz1568/getInfo.php?workbook=16_08.xlsx&amp;sheet=U0&amp;row=6704&amp;col=6&amp;number=3&amp;sourceID=14","3")</f>
        <v>3</v>
      </c>
      <c r="G6704" s="4" t="str">
        <f>HYPERLINK("http://141.218.60.56/~jnz1568/getInfo.php?workbook=16_08.xlsx&amp;sheet=U0&amp;row=6704&amp;col=7&amp;number=0.0114&amp;sourceID=14","0.0114")</f>
        <v>0.0114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HYPERLINK("http://141.218.60.56/~jnz1568/getInfo.php?workbook=16_08.xlsx&amp;sheet=U0&amp;row=6705&amp;col=6&amp;number=3.1&amp;sourceID=14","3.1")</f>
        <v>3.1</v>
      </c>
      <c r="G6705" s="4" t="str">
        <f>HYPERLINK("http://141.218.60.56/~jnz1568/getInfo.php?workbook=16_08.xlsx&amp;sheet=U0&amp;row=6705&amp;col=7&amp;number=0.0114&amp;sourceID=14","0.0114")</f>
        <v>0.0114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HYPERLINK("http://141.218.60.56/~jnz1568/getInfo.php?workbook=16_08.xlsx&amp;sheet=U0&amp;row=6706&amp;col=6&amp;number=3.2&amp;sourceID=14","3.2")</f>
        <v>3.2</v>
      </c>
      <c r="G6706" s="4" t="str">
        <f>HYPERLINK("http://141.218.60.56/~jnz1568/getInfo.php?workbook=16_08.xlsx&amp;sheet=U0&amp;row=6706&amp;col=7&amp;number=0.0114&amp;sourceID=14","0.0114")</f>
        <v>0.0114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HYPERLINK("http://141.218.60.56/~jnz1568/getInfo.php?workbook=16_08.xlsx&amp;sheet=U0&amp;row=6707&amp;col=6&amp;number=3.3&amp;sourceID=14","3.3")</f>
        <v>3.3</v>
      </c>
      <c r="G6707" s="4" t="str">
        <f>HYPERLINK("http://141.218.60.56/~jnz1568/getInfo.php?workbook=16_08.xlsx&amp;sheet=U0&amp;row=6707&amp;col=7&amp;number=0.0114&amp;sourceID=14","0.0114")</f>
        <v>0.0114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HYPERLINK("http://141.218.60.56/~jnz1568/getInfo.php?workbook=16_08.xlsx&amp;sheet=U0&amp;row=6708&amp;col=6&amp;number=3.4&amp;sourceID=14","3.4")</f>
        <v>3.4</v>
      </c>
      <c r="G6708" s="4" t="str">
        <f>HYPERLINK("http://141.218.60.56/~jnz1568/getInfo.php?workbook=16_08.xlsx&amp;sheet=U0&amp;row=6708&amp;col=7&amp;number=0.0114&amp;sourceID=14","0.0114")</f>
        <v>0.0114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HYPERLINK("http://141.218.60.56/~jnz1568/getInfo.php?workbook=16_08.xlsx&amp;sheet=U0&amp;row=6709&amp;col=6&amp;number=3.5&amp;sourceID=14","3.5")</f>
        <v>3.5</v>
      </c>
      <c r="G6709" s="4" t="str">
        <f>HYPERLINK("http://141.218.60.56/~jnz1568/getInfo.php?workbook=16_08.xlsx&amp;sheet=U0&amp;row=6709&amp;col=7&amp;number=0.0114&amp;sourceID=14","0.0114")</f>
        <v>0.0114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HYPERLINK("http://141.218.60.56/~jnz1568/getInfo.php?workbook=16_08.xlsx&amp;sheet=U0&amp;row=6710&amp;col=6&amp;number=3.6&amp;sourceID=14","3.6")</f>
        <v>3.6</v>
      </c>
      <c r="G6710" s="4" t="str">
        <f>HYPERLINK("http://141.218.60.56/~jnz1568/getInfo.php?workbook=16_08.xlsx&amp;sheet=U0&amp;row=6710&amp;col=7&amp;number=0.0114&amp;sourceID=14","0.0114")</f>
        <v>0.0114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HYPERLINK("http://141.218.60.56/~jnz1568/getInfo.php?workbook=16_08.xlsx&amp;sheet=U0&amp;row=6711&amp;col=6&amp;number=3.7&amp;sourceID=14","3.7")</f>
        <v>3.7</v>
      </c>
      <c r="G6711" s="4" t="str">
        <f>HYPERLINK("http://141.218.60.56/~jnz1568/getInfo.php?workbook=16_08.xlsx&amp;sheet=U0&amp;row=6711&amp;col=7&amp;number=0.0114&amp;sourceID=14","0.0114")</f>
        <v>0.0114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HYPERLINK("http://141.218.60.56/~jnz1568/getInfo.php?workbook=16_08.xlsx&amp;sheet=U0&amp;row=6712&amp;col=6&amp;number=3.8&amp;sourceID=14","3.8")</f>
        <v>3.8</v>
      </c>
      <c r="G6712" s="4" t="str">
        <f>HYPERLINK("http://141.218.60.56/~jnz1568/getInfo.php?workbook=16_08.xlsx&amp;sheet=U0&amp;row=6712&amp;col=7&amp;number=0.0114&amp;sourceID=14","0.0114")</f>
        <v>0.0114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HYPERLINK("http://141.218.60.56/~jnz1568/getInfo.php?workbook=16_08.xlsx&amp;sheet=U0&amp;row=6713&amp;col=6&amp;number=3.9&amp;sourceID=14","3.9")</f>
        <v>3.9</v>
      </c>
      <c r="G6713" s="4" t="str">
        <f>HYPERLINK("http://141.218.60.56/~jnz1568/getInfo.php?workbook=16_08.xlsx&amp;sheet=U0&amp;row=6713&amp;col=7&amp;number=0.0114&amp;sourceID=14","0.0114")</f>
        <v>0.0114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HYPERLINK("http://141.218.60.56/~jnz1568/getInfo.php?workbook=16_08.xlsx&amp;sheet=U0&amp;row=6714&amp;col=6&amp;number=4&amp;sourceID=14","4")</f>
        <v>4</v>
      </c>
      <c r="G6714" s="4" t="str">
        <f>HYPERLINK("http://141.218.60.56/~jnz1568/getInfo.php?workbook=16_08.xlsx&amp;sheet=U0&amp;row=6714&amp;col=7&amp;number=0.0114&amp;sourceID=14","0.0114")</f>
        <v>0.0114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HYPERLINK("http://141.218.60.56/~jnz1568/getInfo.php?workbook=16_08.xlsx&amp;sheet=U0&amp;row=6715&amp;col=6&amp;number=4.1&amp;sourceID=14","4.1")</f>
        <v>4.1</v>
      </c>
      <c r="G6715" s="4" t="str">
        <f>HYPERLINK("http://141.218.60.56/~jnz1568/getInfo.php?workbook=16_08.xlsx&amp;sheet=U0&amp;row=6715&amp;col=7&amp;number=0.0114&amp;sourceID=14","0.0114")</f>
        <v>0.0114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HYPERLINK("http://141.218.60.56/~jnz1568/getInfo.php?workbook=16_08.xlsx&amp;sheet=U0&amp;row=6716&amp;col=6&amp;number=4.2&amp;sourceID=14","4.2")</f>
        <v>4.2</v>
      </c>
      <c r="G6716" s="4" t="str">
        <f>HYPERLINK("http://141.218.60.56/~jnz1568/getInfo.php?workbook=16_08.xlsx&amp;sheet=U0&amp;row=6716&amp;col=7&amp;number=0.0114&amp;sourceID=14","0.0114")</f>
        <v>0.0114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HYPERLINK("http://141.218.60.56/~jnz1568/getInfo.php?workbook=16_08.xlsx&amp;sheet=U0&amp;row=6717&amp;col=6&amp;number=4.3&amp;sourceID=14","4.3")</f>
        <v>4.3</v>
      </c>
      <c r="G6717" s="4" t="str">
        <f>HYPERLINK("http://141.218.60.56/~jnz1568/getInfo.php?workbook=16_08.xlsx&amp;sheet=U0&amp;row=6717&amp;col=7&amp;number=0.0114&amp;sourceID=14","0.0114")</f>
        <v>0.0114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HYPERLINK("http://141.218.60.56/~jnz1568/getInfo.php?workbook=16_08.xlsx&amp;sheet=U0&amp;row=6718&amp;col=6&amp;number=4.4&amp;sourceID=14","4.4")</f>
        <v>4.4</v>
      </c>
      <c r="G6718" s="4" t="str">
        <f>HYPERLINK("http://141.218.60.56/~jnz1568/getInfo.php?workbook=16_08.xlsx&amp;sheet=U0&amp;row=6718&amp;col=7&amp;number=0.0114&amp;sourceID=14","0.0114")</f>
        <v>0.0114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HYPERLINK("http://141.218.60.56/~jnz1568/getInfo.php?workbook=16_08.xlsx&amp;sheet=U0&amp;row=6719&amp;col=6&amp;number=4.5&amp;sourceID=14","4.5")</f>
        <v>4.5</v>
      </c>
      <c r="G6719" s="4" t="str">
        <f>HYPERLINK("http://141.218.60.56/~jnz1568/getInfo.php?workbook=16_08.xlsx&amp;sheet=U0&amp;row=6719&amp;col=7&amp;number=0.0114&amp;sourceID=14","0.0114")</f>
        <v>0.0114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HYPERLINK("http://141.218.60.56/~jnz1568/getInfo.php?workbook=16_08.xlsx&amp;sheet=U0&amp;row=6720&amp;col=6&amp;number=4.6&amp;sourceID=14","4.6")</f>
        <v>4.6</v>
      </c>
      <c r="G6720" s="4" t="str">
        <f>HYPERLINK("http://141.218.60.56/~jnz1568/getInfo.php?workbook=16_08.xlsx&amp;sheet=U0&amp;row=6720&amp;col=7&amp;number=0.0114&amp;sourceID=14","0.0114")</f>
        <v>0.0114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HYPERLINK("http://141.218.60.56/~jnz1568/getInfo.php?workbook=16_08.xlsx&amp;sheet=U0&amp;row=6721&amp;col=6&amp;number=4.7&amp;sourceID=14","4.7")</f>
        <v>4.7</v>
      </c>
      <c r="G6721" s="4" t="str">
        <f>HYPERLINK("http://141.218.60.56/~jnz1568/getInfo.php?workbook=16_08.xlsx&amp;sheet=U0&amp;row=6721&amp;col=7&amp;number=0.0114&amp;sourceID=14","0.0114")</f>
        <v>0.0114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HYPERLINK("http://141.218.60.56/~jnz1568/getInfo.php?workbook=16_08.xlsx&amp;sheet=U0&amp;row=6722&amp;col=6&amp;number=4.8&amp;sourceID=14","4.8")</f>
        <v>4.8</v>
      </c>
      <c r="G6722" s="4" t="str">
        <f>HYPERLINK("http://141.218.60.56/~jnz1568/getInfo.php?workbook=16_08.xlsx&amp;sheet=U0&amp;row=6722&amp;col=7&amp;number=0.0114&amp;sourceID=14","0.0114")</f>
        <v>0.0114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HYPERLINK("http://141.218.60.56/~jnz1568/getInfo.php?workbook=16_08.xlsx&amp;sheet=U0&amp;row=6723&amp;col=6&amp;number=4.9&amp;sourceID=14","4.9")</f>
        <v>4.9</v>
      </c>
      <c r="G6723" s="4" t="str">
        <f>HYPERLINK("http://141.218.60.56/~jnz1568/getInfo.php?workbook=16_08.xlsx&amp;sheet=U0&amp;row=6723&amp;col=7&amp;number=0.0113&amp;sourceID=14","0.0113")</f>
        <v>0.0113</v>
      </c>
    </row>
    <row r="6724" spans="1:7">
      <c r="A6724" s="3">
        <v>16</v>
      </c>
      <c r="B6724" s="3">
        <v>8</v>
      </c>
      <c r="C6724" s="3">
        <v>5</v>
      </c>
      <c r="D6724" s="3">
        <v>8</v>
      </c>
      <c r="E6724" s="3">
        <v>1</v>
      </c>
      <c r="F6724" s="4" t="str">
        <f>HYPERLINK("http://141.218.60.56/~jnz1568/getInfo.php?workbook=16_08.xlsx&amp;sheet=U0&amp;row=6724&amp;col=6&amp;number=3&amp;sourceID=14","3")</f>
        <v>3</v>
      </c>
      <c r="G6724" s="4" t="str">
        <f>HYPERLINK("http://141.218.60.56/~jnz1568/getInfo.php?workbook=16_08.xlsx&amp;sheet=U0&amp;row=6724&amp;col=7&amp;number=0.00349&amp;sourceID=14","0.00349")</f>
        <v>0.00349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HYPERLINK("http://141.218.60.56/~jnz1568/getInfo.php?workbook=16_08.xlsx&amp;sheet=U0&amp;row=6725&amp;col=6&amp;number=3.1&amp;sourceID=14","3.1")</f>
        <v>3.1</v>
      </c>
      <c r="G6725" s="4" t="str">
        <f>HYPERLINK("http://141.218.60.56/~jnz1568/getInfo.php?workbook=16_08.xlsx&amp;sheet=U0&amp;row=6725&amp;col=7&amp;number=0.00349&amp;sourceID=14","0.00349")</f>
        <v>0.00349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HYPERLINK("http://141.218.60.56/~jnz1568/getInfo.php?workbook=16_08.xlsx&amp;sheet=U0&amp;row=6726&amp;col=6&amp;number=3.2&amp;sourceID=14","3.2")</f>
        <v>3.2</v>
      </c>
      <c r="G6726" s="4" t="str">
        <f>HYPERLINK("http://141.218.60.56/~jnz1568/getInfo.php?workbook=16_08.xlsx&amp;sheet=U0&amp;row=6726&amp;col=7&amp;number=0.00349&amp;sourceID=14","0.00349")</f>
        <v>0.00349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HYPERLINK("http://141.218.60.56/~jnz1568/getInfo.php?workbook=16_08.xlsx&amp;sheet=U0&amp;row=6727&amp;col=6&amp;number=3.3&amp;sourceID=14","3.3")</f>
        <v>3.3</v>
      </c>
      <c r="G6727" s="4" t="str">
        <f>HYPERLINK("http://141.218.60.56/~jnz1568/getInfo.php?workbook=16_08.xlsx&amp;sheet=U0&amp;row=6727&amp;col=7&amp;number=0.00349&amp;sourceID=14","0.00349")</f>
        <v>0.00349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HYPERLINK("http://141.218.60.56/~jnz1568/getInfo.php?workbook=16_08.xlsx&amp;sheet=U0&amp;row=6728&amp;col=6&amp;number=3.4&amp;sourceID=14","3.4")</f>
        <v>3.4</v>
      </c>
      <c r="G6728" s="4" t="str">
        <f>HYPERLINK("http://141.218.60.56/~jnz1568/getInfo.php?workbook=16_08.xlsx&amp;sheet=U0&amp;row=6728&amp;col=7&amp;number=0.00349&amp;sourceID=14","0.00349")</f>
        <v>0.00349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HYPERLINK("http://141.218.60.56/~jnz1568/getInfo.php?workbook=16_08.xlsx&amp;sheet=U0&amp;row=6729&amp;col=6&amp;number=3.5&amp;sourceID=14","3.5")</f>
        <v>3.5</v>
      </c>
      <c r="G6729" s="4" t="str">
        <f>HYPERLINK("http://141.218.60.56/~jnz1568/getInfo.php?workbook=16_08.xlsx&amp;sheet=U0&amp;row=6729&amp;col=7&amp;number=0.00349&amp;sourceID=14","0.00349")</f>
        <v>0.00349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HYPERLINK("http://141.218.60.56/~jnz1568/getInfo.php?workbook=16_08.xlsx&amp;sheet=U0&amp;row=6730&amp;col=6&amp;number=3.6&amp;sourceID=14","3.6")</f>
        <v>3.6</v>
      </c>
      <c r="G6730" s="4" t="str">
        <f>HYPERLINK("http://141.218.60.56/~jnz1568/getInfo.php?workbook=16_08.xlsx&amp;sheet=U0&amp;row=6730&amp;col=7&amp;number=0.00349&amp;sourceID=14","0.00349")</f>
        <v>0.00349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HYPERLINK("http://141.218.60.56/~jnz1568/getInfo.php?workbook=16_08.xlsx&amp;sheet=U0&amp;row=6731&amp;col=6&amp;number=3.7&amp;sourceID=14","3.7")</f>
        <v>3.7</v>
      </c>
      <c r="G6731" s="4" t="str">
        <f>HYPERLINK("http://141.218.60.56/~jnz1568/getInfo.php?workbook=16_08.xlsx&amp;sheet=U0&amp;row=6731&amp;col=7&amp;number=0.00349&amp;sourceID=14","0.00349")</f>
        <v>0.00349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HYPERLINK("http://141.218.60.56/~jnz1568/getInfo.php?workbook=16_08.xlsx&amp;sheet=U0&amp;row=6732&amp;col=6&amp;number=3.8&amp;sourceID=14","3.8")</f>
        <v>3.8</v>
      </c>
      <c r="G6732" s="4" t="str">
        <f>HYPERLINK("http://141.218.60.56/~jnz1568/getInfo.php?workbook=16_08.xlsx&amp;sheet=U0&amp;row=6732&amp;col=7&amp;number=0.00349&amp;sourceID=14","0.00349")</f>
        <v>0.00349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HYPERLINK("http://141.218.60.56/~jnz1568/getInfo.php?workbook=16_08.xlsx&amp;sheet=U0&amp;row=6733&amp;col=6&amp;number=3.9&amp;sourceID=14","3.9")</f>
        <v>3.9</v>
      </c>
      <c r="G6733" s="4" t="str">
        <f>HYPERLINK("http://141.218.60.56/~jnz1568/getInfo.php?workbook=16_08.xlsx&amp;sheet=U0&amp;row=6733&amp;col=7&amp;number=0.00349&amp;sourceID=14","0.00349")</f>
        <v>0.00349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HYPERLINK("http://141.218.60.56/~jnz1568/getInfo.php?workbook=16_08.xlsx&amp;sheet=U0&amp;row=6734&amp;col=6&amp;number=4&amp;sourceID=14","4")</f>
        <v>4</v>
      </c>
      <c r="G6734" s="4" t="str">
        <f>HYPERLINK("http://141.218.60.56/~jnz1568/getInfo.php?workbook=16_08.xlsx&amp;sheet=U0&amp;row=6734&amp;col=7&amp;number=0.00349&amp;sourceID=14","0.00349")</f>
        <v>0.00349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HYPERLINK("http://141.218.60.56/~jnz1568/getInfo.php?workbook=16_08.xlsx&amp;sheet=U0&amp;row=6735&amp;col=6&amp;number=4.1&amp;sourceID=14","4.1")</f>
        <v>4.1</v>
      </c>
      <c r="G6735" s="4" t="str">
        <f>HYPERLINK("http://141.218.60.56/~jnz1568/getInfo.php?workbook=16_08.xlsx&amp;sheet=U0&amp;row=6735&amp;col=7&amp;number=0.00349&amp;sourceID=14","0.00349")</f>
        <v>0.00349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HYPERLINK("http://141.218.60.56/~jnz1568/getInfo.php?workbook=16_08.xlsx&amp;sheet=U0&amp;row=6736&amp;col=6&amp;number=4.2&amp;sourceID=14","4.2")</f>
        <v>4.2</v>
      </c>
      <c r="G6736" s="4" t="str">
        <f>HYPERLINK("http://141.218.60.56/~jnz1568/getInfo.php?workbook=16_08.xlsx&amp;sheet=U0&amp;row=6736&amp;col=7&amp;number=0.00348&amp;sourceID=14","0.00348")</f>
        <v>0.00348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HYPERLINK("http://141.218.60.56/~jnz1568/getInfo.php?workbook=16_08.xlsx&amp;sheet=U0&amp;row=6737&amp;col=6&amp;number=4.3&amp;sourceID=14","4.3")</f>
        <v>4.3</v>
      </c>
      <c r="G6737" s="4" t="str">
        <f>HYPERLINK("http://141.218.60.56/~jnz1568/getInfo.php?workbook=16_08.xlsx&amp;sheet=U0&amp;row=6737&amp;col=7&amp;number=0.00348&amp;sourceID=14","0.00348")</f>
        <v>0.00348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HYPERLINK("http://141.218.60.56/~jnz1568/getInfo.php?workbook=16_08.xlsx&amp;sheet=U0&amp;row=6738&amp;col=6&amp;number=4.4&amp;sourceID=14","4.4")</f>
        <v>4.4</v>
      </c>
      <c r="G6738" s="4" t="str">
        <f>HYPERLINK("http://141.218.60.56/~jnz1568/getInfo.php?workbook=16_08.xlsx&amp;sheet=U0&amp;row=6738&amp;col=7&amp;number=0.00348&amp;sourceID=14","0.00348")</f>
        <v>0.00348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HYPERLINK("http://141.218.60.56/~jnz1568/getInfo.php?workbook=16_08.xlsx&amp;sheet=U0&amp;row=6739&amp;col=6&amp;number=4.5&amp;sourceID=14","4.5")</f>
        <v>4.5</v>
      </c>
      <c r="G6739" s="4" t="str">
        <f>HYPERLINK("http://141.218.60.56/~jnz1568/getInfo.php?workbook=16_08.xlsx&amp;sheet=U0&amp;row=6739&amp;col=7&amp;number=0.00348&amp;sourceID=14","0.00348")</f>
        <v>0.00348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HYPERLINK("http://141.218.60.56/~jnz1568/getInfo.php?workbook=16_08.xlsx&amp;sheet=U0&amp;row=6740&amp;col=6&amp;number=4.6&amp;sourceID=14","4.6")</f>
        <v>4.6</v>
      </c>
      <c r="G6740" s="4" t="str">
        <f>HYPERLINK("http://141.218.60.56/~jnz1568/getInfo.php?workbook=16_08.xlsx&amp;sheet=U0&amp;row=6740&amp;col=7&amp;number=0.00347&amp;sourceID=14","0.00347")</f>
        <v>0.00347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HYPERLINK("http://141.218.60.56/~jnz1568/getInfo.php?workbook=16_08.xlsx&amp;sheet=U0&amp;row=6741&amp;col=6&amp;number=4.7&amp;sourceID=14","4.7")</f>
        <v>4.7</v>
      </c>
      <c r="G6741" s="4" t="str">
        <f>HYPERLINK("http://141.218.60.56/~jnz1568/getInfo.php?workbook=16_08.xlsx&amp;sheet=U0&amp;row=6741&amp;col=7&amp;number=0.00347&amp;sourceID=14","0.00347")</f>
        <v>0.00347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HYPERLINK("http://141.218.60.56/~jnz1568/getInfo.php?workbook=16_08.xlsx&amp;sheet=U0&amp;row=6742&amp;col=6&amp;number=4.8&amp;sourceID=14","4.8")</f>
        <v>4.8</v>
      </c>
      <c r="G6742" s="4" t="str">
        <f>HYPERLINK("http://141.218.60.56/~jnz1568/getInfo.php?workbook=16_08.xlsx&amp;sheet=U0&amp;row=6742&amp;col=7&amp;number=0.00346&amp;sourceID=14","0.00346")</f>
        <v>0.00346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HYPERLINK("http://141.218.60.56/~jnz1568/getInfo.php?workbook=16_08.xlsx&amp;sheet=U0&amp;row=6743&amp;col=6&amp;number=4.9&amp;sourceID=14","4.9")</f>
        <v>4.9</v>
      </c>
      <c r="G6743" s="4" t="str">
        <f>HYPERLINK("http://141.218.60.56/~jnz1568/getInfo.php?workbook=16_08.xlsx&amp;sheet=U0&amp;row=6743&amp;col=7&amp;number=0.00345&amp;sourceID=14","0.00345")</f>
        <v>0.00345</v>
      </c>
    </row>
    <row r="6744" spans="1:7">
      <c r="A6744" s="3">
        <v>16</v>
      </c>
      <c r="B6744" s="3">
        <v>8</v>
      </c>
      <c r="C6744" s="3">
        <v>5</v>
      </c>
      <c r="D6744" s="3">
        <v>9</v>
      </c>
      <c r="E6744" s="3">
        <v>1</v>
      </c>
      <c r="F6744" s="4" t="str">
        <f>HYPERLINK("http://141.218.60.56/~jnz1568/getInfo.php?workbook=16_08.xlsx&amp;sheet=U0&amp;row=6744&amp;col=6&amp;number=3&amp;sourceID=14","3")</f>
        <v>3</v>
      </c>
      <c r="G6744" s="4" t="str">
        <f>HYPERLINK("http://141.218.60.56/~jnz1568/getInfo.php?workbook=16_08.xlsx&amp;sheet=U0&amp;row=6744&amp;col=7&amp;number=0.127&amp;sourceID=14","0.127")</f>
        <v>0.127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HYPERLINK("http://141.218.60.56/~jnz1568/getInfo.php?workbook=16_08.xlsx&amp;sheet=U0&amp;row=6745&amp;col=6&amp;number=3.1&amp;sourceID=14","3.1")</f>
        <v>3.1</v>
      </c>
      <c r="G6745" s="4" t="str">
        <f>HYPERLINK("http://141.218.60.56/~jnz1568/getInfo.php?workbook=16_08.xlsx&amp;sheet=U0&amp;row=6745&amp;col=7&amp;number=0.127&amp;sourceID=14","0.127")</f>
        <v>0.127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HYPERLINK("http://141.218.60.56/~jnz1568/getInfo.php?workbook=16_08.xlsx&amp;sheet=U0&amp;row=6746&amp;col=6&amp;number=3.2&amp;sourceID=14","3.2")</f>
        <v>3.2</v>
      </c>
      <c r="G6746" s="4" t="str">
        <f>HYPERLINK("http://141.218.60.56/~jnz1568/getInfo.php?workbook=16_08.xlsx&amp;sheet=U0&amp;row=6746&amp;col=7&amp;number=0.127&amp;sourceID=14","0.127")</f>
        <v>0.127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HYPERLINK("http://141.218.60.56/~jnz1568/getInfo.php?workbook=16_08.xlsx&amp;sheet=U0&amp;row=6747&amp;col=6&amp;number=3.3&amp;sourceID=14","3.3")</f>
        <v>3.3</v>
      </c>
      <c r="G6747" s="4" t="str">
        <f>HYPERLINK("http://141.218.60.56/~jnz1568/getInfo.php?workbook=16_08.xlsx&amp;sheet=U0&amp;row=6747&amp;col=7&amp;number=0.127&amp;sourceID=14","0.127")</f>
        <v>0.127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HYPERLINK("http://141.218.60.56/~jnz1568/getInfo.php?workbook=16_08.xlsx&amp;sheet=U0&amp;row=6748&amp;col=6&amp;number=3.4&amp;sourceID=14","3.4")</f>
        <v>3.4</v>
      </c>
      <c r="G6748" s="4" t="str">
        <f>HYPERLINK("http://141.218.60.56/~jnz1568/getInfo.php?workbook=16_08.xlsx&amp;sheet=U0&amp;row=6748&amp;col=7&amp;number=0.127&amp;sourceID=14","0.127")</f>
        <v>0.127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HYPERLINK("http://141.218.60.56/~jnz1568/getInfo.php?workbook=16_08.xlsx&amp;sheet=U0&amp;row=6749&amp;col=6&amp;number=3.5&amp;sourceID=14","3.5")</f>
        <v>3.5</v>
      </c>
      <c r="G6749" s="4" t="str">
        <f>HYPERLINK("http://141.218.60.56/~jnz1568/getInfo.php?workbook=16_08.xlsx&amp;sheet=U0&amp;row=6749&amp;col=7&amp;number=0.127&amp;sourceID=14","0.127")</f>
        <v>0.127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HYPERLINK("http://141.218.60.56/~jnz1568/getInfo.php?workbook=16_08.xlsx&amp;sheet=U0&amp;row=6750&amp;col=6&amp;number=3.6&amp;sourceID=14","3.6")</f>
        <v>3.6</v>
      </c>
      <c r="G6750" s="4" t="str">
        <f>HYPERLINK("http://141.218.60.56/~jnz1568/getInfo.php?workbook=16_08.xlsx&amp;sheet=U0&amp;row=6750&amp;col=7&amp;number=0.127&amp;sourceID=14","0.127")</f>
        <v>0.127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HYPERLINK("http://141.218.60.56/~jnz1568/getInfo.php?workbook=16_08.xlsx&amp;sheet=U0&amp;row=6751&amp;col=6&amp;number=3.7&amp;sourceID=14","3.7")</f>
        <v>3.7</v>
      </c>
      <c r="G6751" s="4" t="str">
        <f>HYPERLINK("http://141.218.60.56/~jnz1568/getInfo.php?workbook=16_08.xlsx&amp;sheet=U0&amp;row=6751&amp;col=7&amp;number=0.127&amp;sourceID=14","0.127")</f>
        <v>0.127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HYPERLINK("http://141.218.60.56/~jnz1568/getInfo.php?workbook=16_08.xlsx&amp;sheet=U0&amp;row=6752&amp;col=6&amp;number=3.8&amp;sourceID=14","3.8")</f>
        <v>3.8</v>
      </c>
      <c r="G6752" s="4" t="str">
        <f>HYPERLINK("http://141.218.60.56/~jnz1568/getInfo.php?workbook=16_08.xlsx&amp;sheet=U0&amp;row=6752&amp;col=7&amp;number=0.127&amp;sourceID=14","0.127")</f>
        <v>0.127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HYPERLINK("http://141.218.60.56/~jnz1568/getInfo.php?workbook=16_08.xlsx&amp;sheet=U0&amp;row=6753&amp;col=6&amp;number=3.9&amp;sourceID=14","3.9")</f>
        <v>3.9</v>
      </c>
      <c r="G6753" s="4" t="str">
        <f>HYPERLINK("http://141.218.60.56/~jnz1568/getInfo.php?workbook=16_08.xlsx&amp;sheet=U0&amp;row=6753&amp;col=7&amp;number=0.127&amp;sourceID=14","0.127")</f>
        <v>0.127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HYPERLINK("http://141.218.60.56/~jnz1568/getInfo.php?workbook=16_08.xlsx&amp;sheet=U0&amp;row=6754&amp;col=6&amp;number=4&amp;sourceID=14","4")</f>
        <v>4</v>
      </c>
      <c r="G6754" s="4" t="str">
        <f>HYPERLINK("http://141.218.60.56/~jnz1568/getInfo.php?workbook=16_08.xlsx&amp;sheet=U0&amp;row=6754&amp;col=7&amp;number=0.127&amp;sourceID=14","0.127")</f>
        <v>0.127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HYPERLINK("http://141.218.60.56/~jnz1568/getInfo.php?workbook=16_08.xlsx&amp;sheet=U0&amp;row=6755&amp;col=6&amp;number=4.1&amp;sourceID=14","4.1")</f>
        <v>4.1</v>
      </c>
      <c r="G6755" s="4" t="str">
        <f>HYPERLINK("http://141.218.60.56/~jnz1568/getInfo.php?workbook=16_08.xlsx&amp;sheet=U0&amp;row=6755&amp;col=7&amp;number=0.128&amp;sourceID=14","0.128")</f>
        <v>0.128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HYPERLINK("http://141.218.60.56/~jnz1568/getInfo.php?workbook=16_08.xlsx&amp;sheet=U0&amp;row=6756&amp;col=6&amp;number=4.2&amp;sourceID=14","4.2")</f>
        <v>4.2</v>
      </c>
      <c r="G6756" s="4" t="str">
        <f>HYPERLINK("http://141.218.60.56/~jnz1568/getInfo.php?workbook=16_08.xlsx&amp;sheet=U0&amp;row=6756&amp;col=7&amp;number=0.128&amp;sourceID=14","0.128")</f>
        <v>0.128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HYPERLINK("http://141.218.60.56/~jnz1568/getInfo.php?workbook=16_08.xlsx&amp;sheet=U0&amp;row=6757&amp;col=6&amp;number=4.3&amp;sourceID=14","4.3")</f>
        <v>4.3</v>
      </c>
      <c r="G6757" s="4" t="str">
        <f>HYPERLINK("http://141.218.60.56/~jnz1568/getInfo.php?workbook=16_08.xlsx&amp;sheet=U0&amp;row=6757&amp;col=7&amp;number=0.128&amp;sourceID=14","0.128")</f>
        <v>0.128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HYPERLINK("http://141.218.60.56/~jnz1568/getInfo.php?workbook=16_08.xlsx&amp;sheet=U0&amp;row=6758&amp;col=6&amp;number=4.4&amp;sourceID=14","4.4")</f>
        <v>4.4</v>
      </c>
      <c r="G6758" s="4" t="str">
        <f>HYPERLINK("http://141.218.60.56/~jnz1568/getInfo.php?workbook=16_08.xlsx&amp;sheet=U0&amp;row=6758&amp;col=7&amp;number=0.128&amp;sourceID=14","0.128")</f>
        <v>0.128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HYPERLINK("http://141.218.60.56/~jnz1568/getInfo.php?workbook=16_08.xlsx&amp;sheet=U0&amp;row=6759&amp;col=6&amp;number=4.5&amp;sourceID=14","4.5")</f>
        <v>4.5</v>
      </c>
      <c r="G6759" s="4" t="str">
        <f>HYPERLINK("http://141.218.60.56/~jnz1568/getInfo.php?workbook=16_08.xlsx&amp;sheet=U0&amp;row=6759&amp;col=7&amp;number=0.128&amp;sourceID=14","0.128")</f>
        <v>0.128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HYPERLINK("http://141.218.60.56/~jnz1568/getInfo.php?workbook=16_08.xlsx&amp;sheet=U0&amp;row=6760&amp;col=6&amp;number=4.6&amp;sourceID=14","4.6")</f>
        <v>4.6</v>
      </c>
      <c r="G6760" s="4" t="str">
        <f>HYPERLINK("http://141.218.60.56/~jnz1568/getInfo.php?workbook=16_08.xlsx&amp;sheet=U0&amp;row=6760&amp;col=7&amp;number=0.129&amp;sourceID=14","0.129")</f>
        <v>0.129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HYPERLINK("http://141.218.60.56/~jnz1568/getInfo.php?workbook=16_08.xlsx&amp;sheet=U0&amp;row=6761&amp;col=6&amp;number=4.7&amp;sourceID=14","4.7")</f>
        <v>4.7</v>
      </c>
      <c r="G6761" s="4" t="str">
        <f>HYPERLINK("http://141.218.60.56/~jnz1568/getInfo.php?workbook=16_08.xlsx&amp;sheet=U0&amp;row=6761&amp;col=7&amp;number=0.129&amp;sourceID=14","0.129")</f>
        <v>0.129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HYPERLINK("http://141.218.60.56/~jnz1568/getInfo.php?workbook=16_08.xlsx&amp;sheet=U0&amp;row=6762&amp;col=6&amp;number=4.8&amp;sourceID=14","4.8")</f>
        <v>4.8</v>
      </c>
      <c r="G6762" s="4" t="str">
        <f>HYPERLINK("http://141.218.60.56/~jnz1568/getInfo.php?workbook=16_08.xlsx&amp;sheet=U0&amp;row=6762&amp;col=7&amp;number=0.13&amp;sourceID=14","0.13")</f>
        <v>0.13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HYPERLINK("http://141.218.60.56/~jnz1568/getInfo.php?workbook=16_08.xlsx&amp;sheet=U0&amp;row=6763&amp;col=6&amp;number=4.9&amp;sourceID=14","4.9")</f>
        <v>4.9</v>
      </c>
      <c r="G6763" s="4" t="str">
        <f>HYPERLINK("http://141.218.60.56/~jnz1568/getInfo.php?workbook=16_08.xlsx&amp;sheet=U0&amp;row=6763&amp;col=7&amp;number=0.13&amp;sourceID=14","0.13")</f>
        <v>0.13</v>
      </c>
    </row>
    <row r="6764" spans="1:7">
      <c r="A6764" s="3">
        <v>16</v>
      </c>
      <c r="B6764" s="3">
        <v>8</v>
      </c>
      <c r="C6764" s="3">
        <v>5</v>
      </c>
      <c r="D6764" s="3">
        <v>10</v>
      </c>
      <c r="E6764" s="3">
        <v>1</v>
      </c>
      <c r="F6764" s="4" t="str">
        <f>HYPERLINK("http://141.218.60.56/~jnz1568/getInfo.php?workbook=16_08.xlsx&amp;sheet=U0&amp;row=6764&amp;col=6&amp;number=3&amp;sourceID=14","3")</f>
        <v>3</v>
      </c>
      <c r="G6764" s="4" t="str">
        <f>HYPERLINK("http://141.218.60.56/~jnz1568/getInfo.php?workbook=16_08.xlsx&amp;sheet=U0&amp;row=6764&amp;col=7&amp;number=0.00116&amp;sourceID=14","0.00116")</f>
        <v>0.00116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HYPERLINK("http://141.218.60.56/~jnz1568/getInfo.php?workbook=16_08.xlsx&amp;sheet=U0&amp;row=6765&amp;col=6&amp;number=3.1&amp;sourceID=14","3.1")</f>
        <v>3.1</v>
      </c>
      <c r="G6765" s="4" t="str">
        <f>HYPERLINK("http://141.218.60.56/~jnz1568/getInfo.php?workbook=16_08.xlsx&amp;sheet=U0&amp;row=6765&amp;col=7&amp;number=0.00116&amp;sourceID=14","0.00116")</f>
        <v>0.00116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HYPERLINK("http://141.218.60.56/~jnz1568/getInfo.php?workbook=16_08.xlsx&amp;sheet=U0&amp;row=6766&amp;col=6&amp;number=3.2&amp;sourceID=14","3.2")</f>
        <v>3.2</v>
      </c>
      <c r="G6766" s="4" t="str">
        <f>HYPERLINK("http://141.218.60.56/~jnz1568/getInfo.php?workbook=16_08.xlsx&amp;sheet=U0&amp;row=6766&amp;col=7&amp;number=0.00116&amp;sourceID=14","0.00116")</f>
        <v>0.00116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HYPERLINK("http://141.218.60.56/~jnz1568/getInfo.php?workbook=16_08.xlsx&amp;sheet=U0&amp;row=6767&amp;col=6&amp;number=3.3&amp;sourceID=14","3.3")</f>
        <v>3.3</v>
      </c>
      <c r="G6767" s="4" t="str">
        <f>HYPERLINK("http://141.218.60.56/~jnz1568/getInfo.php?workbook=16_08.xlsx&amp;sheet=U0&amp;row=6767&amp;col=7&amp;number=0.00116&amp;sourceID=14","0.00116")</f>
        <v>0.00116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HYPERLINK("http://141.218.60.56/~jnz1568/getInfo.php?workbook=16_08.xlsx&amp;sheet=U0&amp;row=6768&amp;col=6&amp;number=3.4&amp;sourceID=14","3.4")</f>
        <v>3.4</v>
      </c>
      <c r="G6768" s="4" t="str">
        <f>HYPERLINK("http://141.218.60.56/~jnz1568/getInfo.php?workbook=16_08.xlsx&amp;sheet=U0&amp;row=6768&amp;col=7&amp;number=0.00116&amp;sourceID=14","0.00116")</f>
        <v>0.00116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HYPERLINK("http://141.218.60.56/~jnz1568/getInfo.php?workbook=16_08.xlsx&amp;sheet=U0&amp;row=6769&amp;col=6&amp;number=3.5&amp;sourceID=14","3.5")</f>
        <v>3.5</v>
      </c>
      <c r="G6769" s="4" t="str">
        <f>HYPERLINK("http://141.218.60.56/~jnz1568/getInfo.php?workbook=16_08.xlsx&amp;sheet=U0&amp;row=6769&amp;col=7&amp;number=0.00116&amp;sourceID=14","0.00116")</f>
        <v>0.00116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HYPERLINK("http://141.218.60.56/~jnz1568/getInfo.php?workbook=16_08.xlsx&amp;sheet=U0&amp;row=6770&amp;col=6&amp;number=3.6&amp;sourceID=14","3.6")</f>
        <v>3.6</v>
      </c>
      <c r="G6770" s="4" t="str">
        <f>HYPERLINK("http://141.218.60.56/~jnz1568/getInfo.php?workbook=16_08.xlsx&amp;sheet=U0&amp;row=6770&amp;col=7&amp;number=0.00116&amp;sourceID=14","0.00116")</f>
        <v>0.00116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HYPERLINK("http://141.218.60.56/~jnz1568/getInfo.php?workbook=16_08.xlsx&amp;sheet=U0&amp;row=6771&amp;col=6&amp;number=3.7&amp;sourceID=14","3.7")</f>
        <v>3.7</v>
      </c>
      <c r="G6771" s="4" t="str">
        <f>HYPERLINK("http://141.218.60.56/~jnz1568/getInfo.php?workbook=16_08.xlsx&amp;sheet=U0&amp;row=6771&amp;col=7&amp;number=0.00116&amp;sourceID=14","0.00116")</f>
        <v>0.00116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HYPERLINK("http://141.218.60.56/~jnz1568/getInfo.php?workbook=16_08.xlsx&amp;sheet=U0&amp;row=6772&amp;col=6&amp;number=3.8&amp;sourceID=14","3.8")</f>
        <v>3.8</v>
      </c>
      <c r="G6772" s="4" t="str">
        <f>HYPERLINK("http://141.218.60.56/~jnz1568/getInfo.php?workbook=16_08.xlsx&amp;sheet=U0&amp;row=6772&amp;col=7&amp;number=0.00116&amp;sourceID=14","0.00116")</f>
        <v>0.00116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HYPERLINK("http://141.218.60.56/~jnz1568/getInfo.php?workbook=16_08.xlsx&amp;sheet=U0&amp;row=6773&amp;col=6&amp;number=3.9&amp;sourceID=14","3.9")</f>
        <v>3.9</v>
      </c>
      <c r="G6773" s="4" t="str">
        <f>HYPERLINK("http://141.218.60.56/~jnz1568/getInfo.php?workbook=16_08.xlsx&amp;sheet=U0&amp;row=6773&amp;col=7&amp;number=0.00116&amp;sourceID=14","0.00116")</f>
        <v>0.00116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HYPERLINK("http://141.218.60.56/~jnz1568/getInfo.php?workbook=16_08.xlsx&amp;sheet=U0&amp;row=6774&amp;col=6&amp;number=4&amp;sourceID=14","4")</f>
        <v>4</v>
      </c>
      <c r="G6774" s="4" t="str">
        <f>HYPERLINK("http://141.218.60.56/~jnz1568/getInfo.php?workbook=16_08.xlsx&amp;sheet=U0&amp;row=6774&amp;col=7&amp;number=0.00116&amp;sourceID=14","0.00116")</f>
        <v>0.00116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HYPERLINK("http://141.218.60.56/~jnz1568/getInfo.php?workbook=16_08.xlsx&amp;sheet=U0&amp;row=6775&amp;col=6&amp;number=4.1&amp;sourceID=14","4.1")</f>
        <v>4.1</v>
      </c>
      <c r="G6775" s="4" t="str">
        <f>HYPERLINK("http://141.218.60.56/~jnz1568/getInfo.php?workbook=16_08.xlsx&amp;sheet=U0&amp;row=6775&amp;col=7&amp;number=0.00116&amp;sourceID=14","0.00116")</f>
        <v>0.00116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HYPERLINK("http://141.218.60.56/~jnz1568/getInfo.php?workbook=16_08.xlsx&amp;sheet=U0&amp;row=6776&amp;col=6&amp;number=4.2&amp;sourceID=14","4.2")</f>
        <v>4.2</v>
      </c>
      <c r="G6776" s="4" t="str">
        <f>HYPERLINK("http://141.218.60.56/~jnz1568/getInfo.php?workbook=16_08.xlsx&amp;sheet=U0&amp;row=6776&amp;col=7&amp;number=0.00116&amp;sourceID=14","0.00116")</f>
        <v>0.00116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HYPERLINK("http://141.218.60.56/~jnz1568/getInfo.php?workbook=16_08.xlsx&amp;sheet=U0&amp;row=6777&amp;col=6&amp;number=4.3&amp;sourceID=14","4.3")</f>
        <v>4.3</v>
      </c>
      <c r="G6777" s="4" t="str">
        <f>HYPERLINK("http://141.218.60.56/~jnz1568/getInfo.php?workbook=16_08.xlsx&amp;sheet=U0&amp;row=6777&amp;col=7&amp;number=0.00116&amp;sourceID=14","0.00116")</f>
        <v>0.00116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HYPERLINK("http://141.218.60.56/~jnz1568/getInfo.php?workbook=16_08.xlsx&amp;sheet=U0&amp;row=6778&amp;col=6&amp;number=4.4&amp;sourceID=14","4.4")</f>
        <v>4.4</v>
      </c>
      <c r="G6778" s="4" t="str">
        <f>HYPERLINK("http://141.218.60.56/~jnz1568/getInfo.php?workbook=16_08.xlsx&amp;sheet=U0&amp;row=6778&amp;col=7&amp;number=0.00116&amp;sourceID=14","0.00116")</f>
        <v>0.00116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HYPERLINK("http://141.218.60.56/~jnz1568/getInfo.php?workbook=16_08.xlsx&amp;sheet=U0&amp;row=6779&amp;col=6&amp;number=4.5&amp;sourceID=14","4.5")</f>
        <v>4.5</v>
      </c>
      <c r="G6779" s="4" t="str">
        <f>HYPERLINK("http://141.218.60.56/~jnz1568/getInfo.php?workbook=16_08.xlsx&amp;sheet=U0&amp;row=6779&amp;col=7&amp;number=0.00116&amp;sourceID=14","0.00116")</f>
        <v>0.00116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HYPERLINK("http://141.218.60.56/~jnz1568/getInfo.php?workbook=16_08.xlsx&amp;sheet=U0&amp;row=6780&amp;col=6&amp;number=4.6&amp;sourceID=14","4.6")</f>
        <v>4.6</v>
      </c>
      <c r="G6780" s="4" t="str">
        <f>HYPERLINK("http://141.218.60.56/~jnz1568/getInfo.php?workbook=16_08.xlsx&amp;sheet=U0&amp;row=6780&amp;col=7&amp;number=0.00116&amp;sourceID=14","0.00116")</f>
        <v>0.00116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HYPERLINK("http://141.218.60.56/~jnz1568/getInfo.php?workbook=16_08.xlsx&amp;sheet=U0&amp;row=6781&amp;col=6&amp;number=4.7&amp;sourceID=14","4.7")</f>
        <v>4.7</v>
      </c>
      <c r="G6781" s="4" t="str">
        <f>HYPERLINK("http://141.218.60.56/~jnz1568/getInfo.php?workbook=16_08.xlsx&amp;sheet=U0&amp;row=6781&amp;col=7&amp;number=0.00116&amp;sourceID=14","0.00116")</f>
        <v>0.00116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HYPERLINK("http://141.218.60.56/~jnz1568/getInfo.php?workbook=16_08.xlsx&amp;sheet=U0&amp;row=6782&amp;col=6&amp;number=4.8&amp;sourceID=14","4.8")</f>
        <v>4.8</v>
      </c>
      <c r="G6782" s="4" t="str">
        <f>HYPERLINK("http://141.218.60.56/~jnz1568/getInfo.php?workbook=16_08.xlsx&amp;sheet=U0&amp;row=6782&amp;col=7&amp;number=0.00116&amp;sourceID=14","0.00116")</f>
        <v>0.00116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HYPERLINK("http://141.218.60.56/~jnz1568/getInfo.php?workbook=16_08.xlsx&amp;sheet=U0&amp;row=6783&amp;col=6&amp;number=4.9&amp;sourceID=14","4.9")</f>
        <v>4.9</v>
      </c>
      <c r="G6783" s="4" t="str">
        <f>HYPERLINK("http://141.218.60.56/~jnz1568/getInfo.php?workbook=16_08.xlsx&amp;sheet=U0&amp;row=6783&amp;col=7&amp;number=0.00116&amp;sourceID=14","0.00116")</f>
        <v>0.00116</v>
      </c>
    </row>
    <row r="6784" spans="1:7">
      <c r="A6784" s="3">
        <v>16</v>
      </c>
      <c r="B6784" s="3">
        <v>8</v>
      </c>
      <c r="C6784" s="3">
        <v>5</v>
      </c>
      <c r="D6784" s="3">
        <v>11</v>
      </c>
      <c r="E6784" s="3">
        <v>1</v>
      </c>
      <c r="F6784" s="4" t="str">
        <f>HYPERLINK("http://141.218.60.56/~jnz1568/getInfo.php?workbook=16_08.xlsx&amp;sheet=U0&amp;row=6784&amp;col=6&amp;number=3&amp;sourceID=14","3")</f>
        <v>3</v>
      </c>
      <c r="G6784" s="4" t="str">
        <f>HYPERLINK("http://141.218.60.56/~jnz1568/getInfo.php?workbook=16_08.xlsx&amp;sheet=U0&amp;row=6784&amp;col=7&amp;number=1.29e-06&amp;sourceID=14","1.29e-06")</f>
        <v>1.29e-06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HYPERLINK("http://141.218.60.56/~jnz1568/getInfo.php?workbook=16_08.xlsx&amp;sheet=U0&amp;row=6785&amp;col=6&amp;number=3.1&amp;sourceID=14","3.1")</f>
        <v>3.1</v>
      </c>
      <c r="G6785" s="4" t="str">
        <f>HYPERLINK("http://141.218.60.56/~jnz1568/getInfo.php?workbook=16_08.xlsx&amp;sheet=U0&amp;row=6785&amp;col=7&amp;number=1.29e-06&amp;sourceID=14","1.29e-06")</f>
        <v>1.29e-06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HYPERLINK("http://141.218.60.56/~jnz1568/getInfo.php?workbook=16_08.xlsx&amp;sheet=U0&amp;row=6786&amp;col=6&amp;number=3.2&amp;sourceID=14","3.2")</f>
        <v>3.2</v>
      </c>
      <c r="G6786" s="4" t="str">
        <f>HYPERLINK("http://141.218.60.56/~jnz1568/getInfo.php?workbook=16_08.xlsx&amp;sheet=U0&amp;row=6786&amp;col=7&amp;number=1.29e-06&amp;sourceID=14","1.29e-06")</f>
        <v>1.29e-06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HYPERLINK("http://141.218.60.56/~jnz1568/getInfo.php?workbook=16_08.xlsx&amp;sheet=U0&amp;row=6787&amp;col=6&amp;number=3.3&amp;sourceID=14","3.3")</f>
        <v>3.3</v>
      </c>
      <c r="G6787" s="4" t="str">
        <f>HYPERLINK("http://141.218.60.56/~jnz1568/getInfo.php?workbook=16_08.xlsx&amp;sheet=U0&amp;row=6787&amp;col=7&amp;number=1.29e-06&amp;sourceID=14","1.29e-06")</f>
        <v>1.29e-06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HYPERLINK("http://141.218.60.56/~jnz1568/getInfo.php?workbook=16_08.xlsx&amp;sheet=U0&amp;row=6788&amp;col=6&amp;number=3.4&amp;sourceID=14","3.4")</f>
        <v>3.4</v>
      </c>
      <c r="G6788" s="4" t="str">
        <f>HYPERLINK("http://141.218.60.56/~jnz1568/getInfo.php?workbook=16_08.xlsx&amp;sheet=U0&amp;row=6788&amp;col=7&amp;number=1.29e-06&amp;sourceID=14","1.29e-06")</f>
        <v>1.29e-06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HYPERLINK("http://141.218.60.56/~jnz1568/getInfo.php?workbook=16_08.xlsx&amp;sheet=U0&amp;row=6789&amp;col=6&amp;number=3.5&amp;sourceID=14","3.5")</f>
        <v>3.5</v>
      </c>
      <c r="G6789" s="4" t="str">
        <f>HYPERLINK("http://141.218.60.56/~jnz1568/getInfo.php?workbook=16_08.xlsx&amp;sheet=U0&amp;row=6789&amp;col=7&amp;number=1.29e-06&amp;sourceID=14","1.29e-06")</f>
        <v>1.29e-06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HYPERLINK("http://141.218.60.56/~jnz1568/getInfo.php?workbook=16_08.xlsx&amp;sheet=U0&amp;row=6790&amp;col=6&amp;number=3.6&amp;sourceID=14","3.6")</f>
        <v>3.6</v>
      </c>
      <c r="G6790" s="4" t="str">
        <f>HYPERLINK("http://141.218.60.56/~jnz1568/getInfo.php?workbook=16_08.xlsx&amp;sheet=U0&amp;row=6790&amp;col=7&amp;number=1.29e-06&amp;sourceID=14","1.29e-06")</f>
        <v>1.29e-06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HYPERLINK("http://141.218.60.56/~jnz1568/getInfo.php?workbook=16_08.xlsx&amp;sheet=U0&amp;row=6791&amp;col=6&amp;number=3.7&amp;sourceID=14","3.7")</f>
        <v>3.7</v>
      </c>
      <c r="G6791" s="4" t="str">
        <f>HYPERLINK("http://141.218.60.56/~jnz1568/getInfo.php?workbook=16_08.xlsx&amp;sheet=U0&amp;row=6791&amp;col=7&amp;number=1.29e-06&amp;sourceID=14","1.29e-06")</f>
        <v>1.29e-06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HYPERLINK("http://141.218.60.56/~jnz1568/getInfo.php?workbook=16_08.xlsx&amp;sheet=U0&amp;row=6792&amp;col=6&amp;number=3.8&amp;sourceID=14","3.8")</f>
        <v>3.8</v>
      </c>
      <c r="G6792" s="4" t="str">
        <f>HYPERLINK("http://141.218.60.56/~jnz1568/getInfo.php?workbook=16_08.xlsx&amp;sheet=U0&amp;row=6792&amp;col=7&amp;number=1.29e-06&amp;sourceID=14","1.29e-06")</f>
        <v>1.29e-06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HYPERLINK("http://141.218.60.56/~jnz1568/getInfo.php?workbook=16_08.xlsx&amp;sheet=U0&amp;row=6793&amp;col=6&amp;number=3.9&amp;sourceID=14","3.9")</f>
        <v>3.9</v>
      </c>
      <c r="G6793" s="4" t="str">
        <f>HYPERLINK("http://141.218.60.56/~jnz1568/getInfo.php?workbook=16_08.xlsx&amp;sheet=U0&amp;row=6793&amp;col=7&amp;number=1.29e-06&amp;sourceID=14","1.29e-06")</f>
        <v>1.29e-06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HYPERLINK("http://141.218.60.56/~jnz1568/getInfo.php?workbook=16_08.xlsx&amp;sheet=U0&amp;row=6794&amp;col=6&amp;number=4&amp;sourceID=14","4")</f>
        <v>4</v>
      </c>
      <c r="G6794" s="4" t="str">
        <f>HYPERLINK("http://141.218.60.56/~jnz1568/getInfo.php?workbook=16_08.xlsx&amp;sheet=U0&amp;row=6794&amp;col=7&amp;number=1.29e-06&amp;sourceID=14","1.29e-06")</f>
        <v>1.29e-06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HYPERLINK("http://141.218.60.56/~jnz1568/getInfo.php?workbook=16_08.xlsx&amp;sheet=U0&amp;row=6795&amp;col=6&amp;number=4.1&amp;sourceID=14","4.1")</f>
        <v>4.1</v>
      </c>
      <c r="G6795" s="4" t="str">
        <f>HYPERLINK("http://141.218.60.56/~jnz1568/getInfo.php?workbook=16_08.xlsx&amp;sheet=U0&amp;row=6795&amp;col=7&amp;number=1.29e-06&amp;sourceID=14","1.29e-06")</f>
        <v>1.29e-06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HYPERLINK("http://141.218.60.56/~jnz1568/getInfo.php?workbook=16_08.xlsx&amp;sheet=U0&amp;row=6796&amp;col=6&amp;number=4.2&amp;sourceID=14","4.2")</f>
        <v>4.2</v>
      </c>
      <c r="G6796" s="4" t="str">
        <f>HYPERLINK("http://141.218.60.56/~jnz1568/getInfo.php?workbook=16_08.xlsx&amp;sheet=U0&amp;row=6796&amp;col=7&amp;number=1.28e-06&amp;sourceID=14","1.28e-06")</f>
        <v>1.28e-06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HYPERLINK("http://141.218.60.56/~jnz1568/getInfo.php?workbook=16_08.xlsx&amp;sheet=U0&amp;row=6797&amp;col=6&amp;number=4.3&amp;sourceID=14","4.3")</f>
        <v>4.3</v>
      </c>
      <c r="G6797" s="4" t="str">
        <f>HYPERLINK("http://141.218.60.56/~jnz1568/getInfo.php?workbook=16_08.xlsx&amp;sheet=U0&amp;row=6797&amp;col=7&amp;number=1.28e-06&amp;sourceID=14","1.28e-06")</f>
        <v>1.28e-06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HYPERLINK("http://141.218.60.56/~jnz1568/getInfo.php?workbook=16_08.xlsx&amp;sheet=U0&amp;row=6798&amp;col=6&amp;number=4.4&amp;sourceID=14","4.4")</f>
        <v>4.4</v>
      </c>
      <c r="G6798" s="4" t="str">
        <f>HYPERLINK("http://141.218.60.56/~jnz1568/getInfo.php?workbook=16_08.xlsx&amp;sheet=U0&amp;row=6798&amp;col=7&amp;number=1.28e-06&amp;sourceID=14","1.28e-06")</f>
        <v>1.28e-06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HYPERLINK("http://141.218.60.56/~jnz1568/getInfo.php?workbook=16_08.xlsx&amp;sheet=U0&amp;row=6799&amp;col=6&amp;number=4.5&amp;sourceID=14","4.5")</f>
        <v>4.5</v>
      </c>
      <c r="G6799" s="4" t="str">
        <f>HYPERLINK("http://141.218.60.56/~jnz1568/getInfo.php?workbook=16_08.xlsx&amp;sheet=U0&amp;row=6799&amp;col=7&amp;number=1.28e-06&amp;sourceID=14","1.28e-06")</f>
        <v>1.28e-06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HYPERLINK("http://141.218.60.56/~jnz1568/getInfo.php?workbook=16_08.xlsx&amp;sheet=U0&amp;row=6800&amp;col=6&amp;number=4.6&amp;sourceID=14","4.6")</f>
        <v>4.6</v>
      </c>
      <c r="G6800" s="4" t="str">
        <f>HYPERLINK("http://141.218.60.56/~jnz1568/getInfo.php?workbook=16_08.xlsx&amp;sheet=U0&amp;row=6800&amp;col=7&amp;number=1.27e-06&amp;sourceID=14","1.27e-06")</f>
        <v>1.27e-06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HYPERLINK("http://141.218.60.56/~jnz1568/getInfo.php?workbook=16_08.xlsx&amp;sheet=U0&amp;row=6801&amp;col=6&amp;number=4.7&amp;sourceID=14","4.7")</f>
        <v>4.7</v>
      </c>
      <c r="G6801" s="4" t="str">
        <f>HYPERLINK("http://141.218.60.56/~jnz1568/getInfo.php?workbook=16_08.xlsx&amp;sheet=U0&amp;row=6801&amp;col=7&amp;number=1.27e-06&amp;sourceID=14","1.27e-06")</f>
        <v>1.27e-06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HYPERLINK("http://141.218.60.56/~jnz1568/getInfo.php?workbook=16_08.xlsx&amp;sheet=U0&amp;row=6802&amp;col=6&amp;number=4.8&amp;sourceID=14","4.8")</f>
        <v>4.8</v>
      </c>
      <c r="G6802" s="4" t="str">
        <f>HYPERLINK("http://141.218.60.56/~jnz1568/getInfo.php?workbook=16_08.xlsx&amp;sheet=U0&amp;row=6802&amp;col=7&amp;number=1.26e-06&amp;sourceID=14","1.26e-06")</f>
        <v>1.26e-06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HYPERLINK("http://141.218.60.56/~jnz1568/getInfo.php?workbook=16_08.xlsx&amp;sheet=U0&amp;row=6803&amp;col=6&amp;number=4.9&amp;sourceID=14","4.9")</f>
        <v>4.9</v>
      </c>
      <c r="G6803" s="4" t="str">
        <f>HYPERLINK("http://141.218.60.56/~jnz1568/getInfo.php?workbook=16_08.xlsx&amp;sheet=U0&amp;row=6803&amp;col=7&amp;number=1.26e-06&amp;sourceID=14","1.26e-06")</f>
        <v>1.26e-06</v>
      </c>
    </row>
    <row r="6804" spans="1:7">
      <c r="A6804" s="3">
        <v>16</v>
      </c>
      <c r="B6804" s="3">
        <v>8</v>
      </c>
      <c r="C6804" s="3">
        <v>5</v>
      </c>
      <c r="D6804" s="3">
        <v>12</v>
      </c>
      <c r="E6804" s="3">
        <v>1</v>
      </c>
      <c r="F6804" s="4" t="str">
        <f>HYPERLINK("http://141.218.60.56/~jnz1568/getInfo.php?workbook=16_08.xlsx&amp;sheet=U0&amp;row=6804&amp;col=6&amp;number=3&amp;sourceID=14","3")</f>
        <v>3</v>
      </c>
      <c r="G6804" s="4" t="str">
        <f>HYPERLINK("http://141.218.60.56/~jnz1568/getInfo.php?workbook=16_08.xlsx&amp;sheet=U0&amp;row=6804&amp;col=7&amp;number=7.34e-07&amp;sourceID=14","7.34e-07")</f>
        <v>7.34e-07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HYPERLINK("http://141.218.60.56/~jnz1568/getInfo.php?workbook=16_08.xlsx&amp;sheet=U0&amp;row=6805&amp;col=6&amp;number=3.1&amp;sourceID=14","3.1")</f>
        <v>3.1</v>
      </c>
      <c r="G6805" s="4" t="str">
        <f>HYPERLINK("http://141.218.60.56/~jnz1568/getInfo.php?workbook=16_08.xlsx&amp;sheet=U0&amp;row=6805&amp;col=7&amp;number=7.34e-07&amp;sourceID=14","7.34e-07")</f>
        <v>7.34e-07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HYPERLINK("http://141.218.60.56/~jnz1568/getInfo.php?workbook=16_08.xlsx&amp;sheet=U0&amp;row=6806&amp;col=6&amp;number=3.2&amp;sourceID=14","3.2")</f>
        <v>3.2</v>
      </c>
      <c r="G6806" s="4" t="str">
        <f>HYPERLINK("http://141.218.60.56/~jnz1568/getInfo.php?workbook=16_08.xlsx&amp;sheet=U0&amp;row=6806&amp;col=7&amp;number=7.34e-07&amp;sourceID=14","7.34e-07")</f>
        <v>7.34e-07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HYPERLINK("http://141.218.60.56/~jnz1568/getInfo.php?workbook=16_08.xlsx&amp;sheet=U0&amp;row=6807&amp;col=6&amp;number=3.3&amp;sourceID=14","3.3")</f>
        <v>3.3</v>
      </c>
      <c r="G6807" s="4" t="str">
        <f>HYPERLINK("http://141.218.60.56/~jnz1568/getInfo.php?workbook=16_08.xlsx&amp;sheet=U0&amp;row=6807&amp;col=7&amp;number=7.34e-07&amp;sourceID=14","7.34e-07")</f>
        <v>7.34e-07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HYPERLINK("http://141.218.60.56/~jnz1568/getInfo.php?workbook=16_08.xlsx&amp;sheet=U0&amp;row=6808&amp;col=6&amp;number=3.4&amp;sourceID=14","3.4")</f>
        <v>3.4</v>
      </c>
      <c r="G6808" s="4" t="str">
        <f>HYPERLINK("http://141.218.60.56/~jnz1568/getInfo.php?workbook=16_08.xlsx&amp;sheet=U0&amp;row=6808&amp;col=7&amp;number=7.35e-07&amp;sourceID=14","7.35e-07")</f>
        <v>7.35e-07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HYPERLINK("http://141.218.60.56/~jnz1568/getInfo.php?workbook=16_08.xlsx&amp;sheet=U0&amp;row=6809&amp;col=6&amp;number=3.5&amp;sourceID=14","3.5")</f>
        <v>3.5</v>
      </c>
      <c r="G6809" s="4" t="str">
        <f>HYPERLINK("http://141.218.60.56/~jnz1568/getInfo.php?workbook=16_08.xlsx&amp;sheet=U0&amp;row=6809&amp;col=7&amp;number=7.35e-07&amp;sourceID=14","7.35e-07")</f>
        <v>7.35e-07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HYPERLINK("http://141.218.60.56/~jnz1568/getInfo.php?workbook=16_08.xlsx&amp;sheet=U0&amp;row=6810&amp;col=6&amp;number=3.6&amp;sourceID=14","3.6")</f>
        <v>3.6</v>
      </c>
      <c r="G6810" s="4" t="str">
        <f>HYPERLINK("http://141.218.60.56/~jnz1568/getInfo.php?workbook=16_08.xlsx&amp;sheet=U0&amp;row=6810&amp;col=7&amp;number=7.35e-07&amp;sourceID=14","7.35e-07")</f>
        <v>7.35e-07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HYPERLINK("http://141.218.60.56/~jnz1568/getInfo.php?workbook=16_08.xlsx&amp;sheet=U0&amp;row=6811&amp;col=6&amp;number=3.7&amp;sourceID=14","3.7")</f>
        <v>3.7</v>
      </c>
      <c r="G6811" s="4" t="str">
        <f>HYPERLINK("http://141.218.60.56/~jnz1568/getInfo.php?workbook=16_08.xlsx&amp;sheet=U0&amp;row=6811&amp;col=7&amp;number=7.35e-07&amp;sourceID=14","7.35e-07")</f>
        <v>7.35e-07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HYPERLINK("http://141.218.60.56/~jnz1568/getInfo.php?workbook=16_08.xlsx&amp;sheet=U0&amp;row=6812&amp;col=6&amp;number=3.8&amp;sourceID=14","3.8")</f>
        <v>3.8</v>
      </c>
      <c r="G6812" s="4" t="str">
        <f>HYPERLINK("http://141.218.60.56/~jnz1568/getInfo.php?workbook=16_08.xlsx&amp;sheet=U0&amp;row=6812&amp;col=7&amp;number=7.36e-07&amp;sourceID=14","7.36e-07")</f>
        <v>7.36e-07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HYPERLINK("http://141.218.60.56/~jnz1568/getInfo.php?workbook=16_08.xlsx&amp;sheet=U0&amp;row=6813&amp;col=6&amp;number=3.9&amp;sourceID=14","3.9")</f>
        <v>3.9</v>
      </c>
      <c r="G6813" s="4" t="str">
        <f>HYPERLINK("http://141.218.60.56/~jnz1568/getInfo.php?workbook=16_08.xlsx&amp;sheet=U0&amp;row=6813&amp;col=7&amp;number=7.36e-07&amp;sourceID=14","7.36e-07")</f>
        <v>7.36e-07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HYPERLINK("http://141.218.60.56/~jnz1568/getInfo.php?workbook=16_08.xlsx&amp;sheet=U0&amp;row=6814&amp;col=6&amp;number=4&amp;sourceID=14","4")</f>
        <v>4</v>
      </c>
      <c r="G6814" s="4" t="str">
        <f>HYPERLINK("http://141.218.60.56/~jnz1568/getInfo.php?workbook=16_08.xlsx&amp;sheet=U0&amp;row=6814&amp;col=7&amp;number=7.37e-07&amp;sourceID=14","7.37e-07")</f>
        <v>7.37e-07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HYPERLINK("http://141.218.60.56/~jnz1568/getInfo.php?workbook=16_08.xlsx&amp;sheet=U0&amp;row=6815&amp;col=6&amp;number=4.1&amp;sourceID=14","4.1")</f>
        <v>4.1</v>
      </c>
      <c r="G6815" s="4" t="str">
        <f>HYPERLINK("http://141.218.60.56/~jnz1568/getInfo.php?workbook=16_08.xlsx&amp;sheet=U0&amp;row=6815&amp;col=7&amp;number=7.38e-07&amp;sourceID=14","7.38e-07")</f>
        <v>7.38e-07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HYPERLINK("http://141.218.60.56/~jnz1568/getInfo.php?workbook=16_08.xlsx&amp;sheet=U0&amp;row=6816&amp;col=6&amp;number=4.2&amp;sourceID=14","4.2")</f>
        <v>4.2</v>
      </c>
      <c r="G6816" s="4" t="str">
        <f>HYPERLINK("http://141.218.60.56/~jnz1568/getInfo.php?workbook=16_08.xlsx&amp;sheet=U0&amp;row=6816&amp;col=7&amp;number=7.39e-07&amp;sourceID=14","7.39e-07")</f>
        <v>7.39e-07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HYPERLINK("http://141.218.60.56/~jnz1568/getInfo.php?workbook=16_08.xlsx&amp;sheet=U0&amp;row=6817&amp;col=6&amp;number=4.3&amp;sourceID=14","4.3")</f>
        <v>4.3</v>
      </c>
      <c r="G6817" s="4" t="str">
        <f>HYPERLINK("http://141.218.60.56/~jnz1568/getInfo.php?workbook=16_08.xlsx&amp;sheet=U0&amp;row=6817&amp;col=7&amp;number=7.4e-07&amp;sourceID=14","7.4e-07")</f>
        <v>7.4e-07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HYPERLINK("http://141.218.60.56/~jnz1568/getInfo.php?workbook=16_08.xlsx&amp;sheet=U0&amp;row=6818&amp;col=6&amp;number=4.4&amp;sourceID=14","4.4")</f>
        <v>4.4</v>
      </c>
      <c r="G6818" s="4" t="str">
        <f>HYPERLINK("http://141.218.60.56/~jnz1568/getInfo.php?workbook=16_08.xlsx&amp;sheet=U0&amp;row=6818&amp;col=7&amp;number=7.41e-07&amp;sourceID=14","7.41e-07")</f>
        <v>7.41e-07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HYPERLINK("http://141.218.60.56/~jnz1568/getInfo.php?workbook=16_08.xlsx&amp;sheet=U0&amp;row=6819&amp;col=6&amp;number=4.5&amp;sourceID=14","4.5")</f>
        <v>4.5</v>
      </c>
      <c r="G6819" s="4" t="str">
        <f>HYPERLINK("http://141.218.60.56/~jnz1568/getInfo.php?workbook=16_08.xlsx&amp;sheet=U0&amp;row=6819&amp;col=7&amp;number=7.43e-07&amp;sourceID=14","7.43e-07")</f>
        <v>7.43e-07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HYPERLINK("http://141.218.60.56/~jnz1568/getInfo.php?workbook=16_08.xlsx&amp;sheet=U0&amp;row=6820&amp;col=6&amp;number=4.6&amp;sourceID=14","4.6")</f>
        <v>4.6</v>
      </c>
      <c r="G6820" s="4" t="str">
        <f>HYPERLINK("http://141.218.60.56/~jnz1568/getInfo.php?workbook=16_08.xlsx&amp;sheet=U0&amp;row=6820&amp;col=7&amp;number=7.46e-07&amp;sourceID=14","7.46e-07")</f>
        <v>7.46e-07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HYPERLINK("http://141.218.60.56/~jnz1568/getInfo.php?workbook=16_08.xlsx&amp;sheet=U0&amp;row=6821&amp;col=6&amp;number=4.7&amp;sourceID=14","4.7")</f>
        <v>4.7</v>
      </c>
      <c r="G6821" s="4" t="str">
        <f>HYPERLINK("http://141.218.60.56/~jnz1568/getInfo.php?workbook=16_08.xlsx&amp;sheet=U0&amp;row=6821&amp;col=7&amp;number=7.49e-07&amp;sourceID=14","7.49e-07")</f>
        <v>7.49e-07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HYPERLINK("http://141.218.60.56/~jnz1568/getInfo.php?workbook=16_08.xlsx&amp;sheet=U0&amp;row=6822&amp;col=6&amp;number=4.8&amp;sourceID=14","4.8")</f>
        <v>4.8</v>
      </c>
      <c r="G6822" s="4" t="str">
        <f>HYPERLINK("http://141.218.60.56/~jnz1568/getInfo.php?workbook=16_08.xlsx&amp;sheet=U0&amp;row=6822&amp;col=7&amp;number=7.53e-07&amp;sourceID=14","7.53e-07")</f>
        <v>7.53e-07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HYPERLINK("http://141.218.60.56/~jnz1568/getInfo.php?workbook=16_08.xlsx&amp;sheet=U0&amp;row=6823&amp;col=6&amp;number=4.9&amp;sourceID=14","4.9")</f>
        <v>4.9</v>
      </c>
      <c r="G6823" s="4" t="str">
        <f>HYPERLINK("http://141.218.60.56/~jnz1568/getInfo.php?workbook=16_08.xlsx&amp;sheet=U0&amp;row=6823&amp;col=7&amp;number=7.57e-07&amp;sourceID=14","7.57e-07")</f>
        <v>7.57e-07</v>
      </c>
    </row>
    <row r="6824" spans="1:7">
      <c r="A6824" s="3">
        <v>16</v>
      </c>
      <c r="B6824" s="3">
        <v>8</v>
      </c>
      <c r="C6824" s="3">
        <v>5</v>
      </c>
      <c r="D6824" s="3">
        <v>13</v>
      </c>
      <c r="E6824" s="3">
        <v>1</v>
      </c>
      <c r="F6824" s="4" t="str">
        <f>HYPERLINK("http://141.218.60.56/~jnz1568/getInfo.php?workbook=16_08.xlsx&amp;sheet=U0&amp;row=6824&amp;col=6&amp;number=3&amp;sourceID=14","3")</f>
        <v>3</v>
      </c>
      <c r="G6824" s="4" t="str">
        <f>HYPERLINK("http://141.218.60.56/~jnz1568/getInfo.php?workbook=16_08.xlsx&amp;sheet=U0&amp;row=6824&amp;col=7&amp;number=9.46e-06&amp;sourceID=14","9.46e-06")</f>
        <v>9.46e-06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HYPERLINK("http://141.218.60.56/~jnz1568/getInfo.php?workbook=16_08.xlsx&amp;sheet=U0&amp;row=6825&amp;col=6&amp;number=3.1&amp;sourceID=14","3.1")</f>
        <v>3.1</v>
      </c>
      <c r="G6825" s="4" t="str">
        <f>HYPERLINK("http://141.218.60.56/~jnz1568/getInfo.php?workbook=16_08.xlsx&amp;sheet=U0&amp;row=6825&amp;col=7&amp;number=9.46e-06&amp;sourceID=14","9.46e-06")</f>
        <v>9.46e-06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HYPERLINK("http://141.218.60.56/~jnz1568/getInfo.php?workbook=16_08.xlsx&amp;sheet=U0&amp;row=6826&amp;col=6&amp;number=3.2&amp;sourceID=14","3.2")</f>
        <v>3.2</v>
      </c>
      <c r="G6826" s="4" t="str">
        <f>HYPERLINK("http://141.218.60.56/~jnz1568/getInfo.php?workbook=16_08.xlsx&amp;sheet=U0&amp;row=6826&amp;col=7&amp;number=9.46e-06&amp;sourceID=14","9.46e-06")</f>
        <v>9.46e-06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HYPERLINK("http://141.218.60.56/~jnz1568/getInfo.php?workbook=16_08.xlsx&amp;sheet=U0&amp;row=6827&amp;col=6&amp;number=3.3&amp;sourceID=14","3.3")</f>
        <v>3.3</v>
      </c>
      <c r="G6827" s="4" t="str">
        <f>HYPERLINK("http://141.218.60.56/~jnz1568/getInfo.php?workbook=16_08.xlsx&amp;sheet=U0&amp;row=6827&amp;col=7&amp;number=9.46e-06&amp;sourceID=14","9.46e-06")</f>
        <v>9.46e-06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HYPERLINK("http://141.218.60.56/~jnz1568/getInfo.php?workbook=16_08.xlsx&amp;sheet=U0&amp;row=6828&amp;col=6&amp;number=3.4&amp;sourceID=14","3.4")</f>
        <v>3.4</v>
      </c>
      <c r="G6828" s="4" t="str">
        <f>HYPERLINK("http://141.218.60.56/~jnz1568/getInfo.php?workbook=16_08.xlsx&amp;sheet=U0&amp;row=6828&amp;col=7&amp;number=9.47e-06&amp;sourceID=14","9.47e-06")</f>
        <v>9.47e-06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HYPERLINK("http://141.218.60.56/~jnz1568/getInfo.php?workbook=16_08.xlsx&amp;sheet=U0&amp;row=6829&amp;col=6&amp;number=3.5&amp;sourceID=14","3.5")</f>
        <v>3.5</v>
      </c>
      <c r="G6829" s="4" t="str">
        <f>HYPERLINK("http://141.218.60.56/~jnz1568/getInfo.php?workbook=16_08.xlsx&amp;sheet=U0&amp;row=6829&amp;col=7&amp;number=9.47e-06&amp;sourceID=14","9.47e-06")</f>
        <v>9.47e-06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HYPERLINK("http://141.218.60.56/~jnz1568/getInfo.php?workbook=16_08.xlsx&amp;sheet=U0&amp;row=6830&amp;col=6&amp;number=3.6&amp;sourceID=14","3.6")</f>
        <v>3.6</v>
      </c>
      <c r="G6830" s="4" t="str">
        <f>HYPERLINK("http://141.218.60.56/~jnz1568/getInfo.php?workbook=16_08.xlsx&amp;sheet=U0&amp;row=6830&amp;col=7&amp;number=9.48e-06&amp;sourceID=14","9.48e-06")</f>
        <v>9.48e-06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HYPERLINK("http://141.218.60.56/~jnz1568/getInfo.php?workbook=16_08.xlsx&amp;sheet=U0&amp;row=6831&amp;col=6&amp;number=3.7&amp;sourceID=14","3.7")</f>
        <v>3.7</v>
      </c>
      <c r="G6831" s="4" t="str">
        <f>HYPERLINK("http://141.218.60.56/~jnz1568/getInfo.php?workbook=16_08.xlsx&amp;sheet=U0&amp;row=6831&amp;col=7&amp;number=9.49e-06&amp;sourceID=14","9.49e-06")</f>
        <v>9.49e-06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HYPERLINK("http://141.218.60.56/~jnz1568/getInfo.php?workbook=16_08.xlsx&amp;sheet=U0&amp;row=6832&amp;col=6&amp;number=3.8&amp;sourceID=14","3.8")</f>
        <v>3.8</v>
      </c>
      <c r="G6832" s="4" t="str">
        <f>HYPERLINK("http://141.218.60.56/~jnz1568/getInfo.php?workbook=16_08.xlsx&amp;sheet=U0&amp;row=6832&amp;col=7&amp;number=9.5e-06&amp;sourceID=14","9.5e-06")</f>
        <v>9.5e-06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HYPERLINK("http://141.218.60.56/~jnz1568/getInfo.php?workbook=16_08.xlsx&amp;sheet=U0&amp;row=6833&amp;col=6&amp;number=3.9&amp;sourceID=14","3.9")</f>
        <v>3.9</v>
      </c>
      <c r="G6833" s="4" t="str">
        <f>HYPERLINK("http://141.218.60.56/~jnz1568/getInfo.php?workbook=16_08.xlsx&amp;sheet=U0&amp;row=6833&amp;col=7&amp;number=9.51e-06&amp;sourceID=14","9.51e-06")</f>
        <v>9.51e-06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HYPERLINK("http://141.218.60.56/~jnz1568/getInfo.php?workbook=16_08.xlsx&amp;sheet=U0&amp;row=6834&amp;col=6&amp;number=4&amp;sourceID=14","4")</f>
        <v>4</v>
      </c>
      <c r="G6834" s="4" t="str">
        <f>HYPERLINK("http://141.218.60.56/~jnz1568/getInfo.php?workbook=16_08.xlsx&amp;sheet=U0&amp;row=6834&amp;col=7&amp;number=9.53e-06&amp;sourceID=14","9.53e-06")</f>
        <v>9.53e-06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HYPERLINK("http://141.218.60.56/~jnz1568/getInfo.php?workbook=16_08.xlsx&amp;sheet=U0&amp;row=6835&amp;col=6&amp;number=4.1&amp;sourceID=14","4.1")</f>
        <v>4.1</v>
      </c>
      <c r="G6835" s="4" t="str">
        <f>HYPERLINK("http://141.218.60.56/~jnz1568/getInfo.php?workbook=16_08.xlsx&amp;sheet=U0&amp;row=6835&amp;col=7&amp;number=9.55e-06&amp;sourceID=14","9.55e-06")</f>
        <v>9.55e-06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HYPERLINK("http://141.218.60.56/~jnz1568/getInfo.php?workbook=16_08.xlsx&amp;sheet=U0&amp;row=6836&amp;col=6&amp;number=4.2&amp;sourceID=14","4.2")</f>
        <v>4.2</v>
      </c>
      <c r="G6836" s="4" t="str">
        <f>HYPERLINK("http://141.218.60.56/~jnz1568/getInfo.php?workbook=16_08.xlsx&amp;sheet=U0&amp;row=6836&amp;col=7&amp;number=9.57e-06&amp;sourceID=14","9.57e-06")</f>
        <v>9.57e-06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HYPERLINK("http://141.218.60.56/~jnz1568/getInfo.php?workbook=16_08.xlsx&amp;sheet=U0&amp;row=6837&amp;col=6&amp;number=4.3&amp;sourceID=14","4.3")</f>
        <v>4.3</v>
      </c>
      <c r="G6837" s="4" t="str">
        <f>HYPERLINK("http://141.218.60.56/~jnz1568/getInfo.php?workbook=16_08.xlsx&amp;sheet=U0&amp;row=6837&amp;col=7&amp;number=9.6e-06&amp;sourceID=14","9.6e-06")</f>
        <v>9.6e-06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HYPERLINK("http://141.218.60.56/~jnz1568/getInfo.php?workbook=16_08.xlsx&amp;sheet=U0&amp;row=6838&amp;col=6&amp;number=4.4&amp;sourceID=14","4.4")</f>
        <v>4.4</v>
      </c>
      <c r="G6838" s="4" t="str">
        <f>HYPERLINK("http://141.218.60.56/~jnz1568/getInfo.php?workbook=16_08.xlsx&amp;sheet=U0&amp;row=6838&amp;col=7&amp;number=9.64e-06&amp;sourceID=14","9.64e-06")</f>
        <v>9.64e-06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HYPERLINK("http://141.218.60.56/~jnz1568/getInfo.php?workbook=16_08.xlsx&amp;sheet=U0&amp;row=6839&amp;col=6&amp;number=4.5&amp;sourceID=14","4.5")</f>
        <v>4.5</v>
      </c>
      <c r="G6839" s="4" t="str">
        <f>HYPERLINK("http://141.218.60.56/~jnz1568/getInfo.php?workbook=16_08.xlsx&amp;sheet=U0&amp;row=6839&amp;col=7&amp;number=9.69e-06&amp;sourceID=14","9.69e-06")</f>
        <v>9.69e-06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HYPERLINK("http://141.218.60.56/~jnz1568/getInfo.php?workbook=16_08.xlsx&amp;sheet=U0&amp;row=6840&amp;col=6&amp;number=4.6&amp;sourceID=14","4.6")</f>
        <v>4.6</v>
      </c>
      <c r="G6840" s="4" t="str">
        <f>HYPERLINK("http://141.218.60.56/~jnz1568/getInfo.php?workbook=16_08.xlsx&amp;sheet=U0&amp;row=6840&amp;col=7&amp;number=9.75e-06&amp;sourceID=14","9.75e-06")</f>
        <v>9.75e-06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HYPERLINK("http://141.218.60.56/~jnz1568/getInfo.php?workbook=16_08.xlsx&amp;sheet=U0&amp;row=6841&amp;col=6&amp;number=4.7&amp;sourceID=14","4.7")</f>
        <v>4.7</v>
      </c>
      <c r="G6841" s="4" t="str">
        <f>HYPERLINK("http://141.218.60.56/~jnz1568/getInfo.php?workbook=16_08.xlsx&amp;sheet=U0&amp;row=6841&amp;col=7&amp;number=9.83e-06&amp;sourceID=14","9.83e-06")</f>
        <v>9.83e-06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HYPERLINK("http://141.218.60.56/~jnz1568/getInfo.php?workbook=16_08.xlsx&amp;sheet=U0&amp;row=6842&amp;col=6&amp;number=4.8&amp;sourceID=14","4.8")</f>
        <v>4.8</v>
      </c>
      <c r="G6842" s="4" t="str">
        <f>HYPERLINK("http://141.218.60.56/~jnz1568/getInfo.php?workbook=16_08.xlsx&amp;sheet=U0&amp;row=6842&amp;col=7&amp;number=9.93e-06&amp;sourceID=14","9.93e-06")</f>
        <v>9.93e-06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HYPERLINK("http://141.218.60.56/~jnz1568/getInfo.php?workbook=16_08.xlsx&amp;sheet=U0&amp;row=6843&amp;col=6&amp;number=4.9&amp;sourceID=14","4.9")</f>
        <v>4.9</v>
      </c>
      <c r="G6843" s="4" t="str">
        <f>HYPERLINK("http://141.218.60.56/~jnz1568/getInfo.php?workbook=16_08.xlsx&amp;sheet=U0&amp;row=6843&amp;col=7&amp;number=1.01e-05&amp;sourceID=14","1.01e-05")</f>
        <v>1.01e-05</v>
      </c>
    </row>
    <row r="6844" spans="1:7">
      <c r="A6844" s="3">
        <v>16</v>
      </c>
      <c r="B6844" s="3">
        <v>8</v>
      </c>
      <c r="C6844" s="3">
        <v>5</v>
      </c>
      <c r="D6844" s="3">
        <v>14</v>
      </c>
      <c r="E6844" s="3">
        <v>1</v>
      </c>
      <c r="F6844" s="4" t="str">
        <f>HYPERLINK("http://141.218.60.56/~jnz1568/getInfo.php?workbook=16_08.xlsx&amp;sheet=U0&amp;row=6844&amp;col=6&amp;number=3&amp;sourceID=14","3")</f>
        <v>3</v>
      </c>
      <c r="G6844" s="4" t="str">
        <f>HYPERLINK("http://141.218.60.56/~jnz1568/getInfo.php?workbook=16_08.xlsx&amp;sheet=U0&amp;row=6844&amp;col=7&amp;number=2.85e-05&amp;sourceID=14","2.85e-05")</f>
        <v>2.85e-05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HYPERLINK("http://141.218.60.56/~jnz1568/getInfo.php?workbook=16_08.xlsx&amp;sheet=U0&amp;row=6845&amp;col=6&amp;number=3.1&amp;sourceID=14","3.1")</f>
        <v>3.1</v>
      </c>
      <c r="G6845" s="4" t="str">
        <f>HYPERLINK("http://141.218.60.56/~jnz1568/getInfo.php?workbook=16_08.xlsx&amp;sheet=U0&amp;row=6845&amp;col=7&amp;number=2.85e-05&amp;sourceID=14","2.85e-05")</f>
        <v>2.85e-05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HYPERLINK("http://141.218.60.56/~jnz1568/getInfo.php?workbook=16_08.xlsx&amp;sheet=U0&amp;row=6846&amp;col=6&amp;number=3.2&amp;sourceID=14","3.2")</f>
        <v>3.2</v>
      </c>
      <c r="G6846" s="4" t="str">
        <f>HYPERLINK("http://141.218.60.56/~jnz1568/getInfo.php?workbook=16_08.xlsx&amp;sheet=U0&amp;row=6846&amp;col=7&amp;number=2.85e-05&amp;sourceID=14","2.85e-05")</f>
        <v>2.85e-05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HYPERLINK("http://141.218.60.56/~jnz1568/getInfo.php?workbook=16_08.xlsx&amp;sheet=U0&amp;row=6847&amp;col=6&amp;number=3.3&amp;sourceID=14","3.3")</f>
        <v>3.3</v>
      </c>
      <c r="G6847" s="4" t="str">
        <f>HYPERLINK("http://141.218.60.56/~jnz1568/getInfo.php?workbook=16_08.xlsx&amp;sheet=U0&amp;row=6847&amp;col=7&amp;number=2.85e-05&amp;sourceID=14","2.85e-05")</f>
        <v>2.85e-05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HYPERLINK("http://141.218.60.56/~jnz1568/getInfo.php?workbook=16_08.xlsx&amp;sheet=U0&amp;row=6848&amp;col=6&amp;number=3.4&amp;sourceID=14","3.4")</f>
        <v>3.4</v>
      </c>
      <c r="G6848" s="4" t="str">
        <f>HYPERLINK("http://141.218.60.56/~jnz1568/getInfo.php?workbook=16_08.xlsx&amp;sheet=U0&amp;row=6848&amp;col=7&amp;number=2.85e-05&amp;sourceID=14","2.85e-05")</f>
        <v>2.85e-05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HYPERLINK("http://141.218.60.56/~jnz1568/getInfo.php?workbook=16_08.xlsx&amp;sheet=U0&amp;row=6849&amp;col=6&amp;number=3.5&amp;sourceID=14","3.5")</f>
        <v>3.5</v>
      </c>
      <c r="G6849" s="4" t="str">
        <f>HYPERLINK("http://141.218.60.56/~jnz1568/getInfo.php?workbook=16_08.xlsx&amp;sheet=U0&amp;row=6849&amp;col=7&amp;number=2.85e-05&amp;sourceID=14","2.85e-05")</f>
        <v>2.85e-05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HYPERLINK("http://141.218.60.56/~jnz1568/getInfo.php?workbook=16_08.xlsx&amp;sheet=U0&amp;row=6850&amp;col=6&amp;number=3.6&amp;sourceID=14","3.6")</f>
        <v>3.6</v>
      </c>
      <c r="G6850" s="4" t="str">
        <f>HYPERLINK("http://141.218.60.56/~jnz1568/getInfo.php?workbook=16_08.xlsx&amp;sheet=U0&amp;row=6850&amp;col=7&amp;number=2.85e-05&amp;sourceID=14","2.85e-05")</f>
        <v>2.85e-05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HYPERLINK("http://141.218.60.56/~jnz1568/getInfo.php?workbook=16_08.xlsx&amp;sheet=U0&amp;row=6851&amp;col=6&amp;number=3.7&amp;sourceID=14","3.7")</f>
        <v>3.7</v>
      </c>
      <c r="G6851" s="4" t="str">
        <f>HYPERLINK("http://141.218.60.56/~jnz1568/getInfo.php?workbook=16_08.xlsx&amp;sheet=U0&amp;row=6851&amp;col=7&amp;number=2.85e-05&amp;sourceID=14","2.85e-05")</f>
        <v>2.85e-05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HYPERLINK("http://141.218.60.56/~jnz1568/getInfo.php?workbook=16_08.xlsx&amp;sheet=U0&amp;row=6852&amp;col=6&amp;number=3.8&amp;sourceID=14","3.8")</f>
        <v>3.8</v>
      </c>
      <c r="G6852" s="4" t="str">
        <f>HYPERLINK("http://141.218.60.56/~jnz1568/getInfo.php?workbook=16_08.xlsx&amp;sheet=U0&amp;row=6852&amp;col=7&amp;number=2.85e-05&amp;sourceID=14","2.85e-05")</f>
        <v>2.85e-05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HYPERLINK("http://141.218.60.56/~jnz1568/getInfo.php?workbook=16_08.xlsx&amp;sheet=U0&amp;row=6853&amp;col=6&amp;number=3.9&amp;sourceID=14","3.9")</f>
        <v>3.9</v>
      </c>
      <c r="G6853" s="4" t="str">
        <f>HYPERLINK("http://141.218.60.56/~jnz1568/getInfo.php?workbook=16_08.xlsx&amp;sheet=U0&amp;row=6853&amp;col=7&amp;number=2.85e-05&amp;sourceID=14","2.85e-05")</f>
        <v>2.85e-05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HYPERLINK("http://141.218.60.56/~jnz1568/getInfo.php?workbook=16_08.xlsx&amp;sheet=U0&amp;row=6854&amp;col=6&amp;number=4&amp;sourceID=14","4")</f>
        <v>4</v>
      </c>
      <c r="G6854" s="4" t="str">
        <f>HYPERLINK("http://141.218.60.56/~jnz1568/getInfo.php?workbook=16_08.xlsx&amp;sheet=U0&amp;row=6854&amp;col=7&amp;number=2.84e-05&amp;sourceID=14","2.84e-05")</f>
        <v>2.84e-05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HYPERLINK("http://141.218.60.56/~jnz1568/getInfo.php?workbook=16_08.xlsx&amp;sheet=U0&amp;row=6855&amp;col=6&amp;number=4.1&amp;sourceID=14","4.1")</f>
        <v>4.1</v>
      </c>
      <c r="G6855" s="4" t="str">
        <f>HYPERLINK("http://141.218.60.56/~jnz1568/getInfo.php?workbook=16_08.xlsx&amp;sheet=U0&amp;row=6855&amp;col=7&amp;number=2.84e-05&amp;sourceID=14","2.84e-05")</f>
        <v>2.84e-05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HYPERLINK("http://141.218.60.56/~jnz1568/getInfo.php?workbook=16_08.xlsx&amp;sheet=U0&amp;row=6856&amp;col=6&amp;number=4.2&amp;sourceID=14","4.2")</f>
        <v>4.2</v>
      </c>
      <c r="G6856" s="4" t="str">
        <f>HYPERLINK("http://141.218.60.56/~jnz1568/getInfo.php?workbook=16_08.xlsx&amp;sheet=U0&amp;row=6856&amp;col=7&amp;number=2.84e-05&amp;sourceID=14","2.84e-05")</f>
        <v>2.84e-05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HYPERLINK("http://141.218.60.56/~jnz1568/getInfo.php?workbook=16_08.xlsx&amp;sheet=U0&amp;row=6857&amp;col=6&amp;number=4.3&amp;sourceID=14","4.3")</f>
        <v>4.3</v>
      </c>
      <c r="G6857" s="4" t="str">
        <f>HYPERLINK("http://141.218.60.56/~jnz1568/getInfo.php?workbook=16_08.xlsx&amp;sheet=U0&amp;row=6857&amp;col=7&amp;number=2.83e-05&amp;sourceID=14","2.83e-05")</f>
        <v>2.83e-05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HYPERLINK("http://141.218.60.56/~jnz1568/getInfo.php?workbook=16_08.xlsx&amp;sheet=U0&amp;row=6858&amp;col=6&amp;number=4.4&amp;sourceID=14","4.4")</f>
        <v>4.4</v>
      </c>
      <c r="G6858" s="4" t="str">
        <f>HYPERLINK("http://141.218.60.56/~jnz1568/getInfo.php?workbook=16_08.xlsx&amp;sheet=U0&amp;row=6858&amp;col=7&amp;number=2.82e-05&amp;sourceID=14","2.82e-05")</f>
        <v>2.82e-05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HYPERLINK("http://141.218.60.56/~jnz1568/getInfo.php?workbook=16_08.xlsx&amp;sheet=U0&amp;row=6859&amp;col=6&amp;number=4.5&amp;sourceID=14","4.5")</f>
        <v>4.5</v>
      </c>
      <c r="G6859" s="4" t="str">
        <f>HYPERLINK("http://141.218.60.56/~jnz1568/getInfo.php?workbook=16_08.xlsx&amp;sheet=U0&amp;row=6859&amp;col=7&amp;number=2.82e-05&amp;sourceID=14","2.82e-05")</f>
        <v>2.82e-05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HYPERLINK("http://141.218.60.56/~jnz1568/getInfo.php?workbook=16_08.xlsx&amp;sheet=U0&amp;row=6860&amp;col=6&amp;number=4.6&amp;sourceID=14","4.6")</f>
        <v>4.6</v>
      </c>
      <c r="G6860" s="4" t="str">
        <f>HYPERLINK("http://141.218.60.56/~jnz1568/getInfo.php?workbook=16_08.xlsx&amp;sheet=U0&amp;row=6860&amp;col=7&amp;number=2.81e-05&amp;sourceID=14","2.81e-05")</f>
        <v>2.81e-05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HYPERLINK("http://141.218.60.56/~jnz1568/getInfo.php?workbook=16_08.xlsx&amp;sheet=U0&amp;row=6861&amp;col=6&amp;number=4.7&amp;sourceID=14","4.7")</f>
        <v>4.7</v>
      </c>
      <c r="G6861" s="4" t="str">
        <f>HYPERLINK("http://141.218.60.56/~jnz1568/getInfo.php?workbook=16_08.xlsx&amp;sheet=U0&amp;row=6861&amp;col=7&amp;number=2.8e-05&amp;sourceID=14","2.8e-05")</f>
        <v>2.8e-05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HYPERLINK("http://141.218.60.56/~jnz1568/getInfo.php?workbook=16_08.xlsx&amp;sheet=U0&amp;row=6862&amp;col=6&amp;number=4.8&amp;sourceID=14","4.8")</f>
        <v>4.8</v>
      </c>
      <c r="G6862" s="4" t="str">
        <f>HYPERLINK("http://141.218.60.56/~jnz1568/getInfo.php?workbook=16_08.xlsx&amp;sheet=U0&amp;row=6862&amp;col=7&amp;number=2.78e-05&amp;sourceID=14","2.78e-05")</f>
        <v>2.78e-05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HYPERLINK("http://141.218.60.56/~jnz1568/getInfo.php?workbook=16_08.xlsx&amp;sheet=U0&amp;row=6863&amp;col=6&amp;number=4.9&amp;sourceID=14","4.9")</f>
        <v>4.9</v>
      </c>
      <c r="G6863" s="4" t="str">
        <f>HYPERLINK("http://141.218.60.56/~jnz1568/getInfo.php?workbook=16_08.xlsx&amp;sheet=U0&amp;row=6863&amp;col=7&amp;number=2.76e-05&amp;sourceID=14","2.76e-05")</f>
        <v>2.76e-05</v>
      </c>
    </row>
    <row r="6864" spans="1:7">
      <c r="A6864" s="3">
        <v>16</v>
      </c>
      <c r="B6864" s="3">
        <v>8</v>
      </c>
      <c r="C6864" s="3">
        <v>5</v>
      </c>
      <c r="D6864" s="3">
        <v>15</v>
      </c>
      <c r="E6864" s="3">
        <v>1</v>
      </c>
      <c r="F6864" s="4" t="str">
        <f>HYPERLINK("http://141.218.60.56/~jnz1568/getInfo.php?workbook=16_08.xlsx&amp;sheet=U0&amp;row=6864&amp;col=6&amp;number=3&amp;sourceID=14","3")</f>
        <v>3</v>
      </c>
      <c r="G6864" s="4" t="str">
        <f>HYPERLINK("http://141.218.60.56/~jnz1568/getInfo.php?workbook=16_08.xlsx&amp;sheet=U0&amp;row=6864&amp;col=7&amp;number=1.27e-05&amp;sourceID=14","1.27e-05")</f>
        <v>1.27e-05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HYPERLINK("http://141.218.60.56/~jnz1568/getInfo.php?workbook=16_08.xlsx&amp;sheet=U0&amp;row=6865&amp;col=6&amp;number=3.1&amp;sourceID=14","3.1")</f>
        <v>3.1</v>
      </c>
      <c r="G6865" s="4" t="str">
        <f>HYPERLINK("http://141.218.60.56/~jnz1568/getInfo.php?workbook=16_08.xlsx&amp;sheet=U0&amp;row=6865&amp;col=7&amp;number=1.27e-05&amp;sourceID=14","1.27e-05")</f>
        <v>1.27e-05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HYPERLINK("http://141.218.60.56/~jnz1568/getInfo.php?workbook=16_08.xlsx&amp;sheet=U0&amp;row=6866&amp;col=6&amp;number=3.2&amp;sourceID=14","3.2")</f>
        <v>3.2</v>
      </c>
      <c r="G6866" s="4" t="str">
        <f>HYPERLINK("http://141.218.60.56/~jnz1568/getInfo.php?workbook=16_08.xlsx&amp;sheet=U0&amp;row=6866&amp;col=7&amp;number=1.27e-05&amp;sourceID=14","1.27e-05")</f>
        <v>1.27e-05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HYPERLINK("http://141.218.60.56/~jnz1568/getInfo.php?workbook=16_08.xlsx&amp;sheet=U0&amp;row=6867&amp;col=6&amp;number=3.3&amp;sourceID=14","3.3")</f>
        <v>3.3</v>
      </c>
      <c r="G6867" s="4" t="str">
        <f>HYPERLINK("http://141.218.60.56/~jnz1568/getInfo.php?workbook=16_08.xlsx&amp;sheet=U0&amp;row=6867&amp;col=7&amp;number=1.27e-05&amp;sourceID=14","1.27e-05")</f>
        <v>1.27e-05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HYPERLINK("http://141.218.60.56/~jnz1568/getInfo.php?workbook=16_08.xlsx&amp;sheet=U0&amp;row=6868&amp;col=6&amp;number=3.4&amp;sourceID=14","3.4")</f>
        <v>3.4</v>
      </c>
      <c r="G6868" s="4" t="str">
        <f>HYPERLINK("http://141.218.60.56/~jnz1568/getInfo.php?workbook=16_08.xlsx&amp;sheet=U0&amp;row=6868&amp;col=7&amp;number=1.27e-05&amp;sourceID=14","1.27e-05")</f>
        <v>1.27e-05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HYPERLINK("http://141.218.60.56/~jnz1568/getInfo.php?workbook=16_08.xlsx&amp;sheet=U0&amp;row=6869&amp;col=6&amp;number=3.5&amp;sourceID=14","3.5")</f>
        <v>3.5</v>
      </c>
      <c r="G6869" s="4" t="str">
        <f>HYPERLINK("http://141.218.60.56/~jnz1568/getInfo.php?workbook=16_08.xlsx&amp;sheet=U0&amp;row=6869&amp;col=7&amp;number=1.27e-05&amp;sourceID=14","1.27e-05")</f>
        <v>1.27e-05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HYPERLINK("http://141.218.60.56/~jnz1568/getInfo.php?workbook=16_08.xlsx&amp;sheet=U0&amp;row=6870&amp;col=6&amp;number=3.6&amp;sourceID=14","3.6")</f>
        <v>3.6</v>
      </c>
      <c r="G6870" s="4" t="str">
        <f>HYPERLINK("http://141.218.60.56/~jnz1568/getInfo.php?workbook=16_08.xlsx&amp;sheet=U0&amp;row=6870&amp;col=7&amp;number=1.27e-05&amp;sourceID=14","1.27e-05")</f>
        <v>1.27e-05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HYPERLINK("http://141.218.60.56/~jnz1568/getInfo.php?workbook=16_08.xlsx&amp;sheet=U0&amp;row=6871&amp;col=6&amp;number=3.7&amp;sourceID=14","3.7")</f>
        <v>3.7</v>
      </c>
      <c r="G6871" s="4" t="str">
        <f>HYPERLINK("http://141.218.60.56/~jnz1568/getInfo.php?workbook=16_08.xlsx&amp;sheet=U0&amp;row=6871&amp;col=7&amp;number=1.27e-05&amp;sourceID=14","1.27e-05")</f>
        <v>1.27e-05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HYPERLINK("http://141.218.60.56/~jnz1568/getInfo.php?workbook=16_08.xlsx&amp;sheet=U0&amp;row=6872&amp;col=6&amp;number=3.8&amp;sourceID=14","3.8")</f>
        <v>3.8</v>
      </c>
      <c r="G6872" s="4" t="str">
        <f>HYPERLINK("http://141.218.60.56/~jnz1568/getInfo.php?workbook=16_08.xlsx&amp;sheet=U0&amp;row=6872&amp;col=7&amp;number=1.27e-05&amp;sourceID=14","1.27e-05")</f>
        <v>1.27e-05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HYPERLINK("http://141.218.60.56/~jnz1568/getInfo.php?workbook=16_08.xlsx&amp;sheet=U0&amp;row=6873&amp;col=6&amp;number=3.9&amp;sourceID=14","3.9")</f>
        <v>3.9</v>
      </c>
      <c r="G6873" s="4" t="str">
        <f>HYPERLINK("http://141.218.60.56/~jnz1568/getInfo.php?workbook=16_08.xlsx&amp;sheet=U0&amp;row=6873&amp;col=7&amp;number=1.27e-05&amp;sourceID=14","1.27e-05")</f>
        <v>1.27e-05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HYPERLINK("http://141.218.60.56/~jnz1568/getInfo.php?workbook=16_08.xlsx&amp;sheet=U0&amp;row=6874&amp;col=6&amp;number=4&amp;sourceID=14","4")</f>
        <v>4</v>
      </c>
      <c r="G6874" s="4" t="str">
        <f>HYPERLINK("http://141.218.60.56/~jnz1568/getInfo.php?workbook=16_08.xlsx&amp;sheet=U0&amp;row=6874&amp;col=7&amp;number=1.27e-05&amp;sourceID=14","1.27e-05")</f>
        <v>1.27e-05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HYPERLINK("http://141.218.60.56/~jnz1568/getInfo.php?workbook=16_08.xlsx&amp;sheet=U0&amp;row=6875&amp;col=6&amp;number=4.1&amp;sourceID=14","4.1")</f>
        <v>4.1</v>
      </c>
      <c r="G6875" s="4" t="str">
        <f>HYPERLINK("http://141.218.60.56/~jnz1568/getInfo.php?workbook=16_08.xlsx&amp;sheet=U0&amp;row=6875&amp;col=7&amp;number=1.26e-05&amp;sourceID=14","1.26e-05")</f>
        <v>1.26e-05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HYPERLINK("http://141.218.60.56/~jnz1568/getInfo.php?workbook=16_08.xlsx&amp;sheet=U0&amp;row=6876&amp;col=6&amp;number=4.2&amp;sourceID=14","4.2")</f>
        <v>4.2</v>
      </c>
      <c r="G6876" s="4" t="str">
        <f>HYPERLINK("http://141.218.60.56/~jnz1568/getInfo.php?workbook=16_08.xlsx&amp;sheet=U0&amp;row=6876&amp;col=7&amp;number=1.26e-05&amp;sourceID=14","1.26e-05")</f>
        <v>1.26e-05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HYPERLINK("http://141.218.60.56/~jnz1568/getInfo.php?workbook=16_08.xlsx&amp;sheet=U0&amp;row=6877&amp;col=6&amp;number=4.3&amp;sourceID=14","4.3")</f>
        <v>4.3</v>
      </c>
      <c r="G6877" s="4" t="str">
        <f>HYPERLINK("http://141.218.60.56/~jnz1568/getInfo.php?workbook=16_08.xlsx&amp;sheet=U0&amp;row=6877&amp;col=7&amp;number=1.26e-05&amp;sourceID=14","1.26e-05")</f>
        <v>1.26e-05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HYPERLINK("http://141.218.60.56/~jnz1568/getInfo.php?workbook=16_08.xlsx&amp;sheet=U0&amp;row=6878&amp;col=6&amp;number=4.4&amp;sourceID=14","4.4")</f>
        <v>4.4</v>
      </c>
      <c r="G6878" s="4" t="str">
        <f>HYPERLINK("http://141.218.60.56/~jnz1568/getInfo.php?workbook=16_08.xlsx&amp;sheet=U0&amp;row=6878&amp;col=7&amp;number=1.25e-05&amp;sourceID=14","1.25e-05")</f>
        <v>1.25e-05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HYPERLINK("http://141.218.60.56/~jnz1568/getInfo.php?workbook=16_08.xlsx&amp;sheet=U0&amp;row=6879&amp;col=6&amp;number=4.5&amp;sourceID=14","4.5")</f>
        <v>4.5</v>
      </c>
      <c r="G6879" s="4" t="str">
        <f>HYPERLINK("http://141.218.60.56/~jnz1568/getInfo.php?workbook=16_08.xlsx&amp;sheet=U0&amp;row=6879&amp;col=7&amp;number=1.25e-05&amp;sourceID=14","1.25e-05")</f>
        <v>1.25e-05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HYPERLINK("http://141.218.60.56/~jnz1568/getInfo.php?workbook=16_08.xlsx&amp;sheet=U0&amp;row=6880&amp;col=6&amp;number=4.6&amp;sourceID=14","4.6")</f>
        <v>4.6</v>
      </c>
      <c r="G6880" s="4" t="str">
        <f>HYPERLINK("http://141.218.60.56/~jnz1568/getInfo.php?workbook=16_08.xlsx&amp;sheet=U0&amp;row=6880&amp;col=7&amp;number=1.24e-05&amp;sourceID=14","1.24e-05")</f>
        <v>1.24e-05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HYPERLINK("http://141.218.60.56/~jnz1568/getInfo.php?workbook=16_08.xlsx&amp;sheet=U0&amp;row=6881&amp;col=6&amp;number=4.7&amp;sourceID=14","4.7")</f>
        <v>4.7</v>
      </c>
      <c r="G6881" s="4" t="str">
        <f>HYPERLINK("http://141.218.60.56/~jnz1568/getInfo.php?workbook=16_08.xlsx&amp;sheet=U0&amp;row=6881&amp;col=7&amp;number=1.24e-05&amp;sourceID=14","1.24e-05")</f>
        <v>1.24e-05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HYPERLINK("http://141.218.60.56/~jnz1568/getInfo.php?workbook=16_08.xlsx&amp;sheet=U0&amp;row=6882&amp;col=6&amp;number=4.8&amp;sourceID=14","4.8")</f>
        <v>4.8</v>
      </c>
      <c r="G6882" s="4" t="str">
        <f>HYPERLINK("http://141.218.60.56/~jnz1568/getInfo.php?workbook=16_08.xlsx&amp;sheet=U0&amp;row=6882&amp;col=7&amp;number=1.23e-05&amp;sourceID=14","1.23e-05")</f>
        <v>1.23e-05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HYPERLINK("http://141.218.60.56/~jnz1568/getInfo.php?workbook=16_08.xlsx&amp;sheet=U0&amp;row=6883&amp;col=6&amp;number=4.9&amp;sourceID=14","4.9")</f>
        <v>4.9</v>
      </c>
      <c r="G6883" s="4" t="str">
        <f>HYPERLINK("http://141.218.60.56/~jnz1568/getInfo.php?workbook=16_08.xlsx&amp;sheet=U0&amp;row=6883&amp;col=7&amp;number=1.21e-05&amp;sourceID=14","1.21e-05")</f>
        <v>1.21e-05</v>
      </c>
    </row>
    <row r="6884" spans="1:7">
      <c r="A6884" s="3">
        <v>16</v>
      </c>
      <c r="B6884" s="3">
        <v>8</v>
      </c>
      <c r="C6884" s="3">
        <v>5</v>
      </c>
      <c r="D6884" s="3">
        <v>16</v>
      </c>
      <c r="E6884" s="3">
        <v>1</v>
      </c>
      <c r="F6884" s="4" t="str">
        <f>HYPERLINK("http://141.218.60.56/~jnz1568/getInfo.php?workbook=16_08.xlsx&amp;sheet=U0&amp;row=6884&amp;col=6&amp;number=3&amp;sourceID=14","3")</f>
        <v>3</v>
      </c>
      <c r="G6884" s="4" t="str">
        <f>HYPERLINK("http://141.218.60.56/~jnz1568/getInfo.php?workbook=16_08.xlsx&amp;sheet=U0&amp;row=6884&amp;col=7&amp;number=4.76e-05&amp;sourceID=14","4.76e-05")</f>
        <v>4.76e-05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HYPERLINK("http://141.218.60.56/~jnz1568/getInfo.php?workbook=16_08.xlsx&amp;sheet=U0&amp;row=6885&amp;col=6&amp;number=3.1&amp;sourceID=14","3.1")</f>
        <v>3.1</v>
      </c>
      <c r="G6885" s="4" t="str">
        <f>HYPERLINK("http://141.218.60.56/~jnz1568/getInfo.php?workbook=16_08.xlsx&amp;sheet=U0&amp;row=6885&amp;col=7&amp;number=4.76e-05&amp;sourceID=14","4.76e-05")</f>
        <v>4.76e-05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HYPERLINK("http://141.218.60.56/~jnz1568/getInfo.php?workbook=16_08.xlsx&amp;sheet=U0&amp;row=6886&amp;col=6&amp;number=3.2&amp;sourceID=14","3.2")</f>
        <v>3.2</v>
      </c>
      <c r="G6886" s="4" t="str">
        <f>HYPERLINK("http://141.218.60.56/~jnz1568/getInfo.php?workbook=16_08.xlsx&amp;sheet=U0&amp;row=6886&amp;col=7&amp;number=4.76e-05&amp;sourceID=14","4.76e-05")</f>
        <v>4.76e-05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HYPERLINK("http://141.218.60.56/~jnz1568/getInfo.php?workbook=16_08.xlsx&amp;sheet=U0&amp;row=6887&amp;col=6&amp;number=3.3&amp;sourceID=14","3.3")</f>
        <v>3.3</v>
      </c>
      <c r="G6887" s="4" t="str">
        <f>HYPERLINK("http://141.218.60.56/~jnz1568/getInfo.php?workbook=16_08.xlsx&amp;sheet=U0&amp;row=6887&amp;col=7&amp;number=4.76e-05&amp;sourceID=14","4.76e-05")</f>
        <v>4.76e-05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HYPERLINK("http://141.218.60.56/~jnz1568/getInfo.php?workbook=16_08.xlsx&amp;sheet=U0&amp;row=6888&amp;col=6&amp;number=3.4&amp;sourceID=14","3.4")</f>
        <v>3.4</v>
      </c>
      <c r="G6888" s="4" t="str">
        <f>HYPERLINK("http://141.218.60.56/~jnz1568/getInfo.php?workbook=16_08.xlsx&amp;sheet=U0&amp;row=6888&amp;col=7&amp;number=4.76e-05&amp;sourceID=14","4.76e-05")</f>
        <v>4.76e-05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HYPERLINK("http://141.218.60.56/~jnz1568/getInfo.php?workbook=16_08.xlsx&amp;sheet=U0&amp;row=6889&amp;col=6&amp;number=3.5&amp;sourceID=14","3.5")</f>
        <v>3.5</v>
      </c>
      <c r="G6889" s="4" t="str">
        <f>HYPERLINK("http://141.218.60.56/~jnz1568/getInfo.php?workbook=16_08.xlsx&amp;sheet=U0&amp;row=6889&amp;col=7&amp;number=4.75e-05&amp;sourceID=14","4.75e-05")</f>
        <v>4.75e-05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HYPERLINK("http://141.218.60.56/~jnz1568/getInfo.php?workbook=16_08.xlsx&amp;sheet=U0&amp;row=6890&amp;col=6&amp;number=3.6&amp;sourceID=14","3.6")</f>
        <v>3.6</v>
      </c>
      <c r="G6890" s="4" t="str">
        <f>HYPERLINK("http://141.218.60.56/~jnz1568/getInfo.php?workbook=16_08.xlsx&amp;sheet=U0&amp;row=6890&amp;col=7&amp;number=4.75e-05&amp;sourceID=14","4.75e-05")</f>
        <v>4.75e-05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HYPERLINK("http://141.218.60.56/~jnz1568/getInfo.php?workbook=16_08.xlsx&amp;sheet=U0&amp;row=6891&amp;col=6&amp;number=3.7&amp;sourceID=14","3.7")</f>
        <v>3.7</v>
      </c>
      <c r="G6891" s="4" t="str">
        <f>HYPERLINK("http://141.218.60.56/~jnz1568/getInfo.php?workbook=16_08.xlsx&amp;sheet=U0&amp;row=6891&amp;col=7&amp;number=4.75e-05&amp;sourceID=14","4.75e-05")</f>
        <v>4.75e-05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HYPERLINK("http://141.218.60.56/~jnz1568/getInfo.php?workbook=16_08.xlsx&amp;sheet=U0&amp;row=6892&amp;col=6&amp;number=3.8&amp;sourceID=14","3.8")</f>
        <v>3.8</v>
      </c>
      <c r="G6892" s="4" t="str">
        <f>HYPERLINK("http://141.218.60.56/~jnz1568/getInfo.php?workbook=16_08.xlsx&amp;sheet=U0&amp;row=6892&amp;col=7&amp;number=4.75e-05&amp;sourceID=14","4.75e-05")</f>
        <v>4.75e-05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HYPERLINK("http://141.218.60.56/~jnz1568/getInfo.php?workbook=16_08.xlsx&amp;sheet=U0&amp;row=6893&amp;col=6&amp;number=3.9&amp;sourceID=14","3.9")</f>
        <v>3.9</v>
      </c>
      <c r="G6893" s="4" t="str">
        <f>HYPERLINK("http://141.218.60.56/~jnz1568/getInfo.php?workbook=16_08.xlsx&amp;sheet=U0&amp;row=6893&amp;col=7&amp;number=4.75e-05&amp;sourceID=14","4.75e-05")</f>
        <v>4.75e-05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HYPERLINK("http://141.218.60.56/~jnz1568/getInfo.php?workbook=16_08.xlsx&amp;sheet=U0&amp;row=6894&amp;col=6&amp;number=4&amp;sourceID=14","4")</f>
        <v>4</v>
      </c>
      <c r="G6894" s="4" t="str">
        <f>HYPERLINK("http://141.218.60.56/~jnz1568/getInfo.php?workbook=16_08.xlsx&amp;sheet=U0&amp;row=6894&amp;col=7&amp;number=4.75e-05&amp;sourceID=14","4.75e-05")</f>
        <v>4.75e-05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HYPERLINK("http://141.218.60.56/~jnz1568/getInfo.php?workbook=16_08.xlsx&amp;sheet=U0&amp;row=6895&amp;col=6&amp;number=4.1&amp;sourceID=14","4.1")</f>
        <v>4.1</v>
      </c>
      <c r="G6895" s="4" t="str">
        <f>HYPERLINK("http://141.218.60.56/~jnz1568/getInfo.php?workbook=16_08.xlsx&amp;sheet=U0&amp;row=6895&amp;col=7&amp;number=4.75e-05&amp;sourceID=14","4.75e-05")</f>
        <v>4.75e-05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HYPERLINK("http://141.218.60.56/~jnz1568/getInfo.php?workbook=16_08.xlsx&amp;sheet=U0&amp;row=6896&amp;col=6&amp;number=4.2&amp;sourceID=14","4.2")</f>
        <v>4.2</v>
      </c>
      <c r="G6896" s="4" t="str">
        <f>HYPERLINK("http://141.218.60.56/~jnz1568/getInfo.php?workbook=16_08.xlsx&amp;sheet=U0&amp;row=6896&amp;col=7&amp;number=4.75e-05&amp;sourceID=14","4.75e-05")</f>
        <v>4.75e-05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HYPERLINK("http://141.218.60.56/~jnz1568/getInfo.php?workbook=16_08.xlsx&amp;sheet=U0&amp;row=6897&amp;col=6&amp;number=4.3&amp;sourceID=14","4.3")</f>
        <v>4.3</v>
      </c>
      <c r="G6897" s="4" t="str">
        <f>HYPERLINK("http://141.218.60.56/~jnz1568/getInfo.php?workbook=16_08.xlsx&amp;sheet=U0&amp;row=6897&amp;col=7&amp;number=4.74e-05&amp;sourceID=14","4.74e-05")</f>
        <v>4.74e-05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HYPERLINK("http://141.218.60.56/~jnz1568/getInfo.php?workbook=16_08.xlsx&amp;sheet=U0&amp;row=6898&amp;col=6&amp;number=4.4&amp;sourceID=14","4.4")</f>
        <v>4.4</v>
      </c>
      <c r="G6898" s="4" t="str">
        <f>HYPERLINK("http://141.218.60.56/~jnz1568/getInfo.php?workbook=16_08.xlsx&amp;sheet=U0&amp;row=6898&amp;col=7&amp;number=4.74e-05&amp;sourceID=14","4.74e-05")</f>
        <v>4.74e-05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HYPERLINK("http://141.218.60.56/~jnz1568/getInfo.php?workbook=16_08.xlsx&amp;sheet=U0&amp;row=6899&amp;col=6&amp;number=4.5&amp;sourceID=14","4.5")</f>
        <v>4.5</v>
      </c>
      <c r="G6899" s="4" t="str">
        <f>HYPERLINK("http://141.218.60.56/~jnz1568/getInfo.php?workbook=16_08.xlsx&amp;sheet=U0&amp;row=6899&amp;col=7&amp;number=4.74e-05&amp;sourceID=14","4.74e-05")</f>
        <v>4.74e-05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HYPERLINK("http://141.218.60.56/~jnz1568/getInfo.php?workbook=16_08.xlsx&amp;sheet=U0&amp;row=6900&amp;col=6&amp;number=4.6&amp;sourceID=14","4.6")</f>
        <v>4.6</v>
      </c>
      <c r="G6900" s="4" t="str">
        <f>HYPERLINK("http://141.218.60.56/~jnz1568/getInfo.php?workbook=16_08.xlsx&amp;sheet=U0&amp;row=6900&amp;col=7&amp;number=4.73e-05&amp;sourceID=14","4.73e-05")</f>
        <v>4.73e-05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HYPERLINK("http://141.218.60.56/~jnz1568/getInfo.php?workbook=16_08.xlsx&amp;sheet=U0&amp;row=6901&amp;col=6&amp;number=4.7&amp;sourceID=14","4.7")</f>
        <v>4.7</v>
      </c>
      <c r="G6901" s="4" t="str">
        <f>HYPERLINK("http://141.218.60.56/~jnz1568/getInfo.php?workbook=16_08.xlsx&amp;sheet=U0&amp;row=6901&amp;col=7&amp;number=4.72e-05&amp;sourceID=14","4.72e-05")</f>
        <v>4.72e-05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HYPERLINK("http://141.218.60.56/~jnz1568/getInfo.php?workbook=16_08.xlsx&amp;sheet=U0&amp;row=6902&amp;col=6&amp;number=4.8&amp;sourceID=14","4.8")</f>
        <v>4.8</v>
      </c>
      <c r="G6902" s="4" t="str">
        <f>HYPERLINK("http://141.218.60.56/~jnz1568/getInfo.php?workbook=16_08.xlsx&amp;sheet=U0&amp;row=6902&amp;col=7&amp;number=4.71e-05&amp;sourceID=14","4.71e-05")</f>
        <v>4.71e-05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HYPERLINK("http://141.218.60.56/~jnz1568/getInfo.php?workbook=16_08.xlsx&amp;sheet=U0&amp;row=6903&amp;col=6&amp;number=4.9&amp;sourceID=14","4.9")</f>
        <v>4.9</v>
      </c>
      <c r="G6903" s="4" t="str">
        <f>HYPERLINK("http://141.218.60.56/~jnz1568/getInfo.php?workbook=16_08.xlsx&amp;sheet=U0&amp;row=6903&amp;col=7&amp;number=4.7e-05&amp;sourceID=14","4.7e-05")</f>
        <v>4.7e-05</v>
      </c>
    </row>
    <row r="6904" spans="1:7">
      <c r="A6904" s="3">
        <v>16</v>
      </c>
      <c r="B6904" s="3">
        <v>8</v>
      </c>
      <c r="C6904" s="3">
        <v>5</v>
      </c>
      <c r="D6904" s="3">
        <v>17</v>
      </c>
      <c r="E6904" s="3">
        <v>1</v>
      </c>
      <c r="F6904" s="4" t="str">
        <f>HYPERLINK("http://141.218.60.56/~jnz1568/getInfo.php?workbook=16_08.xlsx&amp;sheet=U0&amp;row=6904&amp;col=6&amp;number=3&amp;sourceID=14","3")</f>
        <v>3</v>
      </c>
      <c r="G6904" s="4" t="str">
        <f>HYPERLINK("http://141.218.60.56/~jnz1568/getInfo.php?workbook=16_08.xlsx&amp;sheet=U0&amp;row=6904&amp;col=7&amp;number=1.79e-06&amp;sourceID=14","1.79e-06")</f>
        <v>1.79e-06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HYPERLINK("http://141.218.60.56/~jnz1568/getInfo.php?workbook=16_08.xlsx&amp;sheet=U0&amp;row=6905&amp;col=6&amp;number=3.1&amp;sourceID=14","3.1")</f>
        <v>3.1</v>
      </c>
      <c r="G6905" s="4" t="str">
        <f>HYPERLINK("http://141.218.60.56/~jnz1568/getInfo.php?workbook=16_08.xlsx&amp;sheet=U0&amp;row=6905&amp;col=7&amp;number=1.79e-06&amp;sourceID=14","1.79e-06")</f>
        <v>1.79e-06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HYPERLINK("http://141.218.60.56/~jnz1568/getInfo.php?workbook=16_08.xlsx&amp;sheet=U0&amp;row=6906&amp;col=6&amp;number=3.2&amp;sourceID=14","3.2")</f>
        <v>3.2</v>
      </c>
      <c r="G6906" s="4" t="str">
        <f>HYPERLINK("http://141.218.60.56/~jnz1568/getInfo.php?workbook=16_08.xlsx&amp;sheet=U0&amp;row=6906&amp;col=7&amp;number=1.79e-06&amp;sourceID=14","1.79e-06")</f>
        <v>1.79e-06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HYPERLINK("http://141.218.60.56/~jnz1568/getInfo.php?workbook=16_08.xlsx&amp;sheet=U0&amp;row=6907&amp;col=6&amp;number=3.3&amp;sourceID=14","3.3")</f>
        <v>3.3</v>
      </c>
      <c r="G6907" s="4" t="str">
        <f>HYPERLINK("http://141.218.60.56/~jnz1568/getInfo.php?workbook=16_08.xlsx&amp;sheet=U0&amp;row=6907&amp;col=7&amp;number=1.79e-06&amp;sourceID=14","1.79e-06")</f>
        <v>1.79e-06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HYPERLINK("http://141.218.60.56/~jnz1568/getInfo.php?workbook=16_08.xlsx&amp;sheet=U0&amp;row=6908&amp;col=6&amp;number=3.4&amp;sourceID=14","3.4")</f>
        <v>3.4</v>
      </c>
      <c r="G6908" s="4" t="str">
        <f>HYPERLINK("http://141.218.60.56/~jnz1568/getInfo.php?workbook=16_08.xlsx&amp;sheet=U0&amp;row=6908&amp;col=7&amp;number=1.79e-06&amp;sourceID=14","1.79e-06")</f>
        <v>1.79e-06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HYPERLINK("http://141.218.60.56/~jnz1568/getInfo.php?workbook=16_08.xlsx&amp;sheet=U0&amp;row=6909&amp;col=6&amp;number=3.5&amp;sourceID=14","3.5")</f>
        <v>3.5</v>
      </c>
      <c r="G6909" s="4" t="str">
        <f>HYPERLINK("http://141.218.60.56/~jnz1568/getInfo.php?workbook=16_08.xlsx&amp;sheet=U0&amp;row=6909&amp;col=7&amp;number=1.79e-06&amp;sourceID=14","1.79e-06")</f>
        <v>1.79e-06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HYPERLINK("http://141.218.60.56/~jnz1568/getInfo.php?workbook=16_08.xlsx&amp;sheet=U0&amp;row=6910&amp;col=6&amp;number=3.6&amp;sourceID=14","3.6")</f>
        <v>3.6</v>
      </c>
      <c r="G6910" s="4" t="str">
        <f>HYPERLINK("http://141.218.60.56/~jnz1568/getInfo.php?workbook=16_08.xlsx&amp;sheet=U0&amp;row=6910&amp;col=7&amp;number=1.79e-06&amp;sourceID=14","1.79e-06")</f>
        <v>1.79e-06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HYPERLINK("http://141.218.60.56/~jnz1568/getInfo.php?workbook=16_08.xlsx&amp;sheet=U0&amp;row=6911&amp;col=6&amp;number=3.7&amp;sourceID=14","3.7")</f>
        <v>3.7</v>
      </c>
      <c r="G6911" s="4" t="str">
        <f>HYPERLINK("http://141.218.60.56/~jnz1568/getInfo.php?workbook=16_08.xlsx&amp;sheet=U0&amp;row=6911&amp;col=7&amp;number=1.79e-06&amp;sourceID=14","1.79e-06")</f>
        <v>1.79e-06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HYPERLINK("http://141.218.60.56/~jnz1568/getInfo.php?workbook=16_08.xlsx&amp;sheet=U0&amp;row=6912&amp;col=6&amp;number=3.8&amp;sourceID=14","3.8")</f>
        <v>3.8</v>
      </c>
      <c r="G6912" s="4" t="str">
        <f>HYPERLINK("http://141.218.60.56/~jnz1568/getInfo.php?workbook=16_08.xlsx&amp;sheet=U0&amp;row=6912&amp;col=7&amp;number=1.79e-06&amp;sourceID=14","1.79e-06")</f>
        <v>1.79e-06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HYPERLINK("http://141.218.60.56/~jnz1568/getInfo.php?workbook=16_08.xlsx&amp;sheet=U0&amp;row=6913&amp;col=6&amp;number=3.9&amp;sourceID=14","3.9")</f>
        <v>3.9</v>
      </c>
      <c r="G6913" s="4" t="str">
        <f>HYPERLINK("http://141.218.60.56/~jnz1568/getInfo.php?workbook=16_08.xlsx&amp;sheet=U0&amp;row=6913&amp;col=7&amp;number=1.79e-06&amp;sourceID=14","1.79e-06")</f>
        <v>1.79e-06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HYPERLINK("http://141.218.60.56/~jnz1568/getInfo.php?workbook=16_08.xlsx&amp;sheet=U0&amp;row=6914&amp;col=6&amp;number=4&amp;sourceID=14","4")</f>
        <v>4</v>
      </c>
      <c r="G6914" s="4" t="str">
        <f>HYPERLINK("http://141.218.60.56/~jnz1568/getInfo.php?workbook=16_08.xlsx&amp;sheet=U0&amp;row=6914&amp;col=7&amp;number=1.78e-06&amp;sourceID=14","1.78e-06")</f>
        <v>1.78e-06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HYPERLINK("http://141.218.60.56/~jnz1568/getInfo.php?workbook=16_08.xlsx&amp;sheet=U0&amp;row=6915&amp;col=6&amp;number=4.1&amp;sourceID=14","4.1")</f>
        <v>4.1</v>
      </c>
      <c r="G6915" s="4" t="str">
        <f>HYPERLINK("http://141.218.60.56/~jnz1568/getInfo.php?workbook=16_08.xlsx&amp;sheet=U0&amp;row=6915&amp;col=7&amp;number=1.78e-06&amp;sourceID=14","1.78e-06")</f>
        <v>1.78e-06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HYPERLINK("http://141.218.60.56/~jnz1568/getInfo.php?workbook=16_08.xlsx&amp;sheet=U0&amp;row=6916&amp;col=6&amp;number=4.2&amp;sourceID=14","4.2")</f>
        <v>4.2</v>
      </c>
      <c r="G6916" s="4" t="str">
        <f>HYPERLINK("http://141.218.60.56/~jnz1568/getInfo.php?workbook=16_08.xlsx&amp;sheet=U0&amp;row=6916&amp;col=7&amp;number=1.78e-06&amp;sourceID=14","1.78e-06")</f>
        <v>1.78e-06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HYPERLINK("http://141.218.60.56/~jnz1568/getInfo.php?workbook=16_08.xlsx&amp;sheet=U0&amp;row=6917&amp;col=6&amp;number=4.3&amp;sourceID=14","4.3")</f>
        <v>4.3</v>
      </c>
      <c r="G6917" s="4" t="str">
        <f>HYPERLINK("http://141.218.60.56/~jnz1568/getInfo.php?workbook=16_08.xlsx&amp;sheet=U0&amp;row=6917&amp;col=7&amp;number=1.78e-06&amp;sourceID=14","1.78e-06")</f>
        <v>1.78e-06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HYPERLINK("http://141.218.60.56/~jnz1568/getInfo.php?workbook=16_08.xlsx&amp;sheet=U0&amp;row=6918&amp;col=6&amp;number=4.4&amp;sourceID=14","4.4")</f>
        <v>4.4</v>
      </c>
      <c r="G6918" s="4" t="str">
        <f>HYPERLINK("http://141.218.60.56/~jnz1568/getInfo.php?workbook=16_08.xlsx&amp;sheet=U0&amp;row=6918&amp;col=7&amp;number=1.78e-06&amp;sourceID=14","1.78e-06")</f>
        <v>1.78e-06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HYPERLINK("http://141.218.60.56/~jnz1568/getInfo.php?workbook=16_08.xlsx&amp;sheet=U0&amp;row=6919&amp;col=6&amp;number=4.5&amp;sourceID=14","4.5")</f>
        <v>4.5</v>
      </c>
      <c r="G6919" s="4" t="str">
        <f>HYPERLINK("http://141.218.60.56/~jnz1568/getInfo.php?workbook=16_08.xlsx&amp;sheet=U0&amp;row=6919&amp;col=7&amp;number=1.77e-06&amp;sourceID=14","1.77e-06")</f>
        <v>1.77e-06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HYPERLINK("http://141.218.60.56/~jnz1568/getInfo.php?workbook=16_08.xlsx&amp;sheet=U0&amp;row=6920&amp;col=6&amp;number=4.6&amp;sourceID=14","4.6")</f>
        <v>4.6</v>
      </c>
      <c r="G6920" s="4" t="str">
        <f>HYPERLINK("http://141.218.60.56/~jnz1568/getInfo.php?workbook=16_08.xlsx&amp;sheet=U0&amp;row=6920&amp;col=7&amp;number=1.77e-06&amp;sourceID=14","1.77e-06")</f>
        <v>1.77e-06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HYPERLINK("http://141.218.60.56/~jnz1568/getInfo.php?workbook=16_08.xlsx&amp;sheet=U0&amp;row=6921&amp;col=6&amp;number=4.7&amp;sourceID=14","4.7")</f>
        <v>4.7</v>
      </c>
      <c r="G6921" s="4" t="str">
        <f>HYPERLINK("http://141.218.60.56/~jnz1568/getInfo.php?workbook=16_08.xlsx&amp;sheet=U0&amp;row=6921&amp;col=7&amp;number=1.76e-06&amp;sourceID=14","1.76e-06")</f>
        <v>1.76e-06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HYPERLINK("http://141.218.60.56/~jnz1568/getInfo.php?workbook=16_08.xlsx&amp;sheet=U0&amp;row=6922&amp;col=6&amp;number=4.8&amp;sourceID=14","4.8")</f>
        <v>4.8</v>
      </c>
      <c r="G6922" s="4" t="str">
        <f>HYPERLINK("http://141.218.60.56/~jnz1568/getInfo.php?workbook=16_08.xlsx&amp;sheet=U0&amp;row=6922&amp;col=7&amp;number=1.75e-06&amp;sourceID=14","1.75e-06")</f>
        <v>1.75e-06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HYPERLINK("http://141.218.60.56/~jnz1568/getInfo.php?workbook=16_08.xlsx&amp;sheet=U0&amp;row=6923&amp;col=6&amp;number=4.9&amp;sourceID=14","4.9")</f>
        <v>4.9</v>
      </c>
      <c r="G6923" s="4" t="str">
        <f>HYPERLINK("http://141.218.60.56/~jnz1568/getInfo.php?workbook=16_08.xlsx&amp;sheet=U0&amp;row=6923&amp;col=7&amp;number=1.74e-06&amp;sourceID=14","1.74e-06")</f>
        <v>1.74e-06</v>
      </c>
    </row>
    <row r="6924" spans="1:7">
      <c r="A6924" s="3">
        <v>16</v>
      </c>
      <c r="B6924" s="3">
        <v>8</v>
      </c>
      <c r="C6924" s="3">
        <v>5</v>
      </c>
      <c r="D6924" s="3">
        <v>18</v>
      </c>
      <c r="E6924" s="3">
        <v>1</v>
      </c>
      <c r="F6924" s="4" t="str">
        <f>HYPERLINK("http://141.218.60.56/~jnz1568/getInfo.php?workbook=16_08.xlsx&amp;sheet=U0&amp;row=6924&amp;col=6&amp;number=3&amp;sourceID=14","3")</f>
        <v>3</v>
      </c>
      <c r="G6924" s="4" t="str">
        <f>HYPERLINK("http://141.218.60.56/~jnz1568/getInfo.php?workbook=16_08.xlsx&amp;sheet=U0&amp;row=6924&amp;col=7&amp;number=8.87e-07&amp;sourceID=14","8.87e-07")</f>
        <v>8.87e-07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HYPERLINK("http://141.218.60.56/~jnz1568/getInfo.php?workbook=16_08.xlsx&amp;sheet=U0&amp;row=6925&amp;col=6&amp;number=3.1&amp;sourceID=14","3.1")</f>
        <v>3.1</v>
      </c>
      <c r="G6925" s="4" t="str">
        <f>HYPERLINK("http://141.218.60.56/~jnz1568/getInfo.php?workbook=16_08.xlsx&amp;sheet=U0&amp;row=6925&amp;col=7&amp;number=8.87e-07&amp;sourceID=14","8.87e-07")</f>
        <v>8.87e-07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HYPERLINK("http://141.218.60.56/~jnz1568/getInfo.php?workbook=16_08.xlsx&amp;sheet=U0&amp;row=6926&amp;col=6&amp;number=3.2&amp;sourceID=14","3.2")</f>
        <v>3.2</v>
      </c>
      <c r="G6926" s="4" t="str">
        <f>HYPERLINK("http://141.218.60.56/~jnz1568/getInfo.php?workbook=16_08.xlsx&amp;sheet=U0&amp;row=6926&amp;col=7&amp;number=8.87e-07&amp;sourceID=14","8.87e-07")</f>
        <v>8.87e-07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HYPERLINK("http://141.218.60.56/~jnz1568/getInfo.php?workbook=16_08.xlsx&amp;sheet=U0&amp;row=6927&amp;col=6&amp;number=3.3&amp;sourceID=14","3.3")</f>
        <v>3.3</v>
      </c>
      <c r="G6927" s="4" t="str">
        <f>HYPERLINK("http://141.218.60.56/~jnz1568/getInfo.php?workbook=16_08.xlsx&amp;sheet=U0&amp;row=6927&amp;col=7&amp;number=8.87e-07&amp;sourceID=14","8.87e-07")</f>
        <v>8.87e-07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HYPERLINK("http://141.218.60.56/~jnz1568/getInfo.php?workbook=16_08.xlsx&amp;sheet=U0&amp;row=6928&amp;col=6&amp;number=3.4&amp;sourceID=14","3.4")</f>
        <v>3.4</v>
      </c>
      <c r="G6928" s="4" t="str">
        <f>HYPERLINK("http://141.218.60.56/~jnz1568/getInfo.php?workbook=16_08.xlsx&amp;sheet=U0&amp;row=6928&amp;col=7&amp;number=8.87e-07&amp;sourceID=14","8.87e-07")</f>
        <v>8.87e-07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HYPERLINK("http://141.218.60.56/~jnz1568/getInfo.php?workbook=16_08.xlsx&amp;sheet=U0&amp;row=6929&amp;col=6&amp;number=3.5&amp;sourceID=14","3.5")</f>
        <v>3.5</v>
      </c>
      <c r="G6929" s="4" t="str">
        <f>HYPERLINK("http://141.218.60.56/~jnz1568/getInfo.php?workbook=16_08.xlsx&amp;sheet=U0&amp;row=6929&amp;col=7&amp;number=8.86e-07&amp;sourceID=14","8.86e-07")</f>
        <v>8.86e-07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HYPERLINK("http://141.218.60.56/~jnz1568/getInfo.php?workbook=16_08.xlsx&amp;sheet=U0&amp;row=6930&amp;col=6&amp;number=3.6&amp;sourceID=14","3.6")</f>
        <v>3.6</v>
      </c>
      <c r="G6930" s="4" t="str">
        <f>HYPERLINK("http://141.218.60.56/~jnz1568/getInfo.php?workbook=16_08.xlsx&amp;sheet=U0&amp;row=6930&amp;col=7&amp;number=8.86e-07&amp;sourceID=14","8.86e-07")</f>
        <v>8.86e-07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HYPERLINK("http://141.218.60.56/~jnz1568/getInfo.php?workbook=16_08.xlsx&amp;sheet=U0&amp;row=6931&amp;col=6&amp;number=3.7&amp;sourceID=14","3.7")</f>
        <v>3.7</v>
      </c>
      <c r="G6931" s="4" t="str">
        <f>HYPERLINK("http://141.218.60.56/~jnz1568/getInfo.php?workbook=16_08.xlsx&amp;sheet=U0&amp;row=6931&amp;col=7&amp;number=8.86e-07&amp;sourceID=14","8.86e-07")</f>
        <v>8.86e-07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HYPERLINK("http://141.218.60.56/~jnz1568/getInfo.php?workbook=16_08.xlsx&amp;sheet=U0&amp;row=6932&amp;col=6&amp;number=3.8&amp;sourceID=14","3.8")</f>
        <v>3.8</v>
      </c>
      <c r="G6932" s="4" t="str">
        <f>HYPERLINK("http://141.218.60.56/~jnz1568/getInfo.php?workbook=16_08.xlsx&amp;sheet=U0&amp;row=6932&amp;col=7&amp;number=8.86e-07&amp;sourceID=14","8.86e-07")</f>
        <v>8.86e-07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HYPERLINK("http://141.218.60.56/~jnz1568/getInfo.php?workbook=16_08.xlsx&amp;sheet=U0&amp;row=6933&amp;col=6&amp;number=3.9&amp;sourceID=14","3.9")</f>
        <v>3.9</v>
      </c>
      <c r="G6933" s="4" t="str">
        <f>HYPERLINK("http://141.218.60.56/~jnz1568/getInfo.php?workbook=16_08.xlsx&amp;sheet=U0&amp;row=6933&amp;col=7&amp;number=8.85e-07&amp;sourceID=14","8.85e-07")</f>
        <v>8.85e-07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HYPERLINK("http://141.218.60.56/~jnz1568/getInfo.php?workbook=16_08.xlsx&amp;sheet=U0&amp;row=6934&amp;col=6&amp;number=4&amp;sourceID=14","4")</f>
        <v>4</v>
      </c>
      <c r="G6934" s="4" t="str">
        <f>HYPERLINK("http://141.218.60.56/~jnz1568/getInfo.php?workbook=16_08.xlsx&amp;sheet=U0&amp;row=6934&amp;col=7&amp;number=8.85e-07&amp;sourceID=14","8.85e-07")</f>
        <v>8.85e-07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HYPERLINK("http://141.218.60.56/~jnz1568/getInfo.php?workbook=16_08.xlsx&amp;sheet=U0&amp;row=6935&amp;col=6&amp;number=4.1&amp;sourceID=14","4.1")</f>
        <v>4.1</v>
      </c>
      <c r="G6935" s="4" t="str">
        <f>HYPERLINK("http://141.218.60.56/~jnz1568/getInfo.php?workbook=16_08.xlsx&amp;sheet=U0&amp;row=6935&amp;col=7&amp;number=8.85e-07&amp;sourceID=14","8.85e-07")</f>
        <v>8.85e-07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HYPERLINK("http://141.218.60.56/~jnz1568/getInfo.php?workbook=16_08.xlsx&amp;sheet=U0&amp;row=6936&amp;col=6&amp;number=4.2&amp;sourceID=14","4.2")</f>
        <v>4.2</v>
      </c>
      <c r="G6936" s="4" t="str">
        <f>HYPERLINK("http://141.218.60.56/~jnz1568/getInfo.php?workbook=16_08.xlsx&amp;sheet=U0&amp;row=6936&amp;col=7&amp;number=8.84e-07&amp;sourceID=14","8.84e-07")</f>
        <v>8.84e-07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HYPERLINK("http://141.218.60.56/~jnz1568/getInfo.php?workbook=16_08.xlsx&amp;sheet=U0&amp;row=6937&amp;col=6&amp;number=4.3&amp;sourceID=14","4.3")</f>
        <v>4.3</v>
      </c>
      <c r="G6937" s="4" t="str">
        <f>HYPERLINK("http://141.218.60.56/~jnz1568/getInfo.php?workbook=16_08.xlsx&amp;sheet=U0&amp;row=6937&amp;col=7&amp;number=8.83e-07&amp;sourceID=14","8.83e-07")</f>
        <v>8.83e-07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HYPERLINK("http://141.218.60.56/~jnz1568/getInfo.php?workbook=16_08.xlsx&amp;sheet=U0&amp;row=6938&amp;col=6&amp;number=4.4&amp;sourceID=14","4.4")</f>
        <v>4.4</v>
      </c>
      <c r="G6938" s="4" t="str">
        <f>HYPERLINK("http://141.218.60.56/~jnz1568/getInfo.php?workbook=16_08.xlsx&amp;sheet=U0&amp;row=6938&amp;col=7&amp;number=8.82e-07&amp;sourceID=14","8.82e-07")</f>
        <v>8.82e-07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HYPERLINK("http://141.218.60.56/~jnz1568/getInfo.php?workbook=16_08.xlsx&amp;sheet=U0&amp;row=6939&amp;col=6&amp;number=4.5&amp;sourceID=14","4.5")</f>
        <v>4.5</v>
      </c>
      <c r="G6939" s="4" t="str">
        <f>HYPERLINK("http://141.218.60.56/~jnz1568/getInfo.php?workbook=16_08.xlsx&amp;sheet=U0&amp;row=6939&amp;col=7&amp;number=8.81e-07&amp;sourceID=14","8.81e-07")</f>
        <v>8.81e-07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HYPERLINK("http://141.218.60.56/~jnz1568/getInfo.php?workbook=16_08.xlsx&amp;sheet=U0&amp;row=6940&amp;col=6&amp;number=4.6&amp;sourceID=14","4.6")</f>
        <v>4.6</v>
      </c>
      <c r="G6940" s="4" t="str">
        <f>HYPERLINK("http://141.218.60.56/~jnz1568/getInfo.php?workbook=16_08.xlsx&amp;sheet=U0&amp;row=6940&amp;col=7&amp;number=8.79e-07&amp;sourceID=14","8.79e-07")</f>
        <v>8.79e-07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HYPERLINK("http://141.218.60.56/~jnz1568/getInfo.php?workbook=16_08.xlsx&amp;sheet=U0&amp;row=6941&amp;col=6&amp;number=4.7&amp;sourceID=14","4.7")</f>
        <v>4.7</v>
      </c>
      <c r="G6941" s="4" t="str">
        <f>HYPERLINK("http://141.218.60.56/~jnz1568/getInfo.php?workbook=16_08.xlsx&amp;sheet=U0&amp;row=6941&amp;col=7&amp;number=8.77e-07&amp;sourceID=14","8.77e-07")</f>
        <v>8.77e-07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HYPERLINK("http://141.218.60.56/~jnz1568/getInfo.php?workbook=16_08.xlsx&amp;sheet=U0&amp;row=6942&amp;col=6&amp;number=4.8&amp;sourceID=14","4.8")</f>
        <v>4.8</v>
      </c>
      <c r="G6942" s="4" t="str">
        <f>HYPERLINK("http://141.218.60.56/~jnz1568/getInfo.php?workbook=16_08.xlsx&amp;sheet=U0&amp;row=6942&amp;col=7&amp;number=8.74e-07&amp;sourceID=14","8.74e-07")</f>
        <v>8.74e-07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HYPERLINK("http://141.218.60.56/~jnz1568/getInfo.php?workbook=16_08.xlsx&amp;sheet=U0&amp;row=6943&amp;col=6&amp;number=4.9&amp;sourceID=14","4.9")</f>
        <v>4.9</v>
      </c>
      <c r="G6943" s="4" t="str">
        <f>HYPERLINK("http://141.218.60.56/~jnz1568/getInfo.php?workbook=16_08.xlsx&amp;sheet=U0&amp;row=6943&amp;col=7&amp;number=8.71e-07&amp;sourceID=14","8.71e-07")</f>
        <v>8.71e-07</v>
      </c>
    </row>
    <row r="6944" spans="1:7">
      <c r="A6944" s="3">
        <v>16</v>
      </c>
      <c r="B6944" s="3">
        <v>8</v>
      </c>
      <c r="C6944" s="3">
        <v>5</v>
      </c>
      <c r="D6944" s="3">
        <v>19</v>
      </c>
      <c r="E6944" s="3">
        <v>1</v>
      </c>
      <c r="F6944" s="4" t="str">
        <f>HYPERLINK("http://141.218.60.56/~jnz1568/getInfo.php?workbook=16_08.xlsx&amp;sheet=U0&amp;row=6944&amp;col=6&amp;number=3&amp;sourceID=14","3")</f>
        <v>3</v>
      </c>
      <c r="G6944" s="4" t="str">
        <f>HYPERLINK("http://141.218.60.56/~jnz1568/getInfo.php?workbook=16_08.xlsx&amp;sheet=U0&amp;row=6944&amp;col=7&amp;number=2.36e-06&amp;sourceID=14","2.36e-06")</f>
        <v>2.36e-06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HYPERLINK("http://141.218.60.56/~jnz1568/getInfo.php?workbook=16_08.xlsx&amp;sheet=U0&amp;row=6945&amp;col=6&amp;number=3.1&amp;sourceID=14","3.1")</f>
        <v>3.1</v>
      </c>
      <c r="G6945" s="4" t="str">
        <f>HYPERLINK("http://141.218.60.56/~jnz1568/getInfo.php?workbook=16_08.xlsx&amp;sheet=U0&amp;row=6945&amp;col=7&amp;number=2.36e-06&amp;sourceID=14","2.36e-06")</f>
        <v>2.36e-06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HYPERLINK("http://141.218.60.56/~jnz1568/getInfo.php?workbook=16_08.xlsx&amp;sheet=U0&amp;row=6946&amp;col=6&amp;number=3.2&amp;sourceID=14","3.2")</f>
        <v>3.2</v>
      </c>
      <c r="G6946" s="4" t="str">
        <f>HYPERLINK("http://141.218.60.56/~jnz1568/getInfo.php?workbook=16_08.xlsx&amp;sheet=U0&amp;row=6946&amp;col=7&amp;number=2.36e-06&amp;sourceID=14","2.36e-06")</f>
        <v>2.36e-06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HYPERLINK("http://141.218.60.56/~jnz1568/getInfo.php?workbook=16_08.xlsx&amp;sheet=U0&amp;row=6947&amp;col=6&amp;number=3.3&amp;sourceID=14","3.3")</f>
        <v>3.3</v>
      </c>
      <c r="G6947" s="4" t="str">
        <f>HYPERLINK("http://141.218.60.56/~jnz1568/getInfo.php?workbook=16_08.xlsx&amp;sheet=U0&amp;row=6947&amp;col=7&amp;number=2.36e-06&amp;sourceID=14","2.36e-06")</f>
        <v>2.36e-06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HYPERLINK("http://141.218.60.56/~jnz1568/getInfo.php?workbook=16_08.xlsx&amp;sheet=U0&amp;row=6948&amp;col=6&amp;number=3.4&amp;sourceID=14","3.4")</f>
        <v>3.4</v>
      </c>
      <c r="G6948" s="4" t="str">
        <f>HYPERLINK("http://141.218.60.56/~jnz1568/getInfo.php?workbook=16_08.xlsx&amp;sheet=U0&amp;row=6948&amp;col=7&amp;number=2.35e-06&amp;sourceID=14","2.35e-06")</f>
        <v>2.35e-06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HYPERLINK("http://141.218.60.56/~jnz1568/getInfo.php?workbook=16_08.xlsx&amp;sheet=U0&amp;row=6949&amp;col=6&amp;number=3.5&amp;sourceID=14","3.5")</f>
        <v>3.5</v>
      </c>
      <c r="G6949" s="4" t="str">
        <f>HYPERLINK("http://141.218.60.56/~jnz1568/getInfo.php?workbook=16_08.xlsx&amp;sheet=U0&amp;row=6949&amp;col=7&amp;number=2.35e-06&amp;sourceID=14","2.35e-06")</f>
        <v>2.35e-06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HYPERLINK("http://141.218.60.56/~jnz1568/getInfo.php?workbook=16_08.xlsx&amp;sheet=U0&amp;row=6950&amp;col=6&amp;number=3.6&amp;sourceID=14","3.6")</f>
        <v>3.6</v>
      </c>
      <c r="G6950" s="4" t="str">
        <f>HYPERLINK("http://141.218.60.56/~jnz1568/getInfo.php?workbook=16_08.xlsx&amp;sheet=U0&amp;row=6950&amp;col=7&amp;number=2.35e-06&amp;sourceID=14","2.35e-06")</f>
        <v>2.35e-06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HYPERLINK("http://141.218.60.56/~jnz1568/getInfo.php?workbook=16_08.xlsx&amp;sheet=U0&amp;row=6951&amp;col=6&amp;number=3.7&amp;sourceID=14","3.7")</f>
        <v>3.7</v>
      </c>
      <c r="G6951" s="4" t="str">
        <f>HYPERLINK("http://141.218.60.56/~jnz1568/getInfo.php?workbook=16_08.xlsx&amp;sheet=U0&amp;row=6951&amp;col=7&amp;number=2.35e-06&amp;sourceID=14","2.35e-06")</f>
        <v>2.35e-06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HYPERLINK("http://141.218.60.56/~jnz1568/getInfo.php?workbook=16_08.xlsx&amp;sheet=U0&amp;row=6952&amp;col=6&amp;number=3.8&amp;sourceID=14","3.8")</f>
        <v>3.8</v>
      </c>
      <c r="G6952" s="4" t="str">
        <f>HYPERLINK("http://141.218.60.56/~jnz1568/getInfo.php?workbook=16_08.xlsx&amp;sheet=U0&amp;row=6952&amp;col=7&amp;number=2.35e-06&amp;sourceID=14","2.35e-06")</f>
        <v>2.35e-06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HYPERLINK("http://141.218.60.56/~jnz1568/getInfo.php?workbook=16_08.xlsx&amp;sheet=U0&amp;row=6953&amp;col=6&amp;number=3.9&amp;sourceID=14","3.9")</f>
        <v>3.9</v>
      </c>
      <c r="G6953" s="4" t="str">
        <f>HYPERLINK("http://141.218.60.56/~jnz1568/getInfo.php?workbook=16_08.xlsx&amp;sheet=U0&amp;row=6953&amp;col=7&amp;number=2.35e-06&amp;sourceID=14","2.35e-06")</f>
        <v>2.35e-06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HYPERLINK("http://141.218.60.56/~jnz1568/getInfo.php?workbook=16_08.xlsx&amp;sheet=U0&amp;row=6954&amp;col=6&amp;number=4&amp;sourceID=14","4")</f>
        <v>4</v>
      </c>
      <c r="G6954" s="4" t="str">
        <f>HYPERLINK("http://141.218.60.56/~jnz1568/getInfo.php?workbook=16_08.xlsx&amp;sheet=U0&amp;row=6954&amp;col=7&amp;number=2.35e-06&amp;sourceID=14","2.35e-06")</f>
        <v>2.35e-06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HYPERLINK("http://141.218.60.56/~jnz1568/getInfo.php?workbook=16_08.xlsx&amp;sheet=U0&amp;row=6955&amp;col=6&amp;number=4.1&amp;sourceID=14","4.1")</f>
        <v>4.1</v>
      </c>
      <c r="G6955" s="4" t="str">
        <f>HYPERLINK("http://141.218.60.56/~jnz1568/getInfo.php?workbook=16_08.xlsx&amp;sheet=U0&amp;row=6955&amp;col=7&amp;number=2.35e-06&amp;sourceID=14","2.35e-06")</f>
        <v>2.35e-06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HYPERLINK("http://141.218.60.56/~jnz1568/getInfo.php?workbook=16_08.xlsx&amp;sheet=U0&amp;row=6956&amp;col=6&amp;number=4.2&amp;sourceID=14","4.2")</f>
        <v>4.2</v>
      </c>
      <c r="G6956" s="4" t="str">
        <f>HYPERLINK("http://141.218.60.56/~jnz1568/getInfo.php?workbook=16_08.xlsx&amp;sheet=U0&amp;row=6956&amp;col=7&amp;number=2.35e-06&amp;sourceID=14","2.35e-06")</f>
        <v>2.35e-06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HYPERLINK("http://141.218.60.56/~jnz1568/getInfo.php?workbook=16_08.xlsx&amp;sheet=U0&amp;row=6957&amp;col=6&amp;number=4.3&amp;sourceID=14","4.3")</f>
        <v>4.3</v>
      </c>
      <c r="G6957" s="4" t="str">
        <f>HYPERLINK("http://141.218.60.56/~jnz1568/getInfo.php?workbook=16_08.xlsx&amp;sheet=U0&amp;row=6957&amp;col=7&amp;number=2.35e-06&amp;sourceID=14","2.35e-06")</f>
        <v>2.35e-06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HYPERLINK("http://141.218.60.56/~jnz1568/getInfo.php?workbook=16_08.xlsx&amp;sheet=U0&amp;row=6958&amp;col=6&amp;number=4.4&amp;sourceID=14","4.4")</f>
        <v>4.4</v>
      </c>
      <c r="G6958" s="4" t="str">
        <f>HYPERLINK("http://141.218.60.56/~jnz1568/getInfo.php?workbook=16_08.xlsx&amp;sheet=U0&amp;row=6958&amp;col=7&amp;number=2.34e-06&amp;sourceID=14","2.34e-06")</f>
        <v>2.34e-06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HYPERLINK("http://141.218.60.56/~jnz1568/getInfo.php?workbook=16_08.xlsx&amp;sheet=U0&amp;row=6959&amp;col=6&amp;number=4.5&amp;sourceID=14","4.5")</f>
        <v>4.5</v>
      </c>
      <c r="G6959" s="4" t="str">
        <f>HYPERLINK("http://141.218.60.56/~jnz1568/getInfo.php?workbook=16_08.xlsx&amp;sheet=U0&amp;row=6959&amp;col=7&amp;number=2.34e-06&amp;sourceID=14","2.34e-06")</f>
        <v>2.34e-06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HYPERLINK("http://141.218.60.56/~jnz1568/getInfo.php?workbook=16_08.xlsx&amp;sheet=U0&amp;row=6960&amp;col=6&amp;number=4.6&amp;sourceID=14","4.6")</f>
        <v>4.6</v>
      </c>
      <c r="G6960" s="4" t="str">
        <f>HYPERLINK("http://141.218.60.56/~jnz1568/getInfo.php?workbook=16_08.xlsx&amp;sheet=U0&amp;row=6960&amp;col=7&amp;number=2.34e-06&amp;sourceID=14","2.34e-06")</f>
        <v>2.34e-06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HYPERLINK("http://141.218.60.56/~jnz1568/getInfo.php?workbook=16_08.xlsx&amp;sheet=U0&amp;row=6961&amp;col=6&amp;number=4.7&amp;sourceID=14","4.7")</f>
        <v>4.7</v>
      </c>
      <c r="G6961" s="4" t="str">
        <f>HYPERLINK("http://141.218.60.56/~jnz1568/getInfo.php?workbook=16_08.xlsx&amp;sheet=U0&amp;row=6961&amp;col=7&amp;number=2.33e-06&amp;sourceID=14","2.33e-06")</f>
        <v>2.33e-06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HYPERLINK("http://141.218.60.56/~jnz1568/getInfo.php?workbook=16_08.xlsx&amp;sheet=U0&amp;row=6962&amp;col=6&amp;number=4.8&amp;sourceID=14","4.8")</f>
        <v>4.8</v>
      </c>
      <c r="G6962" s="4" t="str">
        <f>HYPERLINK("http://141.218.60.56/~jnz1568/getInfo.php?workbook=16_08.xlsx&amp;sheet=U0&amp;row=6962&amp;col=7&amp;number=2.33e-06&amp;sourceID=14","2.33e-06")</f>
        <v>2.33e-06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HYPERLINK("http://141.218.60.56/~jnz1568/getInfo.php?workbook=16_08.xlsx&amp;sheet=U0&amp;row=6963&amp;col=6&amp;number=4.9&amp;sourceID=14","4.9")</f>
        <v>4.9</v>
      </c>
      <c r="G6963" s="4" t="str">
        <f>HYPERLINK("http://141.218.60.56/~jnz1568/getInfo.php?workbook=16_08.xlsx&amp;sheet=U0&amp;row=6963&amp;col=7&amp;number=2.32e-06&amp;sourceID=14","2.32e-06")</f>
        <v>2.32e-06</v>
      </c>
    </row>
    <row r="6964" spans="1:7">
      <c r="A6964" s="3">
        <v>16</v>
      </c>
      <c r="B6964" s="3">
        <v>8</v>
      </c>
      <c r="C6964" s="3">
        <v>5</v>
      </c>
      <c r="D6964" s="3">
        <v>20</v>
      </c>
      <c r="E6964" s="3">
        <v>1</v>
      </c>
      <c r="F6964" s="4" t="str">
        <f>HYPERLINK("http://141.218.60.56/~jnz1568/getInfo.php?workbook=16_08.xlsx&amp;sheet=U0&amp;row=6964&amp;col=6&amp;number=3&amp;sourceID=14","3")</f>
        <v>3</v>
      </c>
      <c r="G6964" s="4" t="str">
        <f>HYPERLINK("http://141.218.60.56/~jnz1568/getInfo.php?workbook=16_08.xlsx&amp;sheet=U0&amp;row=6964&amp;col=7&amp;number=0.000439&amp;sourceID=14","0.000439")</f>
        <v>0.000439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HYPERLINK("http://141.218.60.56/~jnz1568/getInfo.php?workbook=16_08.xlsx&amp;sheet=U0&amp;row=6965&amp;col=6&amp;number=3.1&amp;sourceID=14","3.1")</f>
        <v>3.1</v>
      </c>
      <c r="G6965" s="4" t="str">
        <f>HYPERLINK("http://141.218.60.56/~jnz1568/getInfo.php?workbook=16_08.xlsx&amp;sheet=U0&amp;row=6965&amp;col=7&amp;number=0.000439&amp;sourceID=14","0.000439")</f>
        <v>0.000439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HYPERLINK("http://141.218.60.56/~jnz1568/getInfo.php?workbook=16_08.xlsx&amp;sheet=U0&amp;row=6966&amp;col=6&amp;number=3.2&amp;sourceID=14","3.2")</f>
        <v>3.2</v>
      </c>
      <c r="G6966" s="4" t="str">
        <f>HYPERLINK("http://141.218.60.56/~jnz1568/getInfo.php?workbook=16_08.xlsx&amp;sheet=U0&amp;row=6966&amp;col=7&amp;number=0.000439&amp;sourceID=14","0.000439")</f>
        <v>0.000439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HYPERLINK("http://141.218.60.56/~jnz1568/getInfo.php?workbook=16_08.xlsx&amp;sheet=U0&amp;row=6967&amp;col=6&amp;number=3.3&amp;sourceID=14","3.3")</f>
        <v>3.3</v>
      </c>
      <c r="G6967" s="4" t="str">
        <f>HYPERLINK("http://141.218.60.56/~jnz1568/getInfo.php?workbook=16_08.xlsx&amp;sheet=U0&amp;row=6967&amp;col=7&amp;number=0.000439&amp;sourceID=14","0.000439")</f>
        <v>0.000439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HYPERLINK("http://141.218.60.56/~jnz1568/getInfo.php?workbook=16_08.xlsx&amp;sheet=U0&amp;row=6968&amp;col=6&amp;number=3.4&amp;sourceID=14","3.4")</f>
        <v>3.4</v>
      </c>
      <c r="G6968" s="4" t="str">
        <f>HYPERLINK("http://141.218.60.56/~jnz1568/getInfo.php?workbook=16_08.xlsx&amp;sheet=U0&amp;row=6968&amp;col=7&amp;number=0.000439&amp;sourceID=14","0.000439")</f>
        <v>0.000439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HYPERLINK("http://141.218.60.56/~jnz1568/getInfo.php?workbook=16_08.xlsx&amp;sheet=U0&amp;row=6969&amp;col=6&amp;number=3.5&amp;sourceID=14","3.5")</f>
        <v>3.5</v>
      </c>
      <c r="G6969" s="4" t="str">
        <f>HYPERLINK("http://141.218.60.56/~jnz1568/getInfo.php?workbook=16_08.xlsx&amp;sheet=U0&amp;row=6969&amp;col=7&amp;number=0.000439&amp;sourceID=14","0.000439")</f>
        <v>0.000439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HYPERLINK("http://141.218.60.56/~jnz1568/getInfo.php?workbook=16_08.xlsx&amp;sheet=U0&amp;row=6970&amp;col=6&amp;number=3.6&amp;sourceID=14","3.6")</f>
        <v>3.6</v>
      </c>
      <c r="G6970" s="4" t="str">
        <f>HYPERLINK("http://141.218.60.56/~jnz1568/getInfo.php?workbook=16_08.xlsx&amp;sheet=U0&amp;row=6970&amp;col=7&amp;number=0.000438&amp;sourceID=14","0.000438")</f>
        <v>0.000438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HYPERLINK("http://141.218.60.56/~jnz1568/getInfo.php?workbook=16_08.xlsx&amp;sheet=U0&amp;row=6971&amp;col=6&amp;number=3.7&amp;sourceID=14","3.7")</f>
        <v>3.7</v>
      </c>
      <c r="G6971" s="4" t="str">
        <f>HYPERLINK("http://141.218.60.56/~jnz1568/getInfo.php?workbook=16_08.xlsx&amp;sheet=U0&amp;row=6971&amp;col=7&amp;number=0.000438&amp;sourceID=14","0.000438")</f>
        <v>0.000438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HYPERLINK("http://141.218.60.56/~jnz1568/getInfo.php?workbook=16_08.xlsx&amp;sheet=U0&amp;row=6972&amp;col=6&amp;number=3.8&amp;sourceID=14","3.8")</f>
        <v>3.8</v>
      </c>
      <c r="G6972" s="4" t="str">
        <f>HYPERLINK("http://141.218.60.56/~jnz1568/getInfo.php?workbook=16_08.xlsx&amp;sheet=U0&amp;row=6972&amp;col=7&amp;number=0.000438&amp;sourceID=14","0.000438")</f>
        <v>0.000438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HYPERLINK("http://141.218.60.56/~jnz1568/getInfo.php?workbook=16_08.xlsx&amp;sheet=U0&amp;row=6973&amp;col=6&amp;number=3.9&amp;sourceID=14","3.9")</f>
        <v>3.9</v>
      </c>
      <c r="G6973" s="4" t="str">
        <f>HYPERLINK("http://141.218.60.56/~jnz1568/getInfo.php?workbook=16_08.xlsx&amp;sheet=U0&amp;row=6973&amp;col=7&amp;number=0.000437&amp;sourceID=14","0.000437")</f>
        <v>0.000437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HYPERLINK("http://141.218.60.56/~jnz1568/getInfo.php?workbook=16_08.xlsx&amp;sheet=U0&amp;row=6974&amp;col=6&amp;number=4&amp;sourceID=14","4")</f>
        <v>4</v>
      </c>
      <c r="G6974" s="4" t="str">
        <f>HYPERLINK("http://141.218.60.56/~jnz1568/getInfo.php?workbook=16_08.xlsx&amp;sheet=U0&amp;row=6974&amp;col=7&amp;number=0.000436&amp;sourceID=14","0.000436")</f>
        <v>0.000436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HYPERLINK("http://141.218.60.56/~jnz1568/getInfo.php?workbook=16_08.xlsx&amp;sheet=U0&amp;row=6975&amp;col=6&amp;number=4.1&amp;sourceID=14","4.1")</f>
        <v>4.1</v>
      </c>
      <c r="G6975" s="4" t="str">
        <f>HYPERLINK("http://141.218.60.56/~jnz1568/getInfo.php?workbook=16_08.xlsx&amp;sheet=U0&amp;row=6975&amp;col=7&amp;number=0.000435&amp;sourceID=14","0.000435")</f>
        <v>0.000435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HYPERLINK("http://141.218.60.56/~jnz1568/getInfo.php?workbook=16_08.xlsx&amp;sheet=U0&amp;row=6976&amp;col=6&amp;number=4.2&amp;sourceID=14","4.2")</f>
        <v>4.2</v>
      </c>
      <c r="G6976" s="4" t="str">
        <f>HYPERLINK("http://141.218.60.56/~jnz1568/getInfo.php?workbook=16_08.xlsx&amp;sheet=U0&amp;row=6976&amp;col=7&amp;number=0.000434&amp;sourceID=14","0.000434")</f>
        <v>0.000434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HYPERLINK("http://141.218.60.56/~jnz1568/getInfo.php?workbook=16_08.xlsx&amp;sheet=U0&amp;row=6977&amp;col=6&amp;number=4.3&amp;sourceID=14","4.3")</f>
        <v>4.3</v>
      </c>
      <c r="G6977" s="4" t="str">
        <f>HYPERLINK("http://141.218.60.56/~jnz1568/getInfo.php?workbook=16_08.xlsx&amp;sheet=U0&amp;row=6977&amp;col=7&amp;number=0.000433&amp;sourceID=14","0.000433")</f>
        <v>0.000433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HYPERLINK("http://141.218.60.56/~jnz1568/getInfo.php?workbook=16_08.xlsx&amp;sheet=U0&amp;row=6978&amp;col=6&amp;number=4.4&amp;sourceID=14","4.4")</f>
        <v>4.4</v>
      </c>
      <c r="G6978" s="4" t="str">
        <f>HYPERLINK("http://141.218.60.56/~jnz1568/getInfo.php?workbook=16_08.xlsx&amp;sheet=U0&amp;row=6978&amp;col=7&amp;number=0.000431&amp;sourceID=14","0.000431")</f>
        <v>0.000431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HYPERLINK("http://141.218.60.56/~jnz1568/getInfo.php?workbook=16_08.xlsx&amp;sheet=U0&amp;row=6979&amp;col=6&amp;number=4.5&amp;sourceID=14","4.5")</f>
        <v>4.5</v>
      </c>
      <c r="G6979" s="4" t="str">
        <f>HYPERLINK("http://141.218.60.56/~jnz1568/getInfo.php?workbook=16_08.xlsx&amp;sheet=U0&amp;row=6979&amp;col=7&amp;number=0.000429&amp;sourceID=14","0.000429")</f>
        <v>0.000429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HYPERLINK("http://141.218.60.56/~jnz1568/getInfo.php?workbook=16_08.xlsx&amp;sheet=U0&amp;row=6980&amp;col=6&amp;number=4.6&amp;sourceID=14","4.6")</f>
        <v>4.6</v>
      </c>
      <c r="G6980" s="4" t="str">
        <f>HYPERLINK("http://141.218.60.56/~jnz1568/getInfo.php?workbook=16_08.xlsx&amp;sheet=U0&amp;row=6980&amp;col=7&amp;number=0.000427&amp;sourceID=14","0.000427")</f>
        <v>0.000427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HYPERLINK("http://141.218.60.56/~jnz1568/getInfo.php?workbook=16_08.xlsx&amp;sheet=U0&amp;row=6981&amp;col=6&amp;number=4.7&amp;sourceID=14","4.7")</f>
        <v>4.7</v>
      </c>
      <c r="G6981" s="4" t="str">
        <f>HYPERLINK("http://141.218.60.56/~jnz1568/getInfo.php?workbook=16_08.xlsx&amp;sheet=U0&amp;row=6981&amp;col=7&amp;number=0.000423&amp;sourceID=14","0.000423")</f>
        <v>0.000423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HYPERLINK("http://141.218.60.56/~jnz1568/getInfo.php?workbook=16_08.xlsx&amp;sheet=U0&amp;row=6982&amp;col=6&amp;number=4.8&amp;sourceID=14","4.8")</f>
        <v>4.8</v>
      </c>
      <c r="G6982" s="4" t="str">
        <f>HYPERLINK("http://141.218.60.56/~jnz1568/getInfo.php?workbook=16_08.xlsx&amp;sheet=U0&amp;row=6982&amp;col=7&amp;number=0.000419&amp;sourceID=14","0.000419")</f>
        <v>0.000419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HYPERLINK("http://141.218.60.56/~jnz1568/getInfo.php?workbook=16_08.xlsx&amp;sheet=U0&amp;row=6983&amp;col=6&amp;number=4.9&amp;sourceID=14","4.9")</f>
        <v>4.9</v>
      </c>
      <c r="G6983" s="4" t="str">
        <f>HYPERLINK("http://141.218.60.56/~jnz1568/getInfo.php?workbook=16_08.xlsx&amp;sheet=U0&amp;row=6983&amp;col=7&amp;number=0.000414&amp;sourceID=14","0.000414")</f>
        <v>0.000414</v>
      </c>
    </row>
    <row r="6984" spans="1:7">
      <c r="A6984" s="3">
        <v>16</v>
      </c>
      <c r="B6984" s="3">
        <v>8</v>
      </c>
      <c r="C6984" s="3">
        <v>5</v>
      </c>
      <c r="D6984" s="3">
        <v>21</v>
      </c>
      <c r="E6984" s="3">
        <v>1</v>
      </c>
      <c r="F6984" s="4" t="str">
        <f>HYPERLINK("http://141.218.60.56/~jnz1568/getInfo.php?workbook=16_08.xlsx&amp;sheet=U0&amp;row=6984&amp;col=6&amp;number=3&amp;sourceID=14","3")</f>
        <v>3</v>
      </c>
      <c r="G6984" s="4" t="str">
        <f>HYPERLINK("http://141.218.60.56/~jnz1568/getInfo.php?workbook=16_08.xlsx&amp;sheet=U0&amp;row=6984&amp;col=7&amp;number=0.000597&amp;sourceID=14","0.000597")</f>
        <v>0.000597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HYPERLINK("http://141.218.60.56/~jnz1568/getInfo.php?workbook=16_08.xlsx&amp;sheet=U0&amp;row=6985&amp;col=6&amp;number=3.1&amp;sourceID=14","3.1")</f>
        <v>3.1</v>
      </c>
      <c r="G6985" s="4" t="str">
        <f>HYPERLINK("http://141.218.60.56/~jnz1568/getInfo.php?workbook=16_08.xlsx&amp;sheet=U0&amp;row=6985&amp;col=7&amp;number=0.000597&amp;sourceID=14","0.000597")</f>
        <v>0.000597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HYPERLINK("http://141.218.60.56/~jnz1568/getInfo.php?workbook=16_08.xlsx&amp;sheet=U0&amp;row=6986&amp;col=6&amp;number=3.2&amp;sourceID=14","3.2")</f>
        <v>3.2</v>
      </c>
      <c r="G6986" s="4" t="str">
        <f>HYPERLINK("http://141.218.60.56/~jnz1568/getInfo.php?workbook=16_08.xlsx&amp;sheet=U0&amp;row=6986&amp;col=7&amp;number=0.000597&amp;sourceID=14","0.000597")</f>
        <v>0.000597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HYPERLINK("http://141.218.60.56/~jnz1568/getInfo.php?workbook=16_08.xlsx&amp;sheet=U0&amp;row=6987&amp;col=6&amp;number=3.3&amp;sourceID=14","3.3")</f>
        <v>3.3</v>
      </c>
      <c r="G6987" s="4" t="str">
        <f>HYPERLINK("http://141.218.60.56/~jnz1568/getInfo.php?workbook=16_08.xlsx&amp;sheet=U0&amp;row=6987&amp;col=7&amp;number=0.000597&amp;sourceID=14","0.000597")</f>
        <v>0.000597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HYPERLINK("http://141.218.60.56/~jnz1568/getInfo.php?workbook=16_08.xlsx&amp;sheet=U0&amp;row=6988&amp;col=6&amp;number=3.4&amp;sourceID=14","3.4")</f>
        <v>3.4</v>
      </c>
      <c r="G6988" s="4" t="str">
        <f>HYPERLINK("http://141.218.60.56/~jnz1568/getInfo.php?workbook=16_08.xlsx&amp;sheet=U0&amp;row=6988&amp;col=7&amp;number=0.000597&amp;sourceID=14","0.000597")</f>
        <v>0.000597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HYPERLINK("http://141.218.60.56/~jnz1568/getInfo.php?workbook=16_08.xlsx&amp;sheet=U0&amp;row=6989&amp;col=6&amp;number=3.5&amp;sourceID=14","3.5")</f>
        <v>3.5</v>
      </c>
      <c r="G6989" s="4" t="str">
        <f>HYPERLINK("http://141.218.60.56/~jnz1568/getInfo.php?workbook=16_08.xlsx&amp;sheet=U0&amp;row=6989&amp;col=7&amp;number=0.000597&amp;sourceID=14","0.000597")</f>
        <v>0.000597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HYPERLINK("http://141.218.60.56/~jnz1568/getInfo.php?workbook=16_08.xlsx&amp;sheet=U0&amp;row=6990&amp;col=6&amp;number=3.6&amp;sourceID=14","3.6")</f>
        <v>3.6</v>
      </c>
      <c r="G6990" s="4" t="str">
        <f>HYPERLINK("http://141.218.60.56/~jnz1568/getInfo.php?workbook=16_08.xlsx&amp;sheet=U0&amp;row=6990&amp;col=7&amp;number=0.000596&amp;sourceID=14","0.000596")</f>
        <v>0.000596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HYPERLINK("http://141.218.60.56/~jnz1568/getInfo.php?workbook=16_08.xlsx&amp;sheet=U0&amp;row=6991&amp;col=6&amp;number=3.7&amp;sourceID=14","3.7")</f>
        <v>3.7</v>
      </c>
      <c r="G6991" s="4" t="str">
        <f>HYPERLINK("http://141.218.60.56/~jnz1568/getInfo.php?workbook=16_08.xlsx&amp;sheet=U0&amp;row=6991&amp;col=7&amp;number=0.000596&amp;sourceID=14","0.000596")</f>
        <v>0.000596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HYPERLINK("http://141.218.60.56/~jnz1568/getInfo.php?workbook=16_08.xlsx&amp;sheet=U0&amp;row=6992&amp;col=6&amp;number=3.8&amp;sourceID=14","3.8")</f>
        <v>3.8</v>
      </c>
      <c r="G6992" s="4" t="str">
        <f>HYPERLINK("http://141.218.60.56/~jnz1568/getInfo.php?workbook=16_08.xlsx&amp;sheet=U0&amp;row=6992&amp;col=7&amp;number=0.000595&amp;sourceID=14","0.000595")</f>
        <v>0.000595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HYPERLINK("http://141.218.60.56/~jnz1568/getInfo.php?workbook=16_08.xlsx&amp;sheet=U0&amp;row=6993&amp;col=6&amp;number=3.9&amp;sourceID=14","3.9")</f>
        <v>3.9</v>
      </c>
      <c r="G6993" s="4" t="str">
        <f>HYPERLINK("http://141.218.60.56/~jnz1568/getInfo.php?workbook=16_08.xlsx&amp;sheet=U0&amp;row=6993&amp;col=7&amp;number=0.000595&amp;sourceID=14","0.000595")</f>
        <v>0.000595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HYPERLINK("http://141.218.60.56/~jnz1568/getInfo.php?workbook=16_08.xlsx&amp;sheet=U0&amp;row=6994&amp;col=6&amp;number=4&amp;sourceID=14","4")</f>
        <v>4</v>
      </c>
      <c r="G6994" s="4" t="str">
        <f>HYPERLINK("http://141.218.60.56/~jnz1568/getInfo.php?workbook=16_08.xlsx&amp;sheet=U0&amp;row=6994&amp;col=7&amp;number=0.000594&amp;sourceID=14","0.000594")</f>
        <v>0.000594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HYPERLINK("http://141.218.60.56/~jnz1568/getInfo.php?workbook=16_08.xlsx&amp;sheet=U0&amp;row=6995&amp;col=6&amp;number=4.1&amp;sourceID=14","4.1")</f>
        <v>4.1</v>
      </c>
      <c r="G6995" s="4" t="str">
        <f>HYPERLINK("http://141.218.60.56/~jnz1568/getInfo.php?workbook=16_08.xlsx&amp;sheet=U0&amp;row=6995&amp;col=7&amp;number=0.000593&amp;sourceID=14","0.000593")</f>
        <v>0.000593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HYPERLINK("http://141.218.60.56/~jnz1568/getInfo.php?workbook=16_08.xlsx&amp;sheet=U0&amp;row=6996&amp;col=6&amp;number=4.2&amp;sourceID=14","4.2")</f>
        <v>4.2</v>
      </c>
      <c r="G6996" s="4" t="str">
        <f>HYPERLINK("http://141.218.60.56/~jnz1568/getInfo.php?workbook=16_08.xlsx&amp;sheet=U0&amp;row=6996&amp;col=7&amp;number=0.000592&amp;sourceID=14","0.000592")</f>
        <v>0.000592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HYPERLINK("http://141.218.60.56/~jnz1568/getInfo.php?workbook=16_08.xlsx&amp;sheet=U0&amp;row=6997&amp;col=6&amp;number=4.3&amp;sourceID=14","4.3")</f>
        <v>4.3</v>
      </c>
      <c r="G6997" s="4" t="str">
        <f>HYPERLINK("http://141.218.60.56/~jnz1568/getInfo.php?workbook=16_08.xlsx&amp;sheet=U0&amp;row=6997&amp;col=7&amp;number=0.00059&amp;sourceID=14","0.00059")</f>
        <v>0.00059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HYPERLINK("http://141.218.60.56/~jnz1568/getInfo.php?workbook=16_08.xlsx&amp;sheet=U0&amp;row=6998&amp;col=6&amp;number=4.4&amp;sourceID=14","4.4")</f>
        <v>4.4</v>
      </c>
      <c r="G6998" s="4" t="str">
        <f>HYPERLINK("http://141.218.60.56/~jnz1568/getInfo.php?workbook=16_08.xlsx&amp;sheet=U0&amp;row=6998&amp;col=7&amp;number=0.000588&amp;sourceID=14","0.000588")</f>
        <v>0.000588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HYPERLINK("http://141.218.60.56/~jnz1568/getInfo.php?workbook=16_08.xlsx&amp;sheet=U0&amp;row=6999&amp;col=6&amp;number=4.5&amp;sourceID=14","4.5")</f>
        <v>4.5</v>
      </c>
      <c r="G6999" s="4" t="str">
        <f>HYPERLINK("http://141.218.60.56/~jnz1568/getInfo.php?workbook=16_08.xlsx&amp;sheet=U0&amp;row=6999&amp;col=7&amp;number=0.000585&amp;sourceID=14","0.000585")</f>
        <v>0.000585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HYPERLINK("http://141.218.60.56/~jnz1568/getInfo.php?workbook=16_08.xlsx&amp;sheet=U0&amp;row=7000&amp;col=6&amp;number=4.6&amp;sourceID=14","4.6")</f>
        <v>4.6</v>
      </c>
      <c r="G7000" s="4" t="str">
        <f>HYPERLINK("http://141.218.60.56/~jnz1568/getInfo.php?workbook=16_08.xlsx&amp;sheet=U0&amp;row=7000&amp;col=7&amp;number=0.000582&amp;sourceID=14","0.000582")</f>
        <v>0.000582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HYPERLINK("http://141.218.60.56/~jnz1568/getInfo.php?workbook=16_08.xlsx&amp;sheet=U0&amp;row=7001&amp;col=6&amp;number=4.7&amp;sourceID=14","4.7")</f>
        <v>4.7</v>
      </c>
      <c r="G7001" s="4" t="str">
        <f>HYPERLINK("http://141.218.60.56/~jnz1568/getInfo.php?workbook=16_08.xlsx&amp;sheet=U0&amp;row=7001&amp;col=7&amp;number=0.000578&amp;sourceID=14","0.000578")</f>
        <v>0.000578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HYPERLINK("http://141.218.60.56/~jnz1568/getInfo.php?workbook=16_08.xlsx&amp;sheet=U0&amp;row=7002&amp;col=6&amp;number=4.8&amp;sourceID=14","4.8")</f>
        <v>4.8</v>
      </c>
      <c r="G7002" s="4" t="str">
        <f>HYPERLINK("http://141.218.60.56/~jnz1568/getInfo.php?workbook=16_08.xlsx&amp;sheet=U0&amp;row=7002&amp;col=7&amp;number=0.000573&amp;sourceID=14","0.000573")</f>
        <v>0.000573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HYPERLINK("http://141.218.60.56/~jnz1568/getInfo.php?workbook=16_08.xlsx&amp;sheet=U0&amp;row=7003&amp;col=6&amp;number=4.9&amp;sourceID=14","4.9")</f>
        <v>4.9</v>
      </c>
      <c r="G7003" s="4" t="str">
        <f>HYPERLINK("http://141.218.60.56/~jnz1568/getInfo.php?workbook=16_08.xlsx&amp;sheet=U0&amp;row=7003&amp;col=7&amp;number=0.000567&amp;sourceID=14","0.000567")</f>
        <v>0.000567</v>
      </c>
    </row>
    <row r="7004" spans="1:7">
      <c r="A7004" s="3">
        <v>16</v>
      </c>
      <c r="B7004" s="3">
        <v>8</v>
      </c>
      <c r="C7004" s="3">
        <v>5</v>
      </c>
      <c r="D7004" s="3">
        <v>22</v>
      </c>
      <c r="E7004" s="3">
        <v>1</v>
      </c>
      <c r="F7004" s="4" t="str">
        <f>HYPERLINK("http://141.218.60.56/~jnz1568/getInfo.php?workbook=16_08.xlsx&amp;sheet=U0&amp;row=7004&amp;col=6&amp;number=3&amp;sourceID=14","3")</f>
        <v>3</v>
      </c>
      <c r="G7004" s="4" t="str">
        <f>HYPERLINK("http://141.218.60.56/~jnz1568/getInfo.php?workbook=16_08.xlsx&amp;sheet=U0&amp;row=7004&amp;col=7&amp;number=8.63e-05&amp;sourceID=14","8.63e-05")</f>
        <v>8.63e-05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HYPERLINK("http://141.218.60.56/~jnz1568/getInfo.php?workbook=16_08.xlsx&amp;sheet=U0&amp;row=7005&amp;col=6&amp;number=3.1&amp;sourceID=14","3.1")</f>
        <v>3.1</v>
      </c>
      <c r="G7005" s="4" t="str">
        <f>HYPERLINK("http://141.218.60.56/~jnz1568/getInfo.php?workbook=16_08.xlsx&amp;sheet=U0&amp;row=7005&amp;col=7&amp;number=8.63e-05&amp;sourceID=14","8.63e-05")</f>
        <v>8.63e-05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HYPERLINK("http://141.218.60.56/~jnz1568/getInfo.php?workbook=16_08.xlsx&amp;sheet=U0&amp;row=7006&amp;col=6&amp;number=3.2&amp;sourceID=14","3.2")</f>
        <v>3.2</v>
      </c>
      <c r="G7006" s="4" t="str">
        <f>HYPERLINK("http://141.218.60.56/~jnz1568/getInfo.php?workbook=16_08.xlsx&amp;sheet=U0&amp;row=7006&amp;col=7&amp;number=8.63e-05&amp;sourceID=14","8.63e-05")</f>
        <v>8.63e-05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HYPERLINK("http://141.218.60.56/~jnz1568/getInfo.php?workbook=16_08.xlsx&amp;sheet=U0&amp;row=7007&amp;col=6&amp;number=3.3&amp;sourceID=14","3.3")</f>
        <v>3.3</v>
      </c>
      <c r="G7007" s="4" t="str">
        <f>HYPERLINK("http://141.218.60.56/~jnz1568/getInfo.php?workbook=16_08.xlsx&amp;sheet=U0&amp;row=7007&amp;col=7&amp;number=8.63e-05&amp;sourceID=14","8.63e-05")</f>
        <v>8.63e-05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HYPERLINK("http://141.218.60.56/~jnz1568/getInfo.php?workbook=16_08.xlsx&amp;sheet=U0&amp;row=7008&amp;col=6&amp;number=3.4&amp;sourceID=14","3.4")</f>
        <v>3.4</v>
      </c>
      <c r="G7008" s="4" t="str">
        <f>HYPERLINK("http://141.218.60.56/~jnz1568/getInfo.php?workbook=16_08.xlsx&amp;sheet=U0&amp;row=7008&amp;col=7&amp;number=8.63e-05&amp;sourceID=14","8.63e-05")</f>
        <v>8.63e-05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HYPERLINK("http://141.218.60.56/~jnz1568/getInfo.php?workbook=16_08.xlsx&amp;sheet=U0&amp;row=7009&amp;col=6&amp;number=3.5&amp;sourceID=14","3.5")</f>
        <v>3.5</v>
      </c>
      <c r="G7009" s="4" t="str">
        <f>HYPERLINK("http://141.218.60.56/~jnz1568/getInfo.php?workbook=16_08.xlsx&amp;sheet=U0&amp;row=7009&amp;col=7&amp;number=8.63e-05&amp;sourceID=14","8.63e-05")</f>
        <v>8.63e-05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HYPERLINK("http://141.218.60.56/~jnz1568/getInfo.php?workbook=16_08.xlsx&amp;sheet=U0&amp;row=7010&amp;col=6&amp;number=3.6&amp;sourceID=14","3.6")</f>
        <v>3.6</v>
      </c>
      <c r="G7010" s="4" t="str">
        <f>HYPERLINK("http://141.218.60.56/~jnz1568/getInfo.php?workbook=16_08.xlsx&amp;sheet=U0&amp;row=7010&amp;col=7&amp;number=8.63e-05&amp;sourceID=14","8.63e-05")</f>
        <v>8.63e-05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HYPERLINK("http://141.218.60.56/~jnz1568/getInfo.php?workbook=16_08.xlsx&amp;sheet=U0&amp;row=7011&amp;col=6&amp;number=3.7&amp;sourceID=14","3.7")</f>
        <v>3.7</v>
      </c>
      <c r="G7011" s="4" t="str">
        <f>HYPERLINK("http://141.218.60.56/~jnz1568/getInfo.php?workbook=16_08.xlsx&amp;sheet=U0&amp;row=7011&amp;col=7&amp;number=8.62e-05&amp;sourceID=14","8.62e-05")</f>
        <v>8.62e-05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HYPERLINK("http://141.218.60.56/~jnz1568/getInfo.php?workbook=16_08.xlsx&amp;sheet=U0&amp;row=7012&amp;col=6&amp;number=3.8&amp;sourceID=14","3.8")</f>
        <v>3.8</v>
      </c>
      <c r="G7012" s="4" t="str">
        <f>HYPERLINK("http://141.218.60.56/~jnz1568/getInfo.php?workbook=16_08.xlsx&amp;sheet=U0&amp;row=7012&amp;col=7&amp;number=8.62e-05&amp;sourceID=14","8.62e-05")</f>
        <v>8.62e-05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HYPERLINK("http://141.218.60.56/~jnz1568/getInfo.php?workbook=16_08.xlsx&amp;sheet=U0&amp;row=7013&amp;col=6&amp;number=3.9&amp;sourceID=14","3.9")</f>
        <v>3.9</v>
      </c>
      <c r="G7013" s="4" t="str">
        <f>HYPERLINK("http://141.218.60.56/~jnz1568/getInfo.php?workbook=16_08.xlsx&amp;sheet=U0&amp;row=7013&amp;col=7&amp;number=8.62e-05&amp;sourceID=14","8.62e-05")</f>
        <v>8.62e-05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HYPERLINK("http://141.218.60.56/~jnz1568/getInfo.php?workbook=16_08.xlsx&amp;sheet=U0&amp;row=7014&amp;col=6&amp;number=4&amp;sourceID=14","4")</f>
        <v>4</v>
      </c>
      <c r="G7014" s="4" t="str">
        <f>HYPERLINK("http://141.218.60.56/~jnz1568/getInfo.php?workbook=16_08.xlsx&amp;sheet=U0&amp;row=7014&amp;col=7&amp;number=8.61e-05&amp;sourceID=14","8.61e-05")</f>
        <v>8.61e-05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HYPERLINK("http://141.218.60.56/~jnz1568/getInfo.php?workbook=16_08.xlsx&amp;sheet=U0&amp;row=7015&amp;col=6&amp;number=4.1&amp;sourceID=14","4.1")</f>
        <v>4.1</v>
      </c>
      <c r="G7015" s="4" t="str">
        <f>HYPERLINK("http://141.218.60.56/~jnz1568/getInfo.php?workbook=16_08.xlsx&amp;sheet=U0&amp;row=7015&amp;col=7&amp;number=8.61e-05&amp;sourceID=14","8.61e-05")</f>
        <v>8.61e-05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HYPERLINK("http://141.218.60.56/~jnz1568/getInfo.php?workbook=16_08.xlsx&amp;sheet=U0&amp;row=7016&amp;col=6&amp;number=4.2&amp;sourceID=14","4.2")</f>
        <v>4.2</v>
      </c>
      <c r="G7016" s="4" t="str">
        <f>HYPERLINK("http://141.218.60.56/~jnz1568/getInfo.php?workbook=16_08.xlsx&amp;sheet=U0&amp;row=7016&amp;col=7&amp;number=8.6e-05&amp;sourceID=14","8.6e-05")</f>
        <v>8.6e-05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HYPERLINK("http://141.218.60.56/~jnz1568/getInfo.php?workbook=16_08.xlsx&amp;sheet=U0&amp;row=7017&amp;col=6&amp;number=4.3&amp;sourceID=14","4.3")</f>
        <v>4.3</v>
      </c>
      <c r="G7017" s="4" t="str">
        <f>HYPERLINK("http://141.218.60.56/~jnz1568/getInfo.php?workbook=16_08.xlsx&amp;sheet=U0&amp;row=7017&amp;col=7&amp;number=8.59e-05&amp;sourceID=14","8.59e-05")</f>
        <v>8.59e-05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HYPERLINK("http://141.218.60.56/~jnz1568/getInfo.php?workbook=16_08.xlsx&amp;sheet=U0&amp;row=7018&amp;col=6&amp;number=4.4&amp;sourceID=14","4.4")</f>
        <v>4.4</v>
      </c>
      <c r="G7018" s="4" t="str">
        <f>HYPERLINK("http://141.218.60.56/~jnz1568/getInfo.php?workbook=16_08.xlsx&amp;sheet=U0&amp;row=7018&amp;col=7&amp;number=8.58e-05&amp;sourceID=14","8.58e-05")</f>
        <v>8.58e-05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HYPERLINK("http://141.218.60.56/~jnz1568/getInfo.php?workbook=16_08.xlsx&amp;sheet=U0&amp;row=7019&amp;col=6&amp;number=4.5&amp;sourceID=14","4.5")</f>
        <v>4.5</v>
      </c>
      <c r="G7019" s="4" t="str">
        <f>HYPERLINK("http://141.218.60.56/~jnz1568/getInfo.php?workbook=16_08.xlsx&amp;sheet=U0&amp;row=7019&amp;col=7&amp;number=8.57e-05&amp;sourceID=14","8.57e-05")</f>
        <v>8.57e-05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HYPERLINK("http://141.218.60.56/~jnz1568/getInfo.php?workbook=16_08.xlsx&amp;sheet=U0&amp;row=7020&amp;col=6&amp;number=4.6&amp;sourceID=14","4.6")</f>
        <v>4.6</v>
      </c>
      <c r="G7020" s="4" t="str">
        <f>HYPERLINK("http://141.218.60.56/~jnz1568/getInfo.php?workbook=16_08.xlsx&amp;sheet=U0&amp;row=7020&amp;col=7&amp;number=8.55e-05&amp;sourceID=14","8.55e-05")</f>
        <v>8.55e-05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HYPERLINK("http://141.218.60.56/~jnz1568/getInfo.php?workbook=16_08.xlsx&amp;sheet=U0&amp;row=7021&amp;col=6&amp;number=4.7&amp;sourceID=14","4.7")</f>
        <v>4.7</v>
      </c>
      <c r="G7021" s="4" t="str">
        <f>HYPERLINK("http://141.218.60.56/~jnz1568/getInfo.php?workbook=16_08.xlsx&amp;sheet=U0&amp;row=7021&amp;col=7&amp;number=8.53e-05&amp;sourceID=14","8.53e-05")</f>
        <v>8.53e-05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HYPERLINK("http://141.218.60.56/~jnz1568/getInfo.php?workbook=16_08.xlsx&amp;sheet=U0&amp;row=7022&amp;col=6&amp;number=4.8&amp;sourceID=14","4.8")</f>
        <v>4.8</v>
      </c>
      <c r="G7022" s="4" t="str">
        <f>HYPERLINK("http://141.218.60.56/~jnz1568/getInfo.php?workbook=16_08.xlsx&amp;sheet=U0&amp;row=7022&amp;col=7&amp;number=8.51e-05&amp;sourceID=14","8.51e-05")</f>
        <v>8.51e-05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HYPERLINK("http://141.218.60.56/~jnz1568/getInfo.php?workbook=16_08.xlsx&amp;sheet=U0&amp;row=7023&amp;col=6&amp;number=4.9&amp;sourceID=14","4.9")</f>
        <v>4.9</v>
      </c>
      <c r="G7023" s="4" t="str">
        <f>HYPERLINK("http://141.218.60.56/~jnz1568/getInfo.php?workbook=16_08.xlsx&amp;sheet=U0&amp;row=7023&amp;col=7&amp;number=8.48e-05&amp;sourceID=14","8.48e-05")</f>
        <v>8.48e-05</v>
      </c>
    </row>
    <row r="7024" spans="1:7">
      <c r="A7024" s="3">
        <v>16</v>
      </c>
      <c r="B7024" s="3">
        <v>8</v>
      </c>
      <c r="C7024" s="3">
        <v>5</v>
      </c>
      <c r="D7024" s="3">
        <v>23</v>
      </c>
      <c r="E7024" s="3">
        <v>1</v>
      </c>
      <c r="F7024" s="4" t="str">
        <f>HYPERLINK("http://141.218.60.56/~jnz1568/getInfo.php?workbook=16_08.xlsx&amp;sheet=U0&amp;row=7024&amp;col=6&amp;number=3&amp;sourceID=14","3")</f>
        <v>3</v>
      </c>
      <c r="G7024" s="4" t="str">
        <f>HYPERLINK("http://141.218.60.56/~jnz1568/getInfo.php?workbook=16_08.xlsx&amp;sheet=U0&amp;row=7024&amp;col=7&amp;number=0.000832&amp;sourceID=14","0.000832")</f>
        <v>0.000832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HYPERLINK("http://141.218.60.56/~jnz1568/getInfo.php?workbook=16_08.xlsx&amp;sheet=U0&amp;row=7025&amp;col=6&amp;number=3.1&amp;sourceID=14","3.1")</f>
        <v>3.1</v>
      </c>
      <c r="G7025" s="4" t="str">
        <f>HYPERLINK("http://141.218.60.56/~jnz1568/getInfo.php?workbook=16_08.xlsx&amp;sheet=U0&amp;row=7025&amp;col=7&amp;number=0.000832&amp;sourceID=14","0.000832")</f>
        <v>0.000832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HYPERLINK("http://141.218.60.56/~jnz1568/getInfo.php?workbook=16_08.xlsx&amp;sheet=U0&amp;row=7026&amp;col=6&amp;number=3.2&amp;sourceID=14","3.2")</f>
        <v>3.2</v>
      </c>
      <c r="G7026" s="4" t="str">
        <f>HYPERLINK("http://141.218.60.56/~jnz1568/getInfo.php?workbook=16_08.xlsx&amp;sheet=U0&amp;row=7026&amp;col=7&amp;number=0.000831&amp;sourceID=14","0.000831")</f>
        <v>0.000831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HYPERLINK("http://141.218.60.56/~jnz1568/getInfo.php?workbook=16_08.xlsx&amp;sheet=U0&amp;row=7027&amp;col=6&amp;number=3.3&amp;sourceID=14","3.3")</f>
        <v>3.3</v>
      </c>
      <c r="G7027" s="4" t="str">
        <f>HYPERLINK("http://141.218.60.56/~jnz1568/getInfo.php?workbook=16_08.xlsx&amp;sheet=U0&amp;row=7027&amp;col=7&amp;number=0.000831&amp;sourceID=14","0.000831")</f>
        <v>0.000831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HYPERLINK("http://141.218.60.56/~jnz1568/getInfo.php?workbook=16_08.xlsx&amp;sheet=U0&amp;row=7028&amp;col=6&amp;number=3.4&amp;sourceID=14","3.4")</f>
        <v>3.4</v>
      </c>
      <c r="G7028" s="4" t="str">
        <f>HYPERLINK("http://141.218.60.56/~jnz1568/getInfo.php?workbook=16_08.xlsx&amp;sheet=U0&amp;row=7028&amp;col=7&amp;number=0.000831&amp;sourceID=14","0.000831")</f>
        <v>0.000831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HYPERLINK("http://141.218.60.56/~jnz1568/getInfo.php?workbook=16_08.xlsx&amp;sheet=U0&amp;row=7029&amp;col=6&amp;number=3.5&amp;sourceID=14","3.5")</f>
        <v>3.5</v>
      </c>
      <c r="G7029" s="4" t="str">
        <f>HYPERLINK("http://141.218.60.56/~jnz1568/getInfo.php?workbook=16_08.xlsx&amp;sheet=U0&amp;row=7029&amp;col=7&amp;number=0.000831&amp;sourceID=14","0.000831")</f>
        <v>0.000831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HYPERLINK("http://141.218.60.56/~jnz1568/getInfo.php?workbook=16_08.xlsx&amp;sheet=U0&amp;row=7030&amp;col=6&amp;number=3.6&amp;sourceID=14","3.6")</f>
        <v>3.6</v>
      </c>
      <c r="G7030" s="4" t="str">
        <f>HYPERLINK("http://141.218.60.56/~jnz1568/getInfo.php?workbook=16_08.xlsx&amp;sheet=U0&amp;row=7030&amp;col=7&amp;number=0.000831&amp;sourceID=14","0.000831")</f>
        <v>0.000831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HYPERLINK("http://141.218.60.56/~jnz1568/getInfo.php?workbook=16_08.xlsx&amp;sheet=U0&amp;row=7031&amp;col=6&amp;number=3.7&amp;sourceID=14","3.7")</f>
        <v>3.7</v>
      </c>
      <c r="G7031" s="4" t="str">
        <f>HYPERLINK("http://141.218.60.56/~jnz1568/getInfo.php?workbook=16_08.xlsx&amp;sheet=U0&amp;row=7031&amp;col=7&amp;number=0.00083&amp;sourceID=14","0.00083")</f>
        <v>0.00083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HYPERLINK("http://141.218.60.56/~jnz1568/getInfo.php?workbook=16_08.xlsx&amp;sheet=U0&amp;row=7032&amp;col=6&amp;number=3.8&amp;sourceID=14","3.8")</f>
        <v>3.8</v>
      </c>
      <c r="G7032" s="4" t="str">
        <f>HYPERLINK("http://141.218.60.56/~jnz1568/getInfo.php?workbook=16_08.xlsx&amp;sheet=U0&amp;row=7032&amp;col=7&amp;number=0.00083&amp;sourceID=14","0.00083")</f>
        <v>0.00083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HYPERLINK("http://141.218.60.56/~jnz1568/getInfo.php?workbook=16_08.xlsx&amp;sheet=U0&amp;row=7033&amp;col=6&amp;number=3.9&amp;sourceID=14","3.9")</f>
        <v>3.9</v>
      </c>
      <c r="G7033" s="4" t="str">
        <f>HYPERLINK("http://141.218.60.56/~jnz1568/getInfo.php?workbook=16_08.xlsx&amp;sheet=U0&amp;row=7033&amp;col=7&amp;number=0.00083&amp;sourceID=14","0.00083")</f>
        <v>0.00083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HYPERLINK("http://141.218.60.56/~jnz1568/getInfo.php?workbook=16_08.xlsx&amp;sheet=U0&amp;row=7034&amp;col=6&amp;number=4&amp;sourceID=14","4")</f>
        <v>4</v>
      </c>
      <c r="G7034" s="4" t="str">
        <f>HYPERLINK("http://141.218.60.56/~jnz1568/getInfo.php?workbook=16_08.xlsx&amp;sheet=U0&amp;row=7034&amp;col=7&amp;number=0.000829&amp;sourceID=14","0.000829")</f>
        <v>0.000829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HYPERLINK("http://141.218.60.56/~jnz1568/getInfo.php?workbook=16_08.xlsx&amp;sheet=U0&amp;row=7035&amp;col=6&amp;number=4.1&amp;sourceID=14","4.1")</f>
        <v>4.1</v>
      </c>
      <c r="G7035" s="4" t="str">
        <f>HYPERLINK("http://141.218.60.56/~jnz1568/getInfo.php?workbook=16_08.xlsx&amp;sheet=U0&amp;row=7035&amp;col=7&amp;number=0.000828&amp;sourceID=14","0.000828")</f>
        <v>0.000828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HYPERLINK("http://141.218.60.56/~jnz1568/getInfo.php?workbook=16_08.xlsx&amp;sheet=U0&amp;row=7036&amp;col=6&amp;number=4.2&amp;sourceID=14","4.2")</f>
        <v>4.2</v>
      </c>
      <c r="G7036" s="4" t="str">
        <f>HYPERLINK("http://141.218.60.56/~jnz1568/getInfo.php?workbook=16_08.xlsx&amp;sheet=U0&amp;row=7036&amp;col=7&amp;number=0.000827&amp;sourceID=14","0.000827")</f>
        <v>0.000827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HYPERLINK("http://141.218.60.56/~jnz1568/getInfo.php?workbook=16_08.xlsx&amp;sheet=U0&amp;row=7037&amp;col=6&amp;number=4.3&amp;sourceID=14","4.3")</f>
        <v>4.3</v>
      </c>
      <c r="G7037" s="4" t="str">
        <f>HYPERLINK("http://141.218.60.56/~jnz1568/getInfo.php?workbook=16_08.xlsx&amp;sheet=U0&amp;row=7037&amp;col=7&amp;number=0.000826&amp;sourceID=14","0.000826")</f>
        <v>0.000826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HYPERLINK("http://141.218.60.56/~jnz1568/getInfo.php?workbook=16_08.xlsx&amp;sheet=U0&amp;row=7038&amp;col=6&amp;number=4.4&amp;sourceID=14","4.4")</f>
        <v>4.4</v>
      </c>
      <c r="G7038" s="4" t="str">
        <f>HYPERLINK("http://141.218.60.56/~jnz1568/getInfo.php?workbook=16_08.xlsx&amp;sheet=U0&amp;row=7038&amp;col=7&amp;number=0.000825&amp;sourceID=14","0.000825")</f>
        <v>0.000825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HYPERLINK("http://141.218.60.56/~jnz1568/getInfo.php?workbook=16_08.xlsx&amp;sheet=U0&amp;row=7039&amp;col=6&amp;number=4.5&amp;sourceID=14","4.5")</f>
        <v>4.5</v>
      </c>
      <c r="G7039" s="4" t="str">
        <f>HYPERLINK("http://141.218.60.56/~jnz1568/getInfo.php?workbook=16_08.xlsx&amp;sheet=U0&amp;row=7039&amp;col=7&amp;number=0.000823&amp;sourceID=14","0.000823")</f>
        <v>0.000823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HYPERLINK("http://141.218.60.56/~jnz1568/getInfo.php?workbook=16_08.xlsx&amp;sheet=U0&amp;row=7040&amp;col=6&amp;number=4.6&amp;sourceID=14","4.6")</f>
        <v>4.6</v>
      </c>
      <c r="G7040" s="4" t="str">
        <f>HYPERLINK("http://141.218.60.56/~jnz1568/getInfo.php?workbook=16_08.xlsx&amp;sheet=U0&amp;row=7040&amp;col=7&amp;number=0.000821&amp;sourceID=14","0.000821")</f>
        <v>0.000821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HYPERLINK("http://141.218.60.56/~jnz1568/getInfo.php?workbook=16_08.xlsx&amp;sheet=U0&amp;row=7041&amp;col=6&amp;number=4.7&amp;sourceID=14","4.7")</f>
        <v>4.7</v>
      </c>
      <c r="G7041" s="4" t="str">
        <f>HYPERLINK("http://141.218.60.56/~jnz1568/getInfo.php?workbook=16_08.xlsx&amp;sheet=U0&amp;row=7041&amp;col=7&amp;number=0.000818&amp;sourceID=14","0.000818")</f>
        <v>0.000818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HYPERLINK("http://141.218.60.56/~jnz1568/getInfo.php?workbook=16_08.xlsx&amp;sheet=U0&amp;row=7042&amp;col=6&amp;number=4.8&amp;sourceID=14","4.8")</f>
        <v>4.8</v>
      </c>
      <c r="G7042" s="4" t="str">
        <f>HYPERLINK("http://141.218.60.56/~jnz1568/getInfo.php?workbook=16_08.xlsx&amp;sheet=U0&amp;row=7042&amp;col=7&amp;number=0.000814&amp;sourceID=14","0.000814")</f>
        <v>0.000814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HYPERLINK("http://141.218.60.56/~jnz1568/getInfo.php?workbook=16_08.xlsx&amp;sheet=U0&amp;row=7043&amp;col=6&amp;number=4.9&amp;sourceID=14","4.9")</f>
        <v>4.9</v>
      </c>
      <c r="G7043" s="4" t="str">
        <f>HYPERLINK("http://141.218.60.56/~jnz1568/getInfo.php?workbook=16_08.xlsx&amp;sheet=U0&amp;row=7043&amp;col=7&amp;number=0.00081&amp;sourceID=14","0.00081")</f>
        <v>0.00081</v>
      </c>
    </row>
    <row r="7044" spans="1:7">
      <c r="A7044" s="3">
        <v>16</v>
      </c>
      <c r="B7044" s="3">
        <v>8</v>
      </c>
      <c r="C7044" s="3">
        <v>5</v>
      </c>
      <c r="D7044" s="3">
        <v>24</v>
      </c>
      <c r="E7044" s="3">
        <v>1</v>
      </c>
      <c r="F7044" s="4" t="str">
        <f>HYPERLINK("http://141.218.60.56/~jnz1568/getInfo.php?workbook=16_08.xlsx&amp;sheet=U0&amp;row=7044&amp;col=6&amp;number=3&amp;sourceID=14","3")</f>
        <v>3</v>
      </c>
      <c r="G7044" s="4" t="str">
        <f>HYPERLINK("http://141.218.60.56/~jnz1568/getInfo.php?workbook=16_08.xlsx&amp;sheet=U0&amp;row=7044&amp;col=7&amp;number=0.00264&amp;sourceID=14","0.00264")</f>
        <v>0.00264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HYPERLINK("http://141.218.60.56/~jnz1568/getInfo.php?workbook=16_08.xlsx&amp;sheet=U0&amp;row=7045&amp;col=6&amp;number=3.1&amp;sourceID=14","3.1")</f>
        <v>3.1</v>
      </c>
      <c r="G7045" s="4" t="str">
        <f>HYPERLINK("http://141.218.60.56/~jnz1568/getInfo.php?workbook=16_08.xlsx&amp;sheet=U0&amp;row=7045&amp;col=7&amp;number=0.00264&amp;sourceID=14","0.00264")</f>
        <v>0.00264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HYPERLINK("http://141.218.60.56/~jnz1568/getInfo.php?workbook=16_08.xlsx&amp;sheet=U0&amp;row=7046&amp;col=6&amp;number=3.2&amp;sourceID=14","3.2")</f>
        <v>3.2</v>
      </c>
      <c r="G7046" s="4" t="str">
        <f>HYPERLINK("http://141.218.60.56/~jnz1568/getInfo.php?workbook=16_08.xlsx&amp;sheet=U0&amp;row=7046&amp;col=7&amp;number=0.00264&amp;sourceID=14","0.00264")</f>
        <v>0.00264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HYPERLINK("http://141.218.60.56/~jnz1568/getInfo.php?workbook=16_08.xlsx&amp;sheet=U0&amp;row=7047&amp;col=6&amp;number=3.3&amp;sourceID=14","3.3")</f>
        <v>3.3</v>
      </c>
      <c r="G7047" s="4" t="str">
        <f>HYPERLINK("http://141.218.60.56/~jnz1568/getInfo.php?workbook=16_08.xlsx&amp;sheet=U0&amp;row=7047&amp;col=7&amp;number=0.00264&amp;sourceID=14","0.00264")</f>
        <v>0.00264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HYPERLINK("http://141.218.60.56/~jnz1568/getInfo.php?workbook=16_08.xlsx&amp;sheet=U0&amp;row=7048&amp;col=6&amp;number=3.4&amp;sourceID=14","3.4")</f>
        <v>3.4</v>
      </c>
      <c r="G7048" s="4" t="str">
        <f>HYPERLINK("http://141.218.60.56/~jnz1568/getInfo.php?workbook=16_08.xlsx&amp;sheet=U0&amp;row=7048&amp;col=7&amp;number=0.00264&amp;sourceID=14","0.00264")</f>
        <v>0.00264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HYPERLINK("http://141.218.60.56/~jnz1568/getInfo.php?workbook=16_08.xlsx&amp;sheet=U0&amp;row=7049&amp;col=6&amp;number=3.5&amp;sourceID=14","3.5")</f>
        <v>3.5</v>
      </c>
      <c r="G7049" s="4" t="str">
        <f>HYPERLINK("http://141.218.60.56/~jnz1568/getInfo.php?workbook=16_08.xlsx&amp;sheet=U0&amp;row=7049&amp;col=7&amp;number=0.00264&amp;sourceID=14","0.00264")</f>
        <v>0.00264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HYPERLINK("http://141.218.60.56/~jnz1568/getInfo.php?workbook=16_08.xlsx&amp;sheet=U0&amp;row=7050&amp;col=6&amp;number=3.6&amp;sourceID=14","3.6")</f>
        <v>3.6</v>
      </c>
      <c r="G7050" s="4" t="str">
        <f>HYPERLINK("http://141.218.60.56/~jnz1568/getInfo.php?workbook=16_08.xlsx&amp;sheet=U0&amp;row=7050&amp;col=7&amp;number=0.00264&amp;sourceID=14","0.00264")</f>
        <v>0.00264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HYPERLINK("http://141.218.60.56/~jnz1568/getInfo.php?workbook=16_08.xlsx&amp;sheet=U0&amp;row=7051&amp;col=6&amp;number=3.7&amp;sourceID=14","3.7")</f>
        <v>3.7</v>
      </c>
      <c r="G7051" s="4" t="str">
        <f>HYPERLINK("http://141.218.60.56/~jnz1568/getInfo.php?workbook=16_08.xlsx&amp;sheet=U0&amp;row=7051&amp;col=7&amp;number=0.00264&amp;sourceID=14","0.00264")</f>
        <v>0.00264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HYPERLINK("http://141.218.60.56/~jnz1568/getInfo.php?workbook=16_08.xlsx&amp;sheet=U0&amp;row=7052&amp;col=6&amp;number=3.8&amp;sourceID=14","3.8")</f>
        <v>3.8</v>
      </c>
      <c r="G7052" s="4" t="str">
        <f>HYPERLINK("http://141.218.60.56/~jnz1568/getInfo.php?workbook=16_08.xlsx&amp;sheet=U0&amp;row=7052&amp;col=7&amp;number=0.00264&amp;sourceID=14","0.00264")</f>
        <v>0.00264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HYPERLINK("http://141.218.60.56/~jnz1568/getInfo.php?workbook=16_08.xlsx&amp;sheet=U0&amp;row=7053&amp;col=6&amp;number=3.9&amp;sourceID=14","3.9")</f>
        <v>3.9</v>
      </c>
      <c r="G7053" s="4" t="str">
        <f>HYPERLINK("http://141.218.60.56/~jnz1568/getInfo.php?workbook=16_08.xlsx&amp;sheet=U0&amp;row=7053&amp;col=7&amp;number=0.00264&amp;sourceID=14","0.00264")</f>
        <v>0.00264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HYPERLINK("http://141.218.60.56/~jnz1568/getInfo.php?workbook=16_08.xlsx&amp;sheet=U0&amp;row=7054&amp;col=6&amp;number=4&amp;sourceID=14","4")</f>
        <v>4</v>
      </c>
      <c r="G7054" s="4" t="str">
        <f>HYPERLINK("http://141.218.60.56/~jnz1568/getInfo.php?workbook=16_08.xlsx&amp;sheet=U0&amp;row=7054&amp;col=7&amp;number=0.00263&amp;sourceID=14","0.00263")</f>
        <v>0.00263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HYPERLINK("http://141.218.60.56/~jnz1568/getInfo.php?workbook=16_08.xlsx&amp;sheet=U0&amp;row=7055&amp;col=6&amp;number=4.1&amp;sourceID=14","4.1")</f>
        <v>4.1</v>
      </c>
      <c r="G7055" s="4" t="str">
        <f>HYPERLINK("http://141.218.60.56/~jnz1568/getInfo.php?workbook=16_08.xlsx&amp;sheet=U0&amp;row=7055&amp;col=7&amp;number=0.00263&amp;sourceID=14","0.00263")</f>
        <v>0.00263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HYPERLINK("http://141.218.60.56/~jnz1568/getInfo.php?workbook=16_08.xlsx&amp;sheet=U0&amp;row=7056&amp;col=6&amp;number=4.2&amp;sourceID=14","4.2")</f>
        <v>4.2</v>
      </c>
      <c r="G7056" s="4" t="str">
        <f>HYPERLINK("http://141.218.60.56/~jnz1568/getInfo.php?workbook=16_08.xlsx&amp;sheet=U0&amp;row=7056&amp;col=7&amp;number=0.00263&amp;sourceID=14","0.00263")</f>
        <v>0.00263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HYPERLINK("http://141.218.60.56/~jnz1568/getInfo.php?workbook=16_08.xlsx&amp;sheet=U0&amp;row=7057&amp;col=6&amp;number=4.3&amp;sourceID=14","4.3")</f>
        <v>4.3</v>
      </c>
      <c r="G7057" s="4" t="str">
        <f>HYPERLINK("http://141.218.60.56/~jnz1568/getInfo.php?workbook=16_08.xlsx&amp;sheet=U0&amp;row=7057&amp;col=7&amp;number=0.00263&amp;sourceID=14","0.00263")</f>
        <v>0.00263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HYPERLINK("http://141.218.60.56/~jnz1568/getInfo.php?workbook=16_08.xlsx&amp;sheet=U0&amp;row=7058&amp;col=6&amp;number=4.4&amp;sourceID=14","4.4")</f>
        <v>4.4</v>
      </c>
      <c r="G7058" s="4" t="str">
        <f>HYPERLINK("http://141.218.60.56/~jnz1568/getInfo.php?workbook=16_08.xlsx&amp;sheet=U0&amp;row=7058&amp;col=7&amp;number=0.00262&amp;sourceID=14","0.00262")</f>
        <v>0.00262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HYPERLINK("http://141.218.60.56/~jnz1568/getInfo.php?workbook=16_08.xlsx&amp;sheet=U0&amp;row=7059&amp;col=6&amp;number=4.5&amp;sourceID=14","4.5")</f>
        <v>4.5</v>
      </c>
      <c r="G7059" s="4" t="str">
        <f>HYPERLINK("http://141.218.60.56/~jnz1568/getInfo.php?workbook=16_08.xlsx&amp;sheet=U0&amp;row=7059&amp;col=7&amp;number=0.00262&amp;sourceID=14","0.00262")</f>
        <v>0.00262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HYPERLINK("http://141.218.60.56/~jnz1568/getInfo.php?workbook=16_08.xlsx&amp;sheet=U0&amp;row=7060&amp;col=6&amp;number=4.6&amp;sourceID=14","4.6")</f>
        <v>4.6</v>
      </c>
      <c r="G7060" s="4" t="str">
        <f>HYPERLINK("http://141.218.60.56/~jnz1568/getInfo.php?workbook=16_08.xlsx&amp;sheet=U0&amp;row=7060&amp;col=7&amp;number=0.00261&amp;sourceID=14","0.00261")</f>
        <v>0.00261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HYPERLINK("http://141.218.60.56/~jnz1568/getInfo.php?workbook=16_08.xlsx&amp;sheet=U0&amp;row=7061&amp;col=6&amp;number=4.7&amp;sourceID=14","4.7")</f>
        <v>4.7</v>
      </c>
      <c r="G7061" s="4" t="str">
        <f>HYPERLINK("http://141.218.60.56/~jnz1568/getInfo.php?workbook=16_08.xlsx&amp;sheet=U0&amp;row=7061&amp;col=7&amp;number=0.0026&amp;sourceID=14","0.0026")</f>
        <v>0.0026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HYPERLINK("http://141.218.60.56/~jnz1568/getInfo.php?workbook=16_08.xlsx&amp;sheet=U0&amp;row=7062&amp;col=6&amp;number=4.8&amp;sourceID=14","4.8")</f>
        <v>4.8</v>
      </c>
      <c r="G7062" s="4" t="str">
        <f>HYPERLINK("http://141.218.60.56/~jnz1568/getInfo.php?workbook=16_08.xlsx&amp;sheet=U0&amp;row=7062&amp;col=7&amp;number=0.00259&amp;sourceID=14","0.00259")</f>
        <v>0.00259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HYPERLINK("http://141.218.60.56/~jnz1568/getInfo.php?workbook=16_08.xlsx&amp;sheet=U0&amp;row=7063&amp;col=6&amp;number=4.9&amp;sourceID=14","4.9")</f>
        <v>4.9</v>
      </c>
      <c r="G7063" s="4" t="str">
        <f>HYPERLINK("http://141.218.60.56/~jnz1568/getInfo.php?workbook=16_08.xlsx&amp;sheet=U0&amp;row=7063&amp;col=7&amp;number=0.00257&amp;sourceID=14","0.00257")</f>
        <v>0.00257</v>
      </c>
    </row>
    <row r="7064" spans="1:7">
      <c r="A7064" s="3">
        <v>16</v>
      </c>
      <c r="B7064" s="3">
        <v>8</v>
      </c>
      <c r="C7064" s="3">
        <v>5</v>
      </c>
      <c r="D7064" s="3">
        <v>25</v>
      </c>
      <c r="E7064" s="3">
        <v>1</v>
      </c>
      <c r="F7064" s="4" t="str">
        <f>HYPERLINK("http://141.218.60.56/~jnz1568/getInfo.php?workbook=16_08.xlsx&amp;sheet=U0&amp;row=7064&amp;col=6&amp;number=3&amp;sourceID=14","3")</f>
        <v>3</v>
      </c>
      <c r="G7064" s="4" t="str">
        <f>HYPERLINK("http://141.218.60.56/~jnz1568/getInfo.php?workbook=16_08.xlsx&amp;sheet=U0&amp;row=7064&amp;col=7&amp;number=0.00504&amp;sourceID=14","0.00504")</f>
        <v>0.00504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HYPERLINK("http://141.218.60.56/~jnz1568/getInfo.php?workbook=16_08.xlsx&amp;sheet=U0&amp;row=7065&amp;col=6&amp;number=3.1&amp;sourceID=14","3.1")</f>
        <v>3.1</v>
      </c>
      <c r="G7065" s="4" t="str">
        <f>HYPERLINK("http://141.218.60.56/~jnz1568/getInfo.php?workbook=16_08.xlsx&amp;sheet=U0&amp;row=7065&amp;col=7&amp;number=0.00504&amp;sourceID=14","0.00504")</f>
        <v>0.00504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HYPERLINK("http://141.218.60.56/~jnz1568/getInfo.php?workbook=16_08.xlsx&amp;sheet=U0&amp;row=7066&amp;col=6&amp;number=3.2&amp;sourceID=14","3.2")</f>
        <v>3.2</v>
      </c>
      <c r="G7066" s="4" t="str">
        <f>HYPERLINK("http://141.218.60.56/~jnz1568/getInfo.php?workbook=16_08.xlsx&amp;sheet=U0&amp;row=7066&amp;col=7&amp;number=0.00504&amp;sourceID=14","0.00504")</f>
        <v>0.00504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HYPERLINK("http://141.218.60.56/~jnz1568/getInfo.php?workbook=16_08.xlsx&amp;sheet=U0&amp;row=7067&amp;col=6&amp;number=3.3&amp;sourceID=14","3.3")</f>
        <v>3.3</v>
      </c>
      <c r="G7067" s="4" t="str">
        <f>HYPERLINK("http://141.218.60.56/~jnz1568/getInfo.php?workbook=16_08.xlsx&amp;sheet=U0&amp;row=7067&amp;col=7&amp;number=0.00504&amp;sourceID=14","0.00504")</f>
        <v>0.00504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HYPERLINK("http://141.218.60.56/~jnz1568/getInfo.php?workbook=16_08.xlsx&amp;sheet=U0&amp;row=7068&amp;col=6&amp;number=3.4&amp;sourceID=14","3.4")</f>
        <v>3.4</v>
      </c>
      <c r="G7068" s="4" t="str">
        <f>HYPERLINK("http://141.218.60.56/~jnz1568/getInfo.php?workbook=16_08.xlsx&amp;sheet=U0&amp;row=7068&amp;col=7&amp;number=0.00504&amp;sourceID=14","0.00504")</f>
        <v>0.00504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HYPERLINK("http://141.218.60.56/~jnz1568/getInfo.php?workbook=16_08.xlsx&amp;sheet=U0&amp;row=7069&amp;col=6&amp;number=3.5&amp;sourceID=14","3.5")</f>
        <v>3.5</v>
      </c>
      <c r="G7069" s="4" t="str">
        <f>HYPERLINK("http://141.218.60.56/~jnz1568/getInfo.php?workbook=16_08.xlsx&amp;sheet=U0&amp;row=7069&amp;col=7&amp;number=0.00504&amp;sourceID=14","0.00504")</f>
        <v>0.00504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HYPERLINK("http://141.218.60.56/~jnz1568/getInfo.php?workbook=16_08.xlsx&amp;sheet=U0&amp;row=7070&amp;col=6&amp;number=3.6&amp;sourceID=14","3.6")</f>
        <v>3.6</v>
      </c>
      <c r="G7070" s="4" t="str">
        <f>HYPERLINK("http://141.218.60.56/~jnz1568/getInfo.php?workbook=16_08.xlsx&amp;sheet=U0&amp;row=7070&amp;col=7&amp;number=0.00504&amp;sourceID=14","0.00504")</f>
        <v>0.00504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HYPERLINK("http://141.218.60.56/~jnz1568/getInfo.php?workbook=16_08.xlsx&amp;sheet=U0&amp;row=7071&amp;col=6&amp;number=3.7&amp;sourceID=14","3.7")</f>
        <v>3.7</v>
      </c>
      <c r="G7071" s="4" t="str">
        <f>HYPERLINK("http://141.218.60.56/~jnz1568/getInfo.php?workbook=16_08.xlsx&amp;sheet=U0&amp;row=7071&amp;col=7&amp;number=0.00503&amp;sourceID=14","0.00503")</f>
        <v>0.00503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HYPERLINK("http://141.218.60.56/~jnz1568/getInfo.php?workbook=16_08.xlsx&amp;sheet=U0&amp;row=7072&amp;col=6&amp;number=3.8&amp;sourceID=14","3.8")</f>
        <v>3.8</v>
      </c>
      <c r="G7072" s="4" t="str">
        <f>HYPERLINK("http://141.218.60.56/~jnz1568/getInfo.php?workbook=16_08.xlsx&amp;sheet=U0&amp;row=7072&amp;col=7&amp;number=0.00503&amp;sourceID=14","0.00503")</f>
        <v>0.00503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HYPERLINK("http://141.218.60.56/~jnz1568/getInfo.php?workbook=16_08.xlsx&amp;sheet=U0&amp;row=7073&amp;col=6&amp;number=3.9&amp;sourceID=14","3.9")</f>
        <v>3.9</v>
      </c>
      <c r="G7073" s="4" t="str">
        <f>HYPERLINK("http://141.218.60.56/~jnz1568/getInfo.php?workbook=16_08.xlsx&amp;sheet=U0&amp;row=7073&amp;col=7&amp;number=0.00503&amp;sourceID=14","0.00503")</f>
        <v>0.00503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HYPERLINK("http://141.218.60.56/~jnz1568/getInfo.php?workbook=16_08.xlsx&amp;sheet=U0&amp;row=7074&amp;col=6&amp;number=4&amp;sourceID=14","4")</f>
        <v>4</v>
      </c>
      <c r="G7074" s="4" t="str">
        <f>HYPERLINK("http://141.218.60.56/~jnz1568/getInfo.php?workbook=16_08.xlsx&amp;sheet=U0&amp;row=7074&amp;col=7&amp;number=0.00502&amp;sourceID=14","0.00502")</f>
        <v>0.00502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HYPERLINK("http://141.218.60.56/~jnz1568/getInfo.php?workbook=16_08.xlsx&amp;sheet=U0&amp;row=7075&amp;col=6&amp;number=4.1&amp;sourceID=14","4.1")</f>
        <v>4.1</v>
      </c>
      <c r="G7075" s="4" t="str">
        <f>HYPERLINK("http://141.218.60.56/~jnz1568/getInfo.php?workbook=16_08.xlsx&amp;sheet=U0&amp;row=7075&amp;col=7&amp;number=0.00502&amp;sourceID=14","0.00502")</f>
        <v>0.00502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HYPERLINK("http://141.218.60.56/~jnz1568/getInfo.php?workbook=16_08.xlsx&amp;sheet=U0&amp;row=7076&amp;col=6&amp;number=4.2&amp;sourceID=14","4.2")</f>
        <v>4.2</v>
      </c>
      <c r="G7076" s="4" t="str">
        <f>HYPERLINK("http://141.218.60.56/~jnz1568/getInfo.php?workbook=16_08.xlsx&amp;sheet=U0&amp;row=7076&amp;col=7&amp;number=0.00502&amp;sourceID=14","0.00502")</f>
        <v>0.00502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HYPERLINK("http://141.218.60.56/~jnz1568/getInfo.php?workbook=16_08.xlsx&amp;sheet=U0&amp;row=7077&amp;col=6&amp;number=4.3&amp;sourceID=14","4.3")</f>
        <v>4.3</v>
      </c>
      <c r="G7077" s="4" t="str">
        <f>HYPERLINK("http://141.218.60.56/~jnz1568/getInfo.php?workbook=16_08.xlsx&amp;sheet=U0&amp;row=7077&amp;col=7&amp;number=0.00501&amp;sourceID=14","0.00501")</f>
        <v>0.00501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HYPERLINK("http://141.218.60.56/~jnz1568/getInfo.php?workbook=16_08.xlsx&amp;sheet=U0&amp;row=7078&amp;col=6&amp;number=4.4&amp;sourceID=14","4.4")</f>
        <v>4.4</v>
      </c>
      <c r="G7078" s="4" t="str">
        <f>HYPERLINK("http://141.218.60.56/~jnz1568/getInfo.php?workbook=16_08.xlsx&amp;sheet=U0&amp;row=7078&amp;col=7&amp;number=0.005&amp;sourceID=14","0.005")</f>
        <v>0.005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HYPERLINK("http://141.218.60.56/~jnz1568/getInfo.php?workbook=16_08.xlsx&amp;sheet=U0&amp;row=7079&amp;col=6&amp;number=4.5&amp;sourceID=14","4.5")</f>
        <v>4.5</v>
      </c>
      <c r="G7079" s="4" t="str">
        <f>HYPERLINK("http://141.218.60.56/~jnz1568/getInfo.php?workbook=16_08.xlsx&amp;sheet=U0&amp;row=7079&amp;col=7&amp;number=0.00499&amp;sourceID=14","0.00499")</f>
        <v>0.00499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HYPERLINK("http://141.218.60.56/~jnz1568/getInfo.php?workbook=16_08.xlsx&amp;sheet=U0&amp;row=7080&amp;col=6&amp;number=4.6&amp;sourceID=14","4.6")</f>
        <v>4.6</v>
      </c>
      <c r="G7080" s="4" t="str">
        <f>HYPERLINK("http://141.218.60.56/~jnz1568/getInfo.php?workbook=16_08.xlsx&amp;sheet=U0&amp;row=7080&amp;col=7&amp;number=0.00497&amp;sourceID=14","0.00497")</f>
        <v>0.00497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HYPERLINK("http://141.218.60.56/~jnz1568/getInfo.php?workbook=16_08.xlsx&amp;sheet=U0&amp;row=7081&amp;col=6&amp;number=4.7&amp;sourceID=14","4.7")</f>
        <v>4.7</v>
      </c>
      <c r="G7081" s="4" t="str">
        <f>HYPERLINK("http://141.218.60.56/~jnz1568/getInfo.php?workbook=16_08.xlsx&amp;sheet=U0&amp;row=7081&amp;col=7&amp;number=0.00496&amp;sourceID=14","0.00496")</f>
        <v>0.00496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HYPERLINK("http://141.218.60.56/~jnz1568/getInfo.php?workbook=16_08.xlsx&amp;sheet=U0&amp;row=7082&amp;col=6&amp;number=4.8&amp;sourceID=14","4.8")</f>
        <v>4.8</v>
      </c>
      <c r="G7082" s="4" t="str">
        <f>HYPERLINK("http://141.218.60.56/~jnz1568/getInfo.php?workbook=16_08.xlsx&amp;sheet=U0&amp;row=7082&amp;col=7&amp;number=0.00494&amp;sourceID=14","0.00494")</f>
        <v>0.00494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HYPERLINK("http://141.218.60.56/~jnz1568/getInfo.php?workbook=16_08.xlsx&amp;sheet=U0&amp;row=7083&amp;col=6&amp;number=4.9&amp;sourceID=14","4.9")</f>
        <v>4.9</v>
      </c>
      <c r="G7083" s="4" t="str">
        <f>HYPERLINK("http://141.218.60.56/~jnz1568/getInfo.php?workbook=16_08.xlsx&amp;sheet=U0&amp;row=7083&amp;col=7&amp;number=0.00491&amp;sourceID=14","0.00491")</f>
        <v>0.00491</v>
      </c>
    </row>
    <row r="7084" spans="1:7">
      <c r="A7084" s="3">
        <v>16</v>
      </c>
      <c r="B7084" s="3">
        <v>8</v>
      </c>
      <c r="C7084" s="3">
        <v>5</v>
      </c>
      <c r="D7084" s="3">
        <v>26</v>
      </c>
      <c r="E7084" s="3">
        <v>1</v>
      </c>
      <c r="F7084" s="4" t="str">
        <f>HYPERLINK("http://141.218.60.56/~jnz1568/getInfo.php?workbook=16_08.xlsx&amp;sheet=U0&amp;row=7084&amp;col=6&amp;number=3&amp;sourceID=14","3")</f>
        <v>3</v>
      </c>
      <c r="G7084" s="4" t="str">
        <f>HYPERLINK("http://141.218.60.56/~jnz1568/getInfo.php?workbook=16_08.xlsx&amp;sheet=U0&amp;row=7084&amp;col=7&amp;number=0.00303&amp;sourceID=14","0.00303")</f>
        <v>0.00303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HYPERLINK("http://141.218.60.56/~jnz1568/getInfo.php?workbook=16_08.xlsx&amp;sheet=U0&amp;row=7085&amp;col=6&amp;number=3.1&amp;sourceID=14","3.1")</f>
        <v>3.1</v>
      </c>
      <c r="G7085" s="4" t="str">
        <f>HYPERLINK("http://141.218.60.56/~jnz1568/getInfo.php?workbook=16_08.xlsx&amp;sheet=U0&amp;row=7085&amp;col=7&amp;number=0.00303&amp;sourceID=14","0.00303")</f>
        <v>0.00303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HYPERLINK("http://141.218.60.56/~jnz1568/getInfo.php?workbook=16_08.xlsx&amp;sheet=U0&amp;row=7086&amp;col=6&amp;number=3.2&amp;sourceID=14","3.2")</f>
        <v>3.2</v>
      </c>
      <c r="G7086" s="4" t="str">
        <f>HYPERLINK("http://141.218.60.56/~jnz1568/getInfo.php?workbook=16_08.xlsx&amp;sheet=U0&amp;row=7086&amp;col=7&amp;number=0.00304&amp;sourceID=14","0.00304")</f>
        <v>0.00304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HYPERLINK("http://141.218.60.56/~jnz1568/getInfo.php?workbook=16_08.xlsx&amp;sheet=U0&amp;row=7087&amp;col=6&amp;number=3.3&amp;sourceID=14","3.3")</f>
        <v>3.3</v>
      </c>
      <c r="G7087" s="4" t="str">
        <f>HYPERLINK("http://141.218.60.56/~jnz1568/getInfo.php?workbook=16_08.xlsx&amp;sheet=U0&amp;row=7087&amp;col=7&amp;number=0.00304&amp;sourceID=14","0.00304")</f>
        <v>0.00304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HYPERLINK("http://141.218.60.56/~jnz1568/getInfo.php?workbook=16_08.xlsx&amp;sheet=U0&amp;row=7088&amp;col=6&amp;number=3.4&amp;sourceID=14","3.4")</f>
        <v>3.4</v>
      </c>
      <c r="G7088" s="4" t="str">
        <f>HYPERLINK("http://141.218.60.56/~jnz1568/getInfo.php?workbook=16_08.xlsx&amp;sheet=U0&amp;row=7088&amp;col=7&amp;number=0.00304&amp;sourceID=14","0.00304")</f>
        <v>0.00304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HYPERLINK("http://141.218.60.56/~jnz1568/getInfo.php?workbook=16_08.xlsx&amp;sheet=U0&amp;row=7089&amp;col=6&amp;number=3.5&amp;sourceID=14","3.5")</f>
        <v>3.5</v>
      </c>
      <c r="G7089" s="4" t="str">
        <f>HYPERLINK("http://141.218.60.56/~jnz1568/getInfo.php?workbook=16_08.xlsx&amp;sheet=U0&amp;row=7089&amp;col=7&amp;number=0.00304&amp;sourceID=14","0.00304")</f>
        <v>0.00304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HYPERLINK("http://141.218.60.56/~jnz1568/getInfo.php?workbook=16_08.xlsx&amp;sheet=U0&amp;row=7090&amp;col=6&amp;number=3.6&amp;sourceID=14","3.6")</f>
        <v>3.6</v>
      </c>
      <c r="G7090" s="4" t="str">
        <f>HYPERLINK("http://141.218.60.56/~jnz1568/getInfo.php?workbook=16_08.xlsx&amp;sheet=U0&amp;row=7090&amp;col=7&amp;number=0.00305&amp;sourceID=14","0.00305")</f>
        <v>0.00305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HYPERLINK("http://141.218.60.56/~jnz1568/getInfo.php?workbook=16_08.xlsx&amp;sheet=U0&amp;row=7091&amp;col=6&amp;number=3.7&amp;sourceID=14","3.7")</f>
        <v>3.7</v>
      </c>
      <c r="G7091" s="4" t="str">
        <f>HYPERLINK("http://141.218.60.56/~jnz1568/getInfo.php?workbook=16_08.xlsx&amp;sheet=U0&amp;row=7091&amp;col=7&amp;number=0.00306&amp;sourceID=14","0.00306")</f>
        <v>0.00306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HYPERLINK("http://141.218.60.56/~jnz1568/getInfo.php?workbook=16_08.xlsx&amp;sheet=U0&amp;row=7092&amp;col=6&amp;number=3.8&amp;sourceID=14","3.8")</f>
        <v>3.8</v>
      </c>
      <c r="G7092" s="4" t="str">
        <f>HYPERLINK("http://141.218.60.56/~jnz1568/getInfo.php?workbook=16_08.xlsx&amp;sheet=U0&amp;row=7092&amp;col=7&amp;number=0.00306&amp;sourceID=14","0.00306")</f>
        <v>0.00306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HYPERLINK("http://141.218.60.56/~jnz1568/getInfo.php?workbook=16_08.xlsx&amp;sheet=U0&amp;row=7093&amp;col=6&amp;number=3.9&amp;sourceID=14","3.9")</f>
        <v>3.9</v>
      </c>
      <c r="G7093" s="4" t="str">
        <f>HYPERLINK("http://141.218.60.56/~jnz1568/getInfo.php?workbook=16_08.xlsx&amp;sheet=U0&amp;row=7093&amp;col=7&amp;number=0.00307&amp;sourceID=14","0.00307")</f>
        <v>0.00307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HYPERLINK("http://141.218.60.56/~jnz1568/getInfo.php?workbook=16_08.xlsx&amp;sheet=U0&amp;row=7094&amp;col=6&amp;number=4&amp;sourceID=14","4")</f>
        <v>4</v>
      </c>
      <c r="G7094" s="4" t="str">
        <f>HYPERLINK("http://141.218.60.56/~jnz1568/getInfo.php?workbook=16_08.xlsx&amp;sheet=U0&amp;row=7094&amp;col=7&amp;number=0.00309&amp;sourceID=14","0.00309")</f>
        <v>0.00309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HYPERLINK("http://141.218.60.56/~jnz1568/getInfo.php?workbook=16_08.xlsx&amp;sheet=U0&amp;row=7095&amp;col=6&amp;number=4.1&amp;sourceID=14","4.1")</f>
        <v>4.1</v>
      </c>
      <c r="G7095" s="4" t="str">
        <f>HYPERLINK("http://141.218.60.56/~jnz1568/getInfo.php?workbook=16_08.xlsx&amp;sheet=U0&amp;row=7095&amp;col=7&amp;number=0.0031&amp;sourceID=14","0.0031")</f>
        <v>0.0031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HYPERLINK("http://141.218.60.56/~jnz1568/getInfo.php?workbook=16_08.xlsx&amp;sheet=U0&amp;row=7096&amp;col=6&amp;number=4.2&amp;sourceID=14","4.2")</f>
        <v>4.2</v>
      </c>
      <c r="G7096" s="4" t="str">
        <f>HYPERLINK("http://141.218.60.56/~jnz1568/getInfo.php?workbook=16_08.xlsx&amp;sheet=U0&amp;row=7096&amp;col=7&amp;number=0.00312&amp;sourceID=14","0.00312")</f>
        <v>0.00312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HYPERLINK("http://141.218.60.56/~jnz1568/getInfo.php?workbook=16_08.xlsx&amp;sheet=U0&amp;row=7097&amp;col=6&amp;number=4.3&amp;sourceID=14","4.3")</f>
        <v>4.3</v>
      </c>
      <c r="G7097" s="4" t="str">
        <f>HYPERLINK("http://141.218.60.56/~jnz1568/getInfo.php?workbook=16_08.xlsx&amp;sheet=U0&amp;row=7097&amp;col=7&amp;number=0.00314&amp;sourceID=14","0.00314")</f>
        <v>0.00314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HYPERLINK("http://141.218.60.56/~jnz1568/getInfo.php?workbook=16_08.xlsx&amp;sheet=U0&amp;row=7098&amp;col=6&amp;number=4.4&amp;sourceID=14","4.4")</f>
        <v>4.4</v>
      </c>
      <c r="G7098" s="4" t="str">
        <f>HYPERLINK("http://141.218.60.56/~jnz1568/getInfo.php?workbook=16_08.xlsx&amp;sheet=U0&amp;row=7098&amp;col=7&amp;number=0.00318&amp;sourceID=14","0.00318")</f>
        <v>0.00318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HYPERLINK("http://141.218.60.56/~jnz1568/getInfo.php?workbook=16_08.xlsx&amp;sheet=U0&amp;row=7099&amp;col=6&amp;number=4.5&amp;sourceID=14","4.5")</f>
        <v>4.5</v>
      </c>
      <c r="G7099" s="4" t="str">
        <f>HYPERLINK("http://141.218.60.56/~jnz1568/getInfo.php?workbook=16_08.xlsx&amp;sheet=U0&amp;row=7099&amp;col=7&amp;number=0.00321&amp;sourceID=14","0.00321")</f>
        <v>0.00321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HYPERLINK("http://141.218.60.56/~jnz1568/getInfo.php?workbook=16_08.xlsx&amp;sheet=U0&amp;row=7100&amp;col=6&amp;number=4.6&amp;sourceID=14","4.6")</f>
        <v>4.6</v>
      </c>
      <c r="G7100" s="4" t="str">
        <f>HYPERLINK("http://141.218.60.56/~jnz1568/getInfo.php?workbook=16_08.xlsx&amp;sheet=U0&amp;row=7100&amp;col=7&amp;number=0.00326&amp;sourceID=14","0.00326")</f>
        <v>0.00326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HYPERLINK("http://141.218.60.56/~jnz1568/getInfo.php?workbook=16_08.xlsx&amp;sheet=U0&amp;row=7101&amp;col=6&amp;number=4.7&amp;sourceID=14","4.7")</f>
        <v>4.7</v>
      </c>
      <c r="G7101" s="4" t="str">
        <f>HYPERLINK("http://141.218.60.56/~jnz1568/getInfo.php?workbook=16_08.xlsx&amp;sheet=U0&amp;row=7101&amp;col=7&amp;number=0.00332&amp;sourceID=14","0.00332")</f>
        <v>0.00332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HYPERLINK("http://141.218.60.56/~jnz1568/getInfo.php?workbook=16_08.xlsx&amp;sheet=U0&amp;row=7102&amp;col=6&amp;number=4.8&amp;sourceID=14","4.8")</f>
        <v>4.8</v>
      </c>
      <c r="G7102" s="4" t="str">
        <f>HYPERLINK("http://141.218.60.56/~jnz1568/getInfo.php?workbook=16_08.xlsx&amp;sheet=U0&amp;row=7102&amp;col=7&amp;number=0.0034&amp;sourceID=14","0.0034")</f>
        <v>0.0034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HYPERLINK("http://141.218.60.56/~jnz1568/getInfo.php?workbook=16_08.xlsx&amp;sheet=U0&amp;row=7103&amp;col=6&amp;number=4.9&amp;sourceID=14","4.9")</f>
        <v>4.9</v>
      </c>
      <c r="G7103" s="4" t="str">
        <f>HYPERLINK("http://141.218.60.56/~jnz1568/getInfo.php?workbook=16_08.xlsx&amp;sheet=U0&amp;row=7103&amp;col=7&amp;number=0.0035&amp;sourceID=14","0.0035")</f>
        <v>0.0035</v>
      </c>
    </row>
    <row r="7104" spans="1:7">
      <c r="A7104" s="3">
        <v>16</v>
      </c>
      <c r="B7104" s="3">
        <v>8</v>
      </c>
      <c r="C7104" s="3">
        <v>5</v>
      </c>
      <c r="D7104" s="3">
        <v>27</v>
      </c>
      <c r="E7104" s="3">
        <v>1</v>
      </c>
      <c r="F7104" s="4" t="str">
        <f>HYPERLINK("http://141.218.60.56/~jnz1568/getInfo.php?workbook=16_08.xlsx&amp;sheet=U0&amp;row=7104&amp;col=6&amp;number=3&amp;sourceID=14","3")</f>
        <v>3</v>
      </c>
      <c r="G7104" s="4" t="str">
        <f>HYPERLINK("http://141.218.60.56/~jnz1568/getInfo.php?workbook=16_08.xlsx&amp;sheet=U0&amp;row=7104&amp;col=7&amp;number=0.000259&amp;sourceID=14","0.000259")</f>
        <v>0.000259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HYPERLINK("http://141.218.60.56/~jnz1568/getInfo.php?workbook=16_08.xlsx&amp;sheet=U0&amp;row=7105&amp;col=6&amp;number=3.1&amp;sourceID=14","3.1")</f>
        <v>3.1</v>
      </c>
      <c r="G7105" s="4" t="str">
        <f>HYPERLINK("http://141.218.60.56/~jnz1568/getInfo.php?workbook=16_08.xlsx&amp;sheet=U0&amp;row=7105&amp;col=7&amp;number=0.000259&amp;sourceID=14","0.000259")</f>
        <v>0.000259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HYPERLINK("http://141.218.60.56/~jnz1568/getInfo.php?workbook=16_08.xlsx&amp;sheet=U0&amp;row=7106&amp;col=6&amp;number=3.2&amp;sourceID=14","3.2")</f>
        <v>3.2</v>
      </c>
      <c r="G7106" s="4" t="str">
        <f>HYPERLINK("http://141.218.60.56/~jnz1568/getInfo.php?workbook=16_08.xlsx&amp;sheet=U0&amp;row=7106&amp;col=7&amp;number=0.000259&amp;sourceID=14","0.000259")</f>
        <v>0.000259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HYPERLINK("http://141.218.60.56/~jnz1568/getInfo.php?workbook=16_08.xlsx&amp;sheet=U0&amp;row=7107&amp;col=6&amp;number=3.3&amp;sourceID=14","3.3")</f>
        <v>3.3</v>
      </c>
      <c r="G7107" s="4" t="str">
        <f>HYPERLINK("http://141.218.60.56/~jnz1568/getInfo.php?workbook=16_08.xlsx&amp;sheet=U0&amp;row=7107&amp;col=7&amp;number=0.000259&amp;sourceID=14","0.000259")</f>
        <v>0.000259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HYPERLINK("http://141.218.60.56/~jnz1568/getInfo.php?workbook=16_08.xlsx&amp;sheet=U0&amp;row=7108&amp;col=6&amp;number=3.4&amp;sourceID=14","3.4")</f>
        <v>3.4</v>
      </c>
      <c r="G7108" s="4" t="str">
        <f>HYPERLINK("http://141.218.60.56/~jnz1568/getInfo.php?workbook=16_08.xlsx&amp;sheet=U0&amp;row=7108&amp;col=7&amp;number=0.000259&amp;sourceID=14","0.000259")</f>
        <v>0.000259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HYPERLINK("http://141.218.60.56/~jnz1568/getInfo.php?workbook=16_08.xlsx&amp;sheet=U0&amp;row=7109&amp;col=6&amp;number=3.5&amp;sourceID=14","3.5")</f>
        <v>3.5</v>
      </c>
      <c r="G7109" s="4" t="str">
        <f>HYPERLINK("http://141.218.60.56/~jnz1568/getInfo.php?workbook=16_08.xlsx&amp;sheet=U0&amp;row=7109&amp;col=7&amp;number=0.000259&amp;sourceID=14","0.000259")</f>
        <v>0.000259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HYPERLINK("http://141.218.60.56/~jnz1568/getInfo.php?workbook=16_08.xlsx&amp;sheet=U0&amp;row=7110&amp;col=6&amp;number=3.6&amp;sourceID=14","3.6")</f>
        <v>3.6</v>
      </c>
      <c r="G7110" s="4" t="str">
        <f>HYPERLINK("http://141.218.60.56/~jnz1568/getInfo.php?workbook=16_08.xlsx&amp;sheet=U0&amp;row=7110&amp;col=7&amp;number=0.000259&amp;sourceID=14","0.000259")</f>
        <v>0.000259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HYPERLINK("http://141.218.60.56/~jnz1568/getInfo.php?workbook=16_08.xlsx&amp;sheet=U0&amp;row=7111&amp;col=6&amp;number=3.7&amp;sourceID=14","3.7")</f>
        <v>3.7</v>
      </c>
      <c r="G7111" s="4" t="str">
        <f>HYPERLINK("http://141.218.60.56/~jnz1568/getInfo.php?workbook=16_08.xlsx&amp;sheet=U0&amp;row=7111&amp;col=7&amp;number=0.000259&amp;sourceID=14","0.000259")</f>
        <v>0.000259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HYPERLINK("http://141.218.60.56/~jnz1568/getInfo.php?workbook=16_08.xlsx&amp;sheet=U0&amp;row=7112&amp;col=6&amp;number=3.8&amp;sourceID=14","3.8")</f>
        <v>3.8</v>
      </c>
      <c r="G7112" s="4" t="str">
        <f>HYPERLINK("http://141.218.60.56/~jnz1568/getInfo.php?workbook=16_08.xlsx&amp;sheet=U0&amp;row=7112&amp;col=7&amp;number=0.000259&amp;sourceID=14","0.000259")</f>
        <v>0.000259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HYPERLINK("http://141.218.60.56/~jnz1568/getInfo.php?workbook=16_08.xlsx&amp;sheet=U0&amp;row=7113&amp;col=6&amp;number=3.9&amp;sourceID=14","3.9")</f>
        <v>3.9</v>
      </c>
      <c r="G7113" s="4" t="str">
        <f>HYPERLINK("http://141.218.60.56/~jnz1568/getInfo.php?workbook=16_08.xlsx&amp;sheet=U0&amp;row=7113&amp;col=7&amp;number=0.000259&amp;sourceID=14","0.000259")</f>
        <v>0.000259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HYPERLINK("http://141.218.60.56/~jnz1568/getInfo.php?workbook=16_08.xlsx&amp;sheet=U0&amp;row=7114&amp;col=6&amp;number=4&amp;sourceID=14","4")</f>
        <v>4</v>
      </c>
      <c r="G7114" s="4" t="str">
        <f>HYPERLINK("http://141.218.60.56/~jnz1568/getInfo.php?workbook=16_08.xlsx&amp;sheet=U0&amp;row=7114&amp;col=7&amp;number=0.000259&amp;sourceID=14","0.000259")</f>
        <v>0.000259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HYPERLINK("http://141.218.60.56/~jnz1568/getInfo.php?workbook=16_08.xlsx&amp;sheet=U0&amp;row=7115&amp;col=6&amp;number=4.1&amp;sourceID=14","4.1")</f>
        <v>4.1</v>
      </c>
      <c r="G7115" s="4" t="str">
        <f>HYPERLINK("http://141.218.60.56/~jnz1568/getInfo.php?workbook=16_08.xlsx&amp;sheet=U0&amp;row=7115&amp;col=7&amp;number=0.000258&amp;sourceID=14","0.000258")</f>
        <v>0.000258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HYPERLINK("http://141.218.60.56/~jnz1568/getInfo.php?workbook=16_08.xlsx&amp;sheet=U0&amp;row=7116&amp;col=6&amp;number=4.2&amp;sourceID=14","4.2")</f>
        <v>4.2</v>
      </c>
      <c r="G7116" s="4" t="str">
        <f>HYPERLINK("http://141.218.60.56/~jnz1568/getInfo.php?workbook=16_08.xlsx&amp;sheet=U0&amp;row=7116&amp;col=7&amp;number=0.000258&amp;sourceID=14","0.000258")</f>
        <v>0.000258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HYPERLINK("http://141.218.60.56/~jnz1568/getInfo.php?workbook=16_08.xlsx&amp;sheet=U0&amp;row=7117&amp;col=6&amp;number=4.3&amp;sourceID=14","4.3")</f>
        <v>4.3</v>
      </c>
      <c r="G7117" s="4" t="str">
        <f>HYPERLINK("http://141.218.60.56/~jnz1568/getInfo.php?workbook=16_08.xlsx&amp;sheet=U0&amp;row=7117&amp;col=7&amp;number=0.000258&amp;sourceID=14","0.000258")</f>
        <v>0.000258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HYPERLINK("http://141.218.60.56/~jnz1568/getInfo.php?workbook=16_08.xlsx&amp;sheet=U0&amp;row=7118&amp;col=6&amp;number=4.4&amp;sourceID=14","4.4")</f>
        <v>4.4</v>
      </c>
      <c r="G7118" s="4" t="str">
        <f>HYPERLINK("http://141.218.60.56/~jnz1568/getInfo.php?workbook=16_08.xlsx&amp;sheet=U0&amp;row=7118&amp;col=7&amp;number=0.000257&amp;sourceID=14","0.000257")</f>
        <v>0.000257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HYPERLINK("http://141.218.60.56/~jnz1568/getInfo.php?workbook=16_08.xlsx&amp;sheet=U0&amp;row=7119&amp;col=6&amp;number=4.5&amp;sourceID=14","4.5")</f>
        <v>4.5</v>
      </c>
      <c r="G7119" s="4" t="str">
        <f>HYPERLINK("http://141.218.60.56/~jnz1568/getInfo.php?workbook=16_08.xlsx&amp;sheet=U0&amp;row=7119&amp;col=7&amp;number=0.000257&amp;sourceID=14","0.000257")</f>
        <v>0.000257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HYPERLINK("http://141.218.60.56/~jnz1568/getInfo.php?workbook=16_08.xlsx&amp;sheet=U0&amp;row=7120&amp;col=6&amp;number=4.6&amp;sourceID=14","4.6")</f>
        <v>4.6</v>
      </c>
      <c r="G7120" s="4" t="str">
        <f>HYPERLINK("http://141.218.60.56/~jnz1568/getInfo.php?workbook=16_08.xlsx&amp;sheet=U0&amp;row=7120&amp;col=7&amp;number=0.000256&amp;sourceID=14","0.000256")</f>
        <v>0.000256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HYPERLINK("http://141.218.60.56/~jnz1568/getInfo.php?workbook=16_08.xlsx&amp;sheet=U0&amp;row=7121&amp;col=6&amp;number=4.7&amp;sourceID=14","4.7")</f>
        <v>4.7</v>
      </c>
      <c r="G7121" s="4" t="str">
        <f>HYPERLINK("http://141.218.60.56/~jnz1568/getInfo.php?workbook=16_08.xlsx&amp;sheet=U0&amp;row=7121&amp;col=7&amp;number=0.000255&amp;sourceID=14","0.000255")</f>
        <v>0.000255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HYPERLINK("http://141.218.60.56/~jnz1568/getInfo.php?workbook=16_08.xlsx&amp;sheet=U0&amp;row=7122&amp;col=6&amp;number=4.8&amp;sourceID=14","4.8")</f>
        <v>4.8</v>
      </c>
      <c r="G7122" s="4" t="str">
        <f>HYPERLINK("http://141.218.60.56/~jnz1568/getInfo.php?workbook=16_08.xlsx&amp;sheet=U0&amp;row=7122&amp;col=7&amp;number=0.000254&amp;sourceID=14","0.000254")</f>
        <v>0.000254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HYPERLINK("http://141.218.60.56/~jnz1568/getInfo.php?workbook=16_08.xlsx&amp;sheet=U0&amp;row=7123&amp;col=6&amp;number=4.9&amp;sourceID=14","4.9")</f>
        <v>4.9</v>
      </c>
      <c r="G7123" s="4" t="str">
        <f>HYPERLINK("http://141.218.60.56/~jnz1568/getInfo.php?workbook=16_08.xlsx&amp;sheet=U0&amp;row=7123&amp;col=7&amp;number=0.000252&amp;sourceID=14","0.000252")</f>
        <v>0.000252</v>
      </c>
    </row>
    <row r="7124" spans="1:7">
      <c r="A7124" s="3">
        <v>16</v>
      </c>
      <c r="B7124" s="3">
        <v>8</v>
      </c>
      <c r="C7124" s="3">
        <v>5</v>
      </c>
      <c r="D7124" s="3">
        <v>28</v>
      </c>
      <c r="E7124" s="3">
        <v>1</v>
      </c>
      <c r="F7124" s="4" t="str">
        <f>HYPERLINK("http://141.218.60.56/~jnz1568/getInfo.php?workbook=16_08.xlsx&amp;sheet=U0&amp;row=7124&amp;col=6&amp;number=3&amp;sourceID=14","3")</f>
        <v>3</v>
      </c>
      <c r="G7124" s="4" t="str">
        <f>HYPERLINK("http://141.218.60.56/~jnz1568/getInfo.php?workbook=16_08.xlsx&amp;sheet=U0&amp;row=7124&amp;col=7&amp;number=0.000219&amp;sourceID=14","0.000219")</f>
        <v>0.000219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HYPERLINK("http://141.218.60.56/~jnz1568/getInfo.php?workbook=16_08.xlsx&amp;sheet=U0&amp;row=7125&amp;col=6&amp;number=3.1&amp;sourceID=14","3.1")</f>
        <v>3.1</v>
      </c>
      <c r="G7125" s="4" t="str">
        <f>HYPERLINK("http://141.218.60.56/~jnz1568/getInfo.php?workbook=16_08.xlsx&amp;sheet=U0&amp;row=7125&amp;col=7&amp;number=0.000219&amp;sourceID=14","0.000219")</f>
        <v>0.000219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HYPERLINK("http://141.218.60.56/~jnz1568/getInfo.php?workbook=16_08.xlsx&amp;sheet=U0&amp;row=7126&amp;col=6&amp;number=3.2&amp;sourceID=14","3.2")</f>
        <v>3.2</v>
      </c>
      <c r="G7126" s="4" t="str">
        <f>HYPERLINK("http://141.218.60.56/~jnz1568/getInfo.php?workbook=16_08.xlsx&amp;sheet=U0&amp;row=7126&amp;col=7&amp;number=0.000219&amp;sourceID=14","0.000219")</f>
        <v>0.000219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HYPERLINK("http://141.218.60.56/~jnz1568/getInfo.php?workbook=16_08.xlsx&amp;sheet=U0&amp;row=7127&amp;col=6&amp;number=3.3&amp;sourceID=14","3.3")</f>
        <v>3.3</v>
      </c>
      <c r="G7127" s="4" t="str">
        <f>HYPERLINK("http://141.218.60.56/~jnz1568/getInfo.php?workbook=16_08.xlsx&amp;sheet=U0&amp;row=7127&amp;col=7&amp;number=0.000219&amp;sourceID=14","0.000219")</f>
        <v>0.000219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HYPERLINK("http://141.218.60.56/~jnz1568/getInfo.php?workbook=16_08.xlsx&amp;sheet=U0&amp;row=7128&amp;col=6&amp;number=3.4&amp;sourceID=14","3.4")</f>
        <v>3.4</v>
      </c>
      <c r="G7128" s="4" t="str">
        <f>HYPERLINK("http://141.218.60.56/~jnz1568/getInfo.php?workbook=16_08.xlsx&amp;sheet=U0&amp;row=7128&amp;col=7&amp;number=0.000219&amp;sourceID=14","0.000219")</f>
        <v>0.000219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HYPERLINK("http://141.218.60.56/~jnz1568/getInfo.php?workbook=16_08.xlsx&amp;sheet=U0&amp;row=7129&amp;col=6&amp;number=3.5&amp;sourceID=14","3.5")</f>
        <v>3.5</v>
      </c>
      <c r="G7129" s="4" t="str">
        <f>HYPERLINK("http://141.218.60.56/~jnz1568/getInfo.php?workbook=16_08.xlsx&amp;sheet=U0&amp;row=7129&amp;col=7&amp;number=0.000219&amp;sourceID=14","0.000219")</f>
        <v>0.000219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HYPERLINK("http://141.218.60.56/~jnz1568/getInfo.php?workbook=16_08.xlsx&amp;sheet=U0&amp;row=7130&amp;col=6&amp;number=3.6&amp;sourceID=14","3.6")</f>
        <v>3.6</v>
      </c>
      <c r="G7130" s="4" t="str">
        <f>HYPERLINK("http://141.218.60.56/~jnz1568/getInfo.php?workbook=16_08.xlsx&amp;sheet=U0&amp;row=7130&amp;col=7&amp;number=0.000218&amp;sourceID=14","0.000218")</f>
        <v>0.000218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HYPERLINK("http://141.218.60.56/~jnz1568/getInfo.php?workbook=16_08.xlsx&amp;sheet=U0&amp;row=7131&amp;col=6&amp;number=3.7&amp;sourceID=14","3.7")</f>
        <v>3.7</v>
      </c>
      <c r="G7131" s="4" t="str">
        <f>HYPERLINK("http://141.218.60.56/~jnz1568/getInfo.php?workbook=16_08.xlsx&amp;sheet=U0&amp;row=7131&amp;col=7&amp;number=0.000218&amp;sourceID=14","0.000218")</f>
        <v>0.000218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HYPERLINK("http://141.218.60.56/~jnz1568/getInfo.php?workbook=16_08.xlsx&amp;sheet=U0&amp;row=7132&amp;col=6&amp;number=3.8&amp;sourceID=14","3.8")</f>
        <v>3.8</v>
      </c>
      <c r="G7132" s="4" t="str">
        <f>HYPERLINK("http://141.218.60.56/~jnz1568/getInfo.php?workbook=16_08.xlsx&amp;sheet=U0&amp;row=7132&amp;col=7&amp;number=0.000218&amp;sourceID=14","0.000218")</f>
        <v>0.000218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HYPERLINK("http://141.218.60.56/~jnz1568/getInfo.php?workbook=16_08.xlsx&amp;sheet=U0&amp;row=7133&amp;col=6&amp;number=3.9&amp;sourceID=14","3.9")</f>
        <v>3.9</v>
      </c>
      <c r="G7133" s="4" t="str">
        <f>HYPERLINK("http://141.218.60.56/~jnz1568/getInfo.php?workbook=16_08.xlsx&amp;sheet=U0&amp;row=7133&amp;col=7&amp;number=0.000218&amp;sourceID=14","0.000218")</f>
        <v>0.000218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HYPERLINK("http://141.218.60.56/~jnz1568/getInfo.php?workbook=16_08.xlsx&amp;sheet=U0&amp;row=7134&amp;col=6&amp;number=4&amp;sourceID=14","4")</f>
        <v>4</v>
      </c>
      <c r="G7134" s="4" t="str">
        <f>HYPERLINK("http://141.218.60.56/~jnz1568/getInfo.php?workbook=16_08.xlsx&amp;sheet=U0&amp;row=7134&amp;col=7&amp;number=0.000218&amp;sourceID=14","0.000218")</f>
        <v>0.000218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HYPERLINK("http://141.218.60.56/~jnz1568/getInfo.php?workbook=16_08.xlsx&amp;sheet=U0&amp;row=7135&amp;col=6&amp;number=4.1&amp;sourceID=14","4.1")</f>
        <v>4.1</v>
      </c>
      <c r="G7135" s="4" t="str">
        <f>HYPERLINK("http://141.218.60.56/~jnz1568/getInfo.php?workbook=16_08.xlsx&amp;sheet=U0&amp;row=7135&amp;col=7&amp;number=0.000218&amp;sourceID=14","0.000218")</f>
        <v>0.000218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HYPERLINK("http://141.218.60.56/~jnz1568/getInfo.php?workbook=16_08.xlsx&amp;sheet=U0&amp;row=7136&amp;col=6&amp;number=4.2&amp;sourceID=14","4.2")</f>
        <v>4.2</v>
      </c>
      <c r="G7136" s="4" t="str">
        <f>HYPERLINK("http://141.218.60.56/~jnz1568/getInfo.php?workbook=16_08.xlsx&amp;sheet=U0&amp;row=7136&amp;col=7&amp;number=0.000217&amp;sourceID=14","0.000217")</f>
        <v>0.000217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HYPERLINK("http://141.218.60.56/~jnz1568/getInfo.php?workbook=16_08.xlsx&amp;sheet=U0&amp;row=7137&amp;col=6&amp;number=4.3&amp;sourceID=14","4.3")</f>
        <v>4.3</v>
      </c>
      <c r="G7137" s="4" t="str">
        <f>HYPERLINK("http://141.218.60.56/~jnz1568/getInfo.php?workbook=16_08.xlsx&amp;sheet=U0&amp;row=7137&amp;col=7&amp;number=0.000217&amp;sourceID=14","0.000217")</f>
        <v>0.000217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HYPERLINK("http://141.218.60.56/~jnz1568/getInfo.php?workbook=16_08.xlsx&amp;sheet=U0&amp;row=7138&amp;col=6&amp;number=4.4&amp;sourceID=14","4.4")</f>
        <v>4.4</v>
      </c>
      <c r="G7138" s="4" t="str">
        <f>HYPERLINK("http://141.218.60.56/~jnz1568/getInfo.php?workbook=16_08.xlsx&amp;sheet=U0&amp;row=7138&amp;col=7&amp;number=0.000217&amp;sourceID=14","0.000217")</f>
        <v>0.000217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HYPERLINK("http://141.218.60.56/~jnz1568/getInfo.php?workbook=16_08.xlsx&amp;sheet=U0&amp;row=7139&amp;col=6&amp;number=4.5&amp;sourceID=14","4.5")</f>
        <v>4.5</v>
      </c>
      <c r="G7139" s="4" t="str">
        <f>HYPERLINK("http://141.218.60.56/~jnz1568/getInfo.php?workbook=16_08.xlsx&amp;sheet=U0&amp;row=7139&amp;col=7&amp;number=0.000216&amp;sourceID=14","0.000216")</f>
        <v>0.000216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HYPERLINK("http://141.218.60.56/~jnz1568/getInfo.php?workbook=16_08.xlsx&amp;sheet=U0&amp;row=7140&amp;col=6&amp;number=4.6&amp;sourceID=14","4.6")</f>
        <v>4.6</v>
      </c>
      <c r="G7140" s="4" t="str">
        <f>HYPERLINK("http://141.218.60.56/~jnz1568/getInfo.php?workbook=16_08.xlsx&amp;sheet=U0&amp;row=7140&amp;col=7&amp;number=0.000215&amp;sourceID=14","0.000215")</f>
        <v>0.000215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HYPERLINK("http://141.218.60.56/~jnz1568/getInfo.php?workbook=16_08.xlsx&amp;sheet=U0&amp;row=7141&amp;col=6&amp;number=4.7&amp;sourceID=14","4.7")</f>
        <v>4.7</v>
      </c>
      <c r="G7141" s="4" t="str">
        <f>HYPERLINK("http://141.218.60.56/~jnz1568/getInfo.php?workbook=16_08.xlsx&amp;sheet=U0&amp;row=7141&amp;col=7&amp;number=0.000214&amp;sourceID=14","0.000214")</f>
        <v>0.000214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HYPERLINK("http://141.218.60.56/~jnz1568/getInfo.php?workbook=16_08.xlsx&amp;sheet=U0&amp;row=7142&amp;col=6&amp;number=4.8&amp;sourceID=14","4.8")</f>
        <v>4.8</v>
      </c>
      <c r="G7142" s="4" t="str">
        <f>HYPERLINK("http://141.218.60.56/~jnz1568/getInfo.php?workbook=16_08.xlsx&amp;sheet=U0&amp;row=7142&amp;col=7&amp;number=0.000213&amp;sourceID=14","0.000213")</f>
        <v>0.000213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HYPERLINK("http://141.218.60.56/~jnz1568/getInfo.php?workbook=16_08.xlsx&amp;sheet=U0&amp;row=7143&amp;col=6&amp;number=4.9&amp;sourceID=14","4.9")</f>
        <v>4.9</v>
      </c>
      <c r="G7143" s="4" t="str">
        <f>HYPERLINK("http://141.218.60.56/~jnz1568/getInfo.php?workbook=16_08.xlsx&amp;sheet=U0&amp;row=7143&amp;col=7&amp;number=0.000212&amp;sourceID=14","0.000212")</f>
        <v>0.000212</v>
      </c>
    </row>
    <row r="7144" spans="1:7">
      <c r="A7144" s="3">
        <v>16</v>
      </c>
      <c r="B7144" s="3">
        <v>8</v>
      </c>
      <c r="C7144" s="3">
        <v>5</v>
      </c>
      <c r="D7144" s="3">
        <v>29</v>
      </c>
      <c r="E7144" s="3">
        <v>1</v>
      </c>
      <c r="F7144" s="4" t="str">
        <f>HYPERLINK("http://141.218.60.56/~jnz1568/getInfo.php?workbook=16_08.xlsx&amp;sheet=U0&amp;row=7144&amp;col=6&amp;number=3&amp;sourceID=14","3")</f>
        <v>3</v>
      </c>
      <c r="G7144" s="4" t="str">
        <f>HYPERLINK("http://141.218.60.56/~jnz1568/getInfo.php?workbook=16_08.xlsx&amp;sheet=U0&amp;row=7144&amp;col=7&amp;number=0.000251&amp;sourceID=14","0.000251")</f>
        <v>0.000251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HYPERLINK("http://141.218.60.56/~jnz1568/getInfo.php?workbook=16_08.xlsx&amp;sheet=U0&amp;row=7145&amp;col=6&amp;number=3.1&amp;sourceID=14","3.1")</f>
        <v>3.1</v>
      </c>
      <c r="G7145" s="4" t="str">
        <f>HYPERLINK("http://141.218.60.56/~jnz1568/getInfo.php?workbook=16_08.xlsx&amp;sheet=U0&amp;row=7145&amp;col=7&amp;number=0.000251&amp;sourceID=14","0.000251")</f>
        <v>0.000251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HYPERLINK("http://141.218.60.56/~jnz1568/getInfo.php?workbook=16_08.xlsx&amp;sheet=U0&amp;row=7146&amp;col=6&amp;number=3.2&amp;sourceID=14","3.2")</f>
        <v>3.2</v>
      </c>
      <c r="G7146" s="4" t="str">
        <f>HYPERLINK("http://141.218.60.56/~jnz1568/getInfo.php?workbook=16_08.xlsx&amp;sheet=U0&amp;row=7146&amp;col=7&amp;number=0.000251&amp;sourceID=14","0.000251")</f>
        <v>0.000251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HYPERLINK("http://141.218.60.56/~jnz1568/getInfo.php?workbook=16_08.xlsx&amp;sheet=U0&amp;row=7147&amp;col=6&amp;number=3.3&amp;sourceID=14","3.3")</f>
        <v>3.3</v>
      </c>
      <c r="G7147" s="4" t="str">
        <f>HYPERLINK("http://141.218.60.56/~jnz1568/getInfo.php?workbook=16_08.xlsx&amp;sheet=U0&amp;row=7147&amp;col=7&amp;number=0.000251&amp;sourceID=14","0.000251")</f>
        <v>0.000251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HYPERLINK("http://141.218.60.56/~jnz1568/getInfo.php?workbook=16_08.xlsx&amp;sheet=U0&amp;row=7148&amp;col=6&amp;number=3.4&amp;sourceID=14","3.4")</f>
        <v>3.4</v>
      </c>
      <c r="G7148" s="4" t="str">
        <f>HYPERLINK("http://141.218.60.56/~jnz1568/getInfo.php?workbook=16_08.xlsx&amp;sheet=U0&amp;row=7148&amp;col=7&amp;number=0.000251&amp;sourceID=14","0.000251")</f>
        <v>0.000251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HYPERLINK("http://141.218.60.56/~jnz1568/getInfo.php?workbook=16_08.xlsx&amp;sheet=U0&amp;row=7149&amp;col=6&amp;number=3.5&amp;sourceID=14","3.5")</f>
        <v>3.5</v>
      </c>
      <c r="G7149" s="4" t="str">
        <f>HYPERLINK("http://141.218.60.56/~jnz1568/getInfo.php?workbook=16_08.xlsx&amp;sheet=U0&amp;row=7149&amp;col=7&amp;number=0.000251&amp;sourceID=14","0.000251")</f>
        <v>0.000251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HYPERLINK("http://141.218.60.56/~jnz1568/getInfo.php?workbook=16_08.xlsx&amp;sheet=U0&amp;row=7150&amp;col=6&amp;number=3.6&amp;sourceID=14","3.6")</f>
        <v>3.6</v>
      </c>
      <c r="G7150" s="4" t="str">
        <f>HYPERLINK("http://141.218.60.56/~jnz1568/getInfo.php?workbook=16_08.xlsx&amp;sheet=U0&amp;row=7150&amp;col=7&amp;number=0.000251&amp;sourceID=14","0.000251")</f>
        <v>0.000251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HYPERLINK("http://141.218.60.56/~jnz1568/getInfo.php?workbook=16_08.xlsx&amp;sheet=U0&amp;row=7151&amp;col=6&amp;number=3.7&amp;sourceID=14","3.7")</f>
        <v>3.7</v>
      </c>
      <c r="G7151" s="4" t="str">
        <f>HYPERLINK("http://141.218.60.56/~jnz1568/getInfo.php?workbook=16_08.xlsx&amp;sheet=U0&amp;row=7151&amp;col=7&amp;number=0.000251&amp;sourceID=14","0.000251")</f>
        <v>0.000251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HYPERLINK("http://141.218.60.56/~jnz1568/getInfo.php?workbook=16_08.xlsx&amp;sheet=U0&amp;row=7152&amp;col=6&amp;number=3.8&amp;sourceID=14","3.8")</f>
        <v>3.8</v>
      </c>
      <c r="G7152" s="4" t="str">
        <f>HYPERLINK("http://141.218.60.56/~jnz1568/getInfo.php?workbook=16_08.xlsx&amp;sheet=U0&amp;row=7152&amp;col=7&amp;number=0.000251&amp;sourceID=14","0.000251")</f>
        <v>0.000251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HYPERLINK("http://141.218.60.56/~jnz1568/getInfo.php?workbook=16_08.xlsx&amp;sheet=U0&amp;row=7153&amp;col=6&amp;number=3.9&amp;sourceID=14","3.9")</f>
        <v>3.9</v>
      </c>
      <c r="G7153" s="4" t="str">
        <f>HYPERLINK("http://141.218.60.56/~jnz1568/getInfo.php?workbook=16_08.xlsx&amp;sheet=U0&amp;row=7153&amp;col=7&amp;number=0.000251&amp;sourceID=14","0.000251")</f>
        <v>0.000251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HYPERLINK("http://141.218.60.56/~jnz1568/getInfo.php?workbook=16_08.xlsx&amp;sheet=U0&amp;row=7154&amp;col=6&amp;number=4&amp;sourceID=14","4")</f>
        <v>4</v>
      </c>
      <c r="G7154" s="4" t="str">
        <f>HYPERLINK("http://141.218.60.56/~jnz1568/getInfo.php?workbook=16_08.xlsx&amp;sheet=U0&amp;row=7154&amp;col=7&amp;number=0.00025&amp;sourceID=14","0.00025")</f>
        <v>0.00025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HYPERLINK("http://141.218.60.56/~jnz1568/getInfo.php?workbook=16_08.xlsx&amp;sheet=U0&amp;row=7155&amp;col=6&amp;number=4.1&amp;sourceID=14","4.1")</f>
        <v>4.1</v>
      </c>
      <c r="G7155" s="4" t="str">
        <f>HYPERLINK("http://141.218.60.56/~jnz1568/getInfo.php?workbook=16_08.xlsx&amp;sheet=U0&amp;row=7155&amp;col=7&amp;number=0.00025&amp;sourceID=14","0.00025")</f>
        <v>0.00025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HYPERLINK("http://141.218.60.56/~jnz1568/getInfo.php?workbook=16_08.xlsx&amp;sheet=U0&amp;row=7156&amp;col=6&amp;number=4.2&amp;sourceID=14","4.2")</f>
        <v>4.2</v>
      </c>
      <c r="G7156" s="4" t="str">
        <f>HYPERLINK("http://141.218.60.56/~jnz1568/getInfo.php?workbook=16_08.xlsx&amp;sheet=U0&amp;row=7156&amp;col=7&amp;number=0.00025&amp;sourceID=14","0.00025")</f>
        <v>0.00025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HYPERLINK("http://141.218.60.56/~jnz1568/getInfo.php?workbook=16_08.xlsx&amp;sheet=U0&amp;row=7157&amp;col=6&amp;number=4.3&amp;sourceID=14","4.3")</f>
        <v>4.3</v>
      </c>
      <c r="G7157" s="4" t="str">
        <f>HYPERLINK("http://141.218.60.56/~jnz1568/getInfo.php?workbook=16_08.xlsx&amp;sheet=U0&amp;row=7157&amp;col=7&amp;number=0.000249&amp;sourceID=14","0.000249")</f>
        <v>0.000249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HYPERLINK("http://141.218.60.56/~jnz1568/getInfo.php?workbook=16_08.xlsx&amp;sheet=U0&amp;row=7158&amp;col=6&amp;number=4.4&amp;sourceID=14","4.4")</f>
        <v>4.4</v>
      </c>
      <c r="G7158" s="4" t="str">
        <f>HYPERLINK("http://141.218.60.56/~jnz1568/getInfo.php?workbook=16_08.xlsx&amp;sheet=U0&amp;row=7158&amp;col=7&amp;number=0.000249&amp;sourceID=14","0.000249")</f>
        <v>0.000249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HYPERLINK("http://141.218.60.56/~jnz1568/getInfo.php?workbook=16_08.xlsx&amp;sheet=U0&amp;row=7159&amp;col=6&amp;number=4.5&amp;sourceID=14","4.5")</f>
        <v>4.5</v>
      </c>
      <c r="G7159" s="4" t="str">
        <f>HYPERLINK("http://141.218.60.56/~jnz1568/getInfo.php?workbook=16_08.xlsx&amp;sheet=U0&amp;row=7159&amp;col=7&amp;number=0.000248&amp;sourceID=14","0.000248")</f>
        <v>0.000248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HYPERLINK("http://141.218.60.56/~jnz1568/getInfo.php?workbook=16_08.xlsx&amp;sheet=U0&amp;row=7160&amp;col=6&amp;number=4.6&amp;sourceID=14","4.6")</f>
        <v>4.6</v>
      </c>
      <c r="G7160" s="4" t="str">
        <f>HYPERLINK("http://141.218.60.56/~jnz1568/getInfo.php?workbook=16_08.xlsx&amp;sheet=U0&amp;row=7160&amp;col=7&amp;number=0.000247&amp;sourceID=14","0.000247")</f>
        <v>0.000247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HYPERLINK("http://141.218.60.56/~jnz1568/getInfo.php?workbook=16_08.xlsx&amp;sheet=U0&amp;row=7161&amp;col=6&amp;number=4.7&amp;sourceID=14","4.7")</f>
        <v>4.7</v>
      </c>
      <c r="G7161" s="4" t="str">
        <f>HYPERLINK("http://141.218.60.56/~jnz1568/getInfo.php?workbook=16_08.xlsx&amp;sheet=U0&amp;row=7161&amp;col=7&amp;number=0.000246&amp;sourceID=14","0.000246")</f>
        <v>0.000246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HYPERLINK("http://141.218.60.56/~jnz1568/getInfo.php?workbook=16_08.xlsx&amp;sheet=U0&amp;row=7162&amp;col=6&amp;number=4.8&amp;sourceID=14","4.8")</f>
        <v>4.8</v>
      </c>
      <c r="G7162" s="4" t="str">
        <f>HYPERLINK("http://141.218.60.56/~jnz1568/getInfo.php?workbook=16_08.xlsx&amp;sheet=U0&amp;row=7162&amp;col=7&amp;number=0.000245&amp;sourceID=14","0.000245")</f>
        <v>0.000245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HYPERLINK("http://141.218.60.56/~jnz1568/getInfo.php?workbook=16_08.xlsx&amp;sheet=U0&amp;row=7163&amp;col=6&amp;number=4.9&amp;sourceID=14","4.9")</f>
        <v>4.9</v>
      </c>
      <c r="G7163" s="4" t="str">
        <f>HYPERLINK("http://141.218.60.56/~jnz1568/getInfo.php?workbook=16_08.xlsx&amp;sheet=U0&amp;row=7163&amp;col=7&amp;number=0.000243&amp;sourceID=14","0.000243")</f>
        <v>0.000243</v>
      </c>
    </row>
    <row r="7164" spans="1:7">
      <c r="A7164" s="3">
        <v>16</v>
      </c>
      <c r="B7164" s="3">
        <v>8</v>
      </c>
      <c r="C7164" s="3">
        <v>5</v>
      </c>
      <c r="D7164" s="3">
        <v>30</v>
      </c>
      <c r="E7164" s="3">
        <v>1</v>
      </c>
      <c r="F7164" s="4" t="str">
        <f>HYPERLINK("http://141.218.60.56/~jnz1568/getInfo.php?workbook=16_08.xlsx&amp;sheet=U0&amp;row=7164&amp;col=6&amp;number=3&amp;sourceID=14","3")</f>
        <v>3</v>
      </c>
      <c r="G7164" s="4" t="str">
        <f>HYPERLINK("http://141.218.60.56/~jnz1568/getInfo.php?workbook=16_08.xlsx&amp;sheet=U0&amp;row=7164&amp;col=7&amp;number=0.00017&amp;sourceID=14","0.00017")</f>
        <v>0.00017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HYPERLINK("http://141.218.60.56/~jnz1568/getInfo.php?workbook=16_08.xlsx&amp;sheet=U0&amp;row=7165&amp;col=6&amp;number=3.1&amp;sourceID=14","3.1")</f>
        <v>3.1</v>
      </c>
      <c r="G7165" s="4" t="str">
        <f>HYPERLINK("http://141.218.60.56/~jnz1568/getInfo.php?workbook=16_08.xlsx&amp;sheet=U0&amp;row=7165&amp;col=7&amp;number=0.00017&amp;sourceID=14","0.00017")</f>
        <v>0.00017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HYPERLINK("http://141.218.60.56/~jnz1568/getInfo.php?workbook=16_08.xlsx&amp;sheet=U0&amp;row=7166&amp;col=6&amp;number=3.2&amp;sourceID=14","3.2")</f>
        <v>3.2</v>
      </c>
      <c r="G7166" s="4" t="str">
        <f>HYPERLINK("http://141.218.60.56/~jnz1568/getInfo.php?workbook=16_08.xlsx&amp;sheet=U0&amp;row=7166&amp;col=7&amp;number=0.00017&amp;sourceID=14","0.00017")</f>
        <v>0.00017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HYPERLINK("http://141.218.60.56/~jnz1568/getInfo.php?workbook=16_08.xlsx&amp;sheet=U0&amp;row=7167&amp;col=6&amp;number=3.3&amp;sourceID=14","3.3")</f>
        <v>3.3</v>
      </c>
      <c r="G7167" s="4" t="str">
        <f>HYPERLINK("http://141.218.60.56/~jnz1568/getInfo.php?workbook=16_08.xlsx&amp;sheet=U0&amp;row=7167&amp;col=7&amp;number=0.00017&amp;sourceID=14","0.00017")</f>
        <v>0.00017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HYPERLINK("http://141.218.60.56/~jnz1568/getInfo.php?workbook=16_08.xlsx&amp;sheet=U0&amp;row=7168&amp;col=6&amp;number=3.4&amp;sourceID=14","3.4")</f>
        <v>3.4</v>
      </c>
      <c r="G7168" s="4" t="str">
        <f>HYPERLINK("http://141.218.60.56/~jnz1568/getInfo.php?workbook=16_08.xlsx&amp;sheet=U0&amp;row=7168&amp;col=7&amp;number=0.00017&amp;sourceID=14","0.00017")</f>
        <v>0.00017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HYPERLINK("http://141.218.60.56/~jnz1568/getInfo.php?workbook=16_08.xlsx&amp;sheet=U0&amp;row=7169&amp;col=6&amp;number=3.5&amp;sourceID=14","3.5")</f>
        <v>3.5</v>
      </c>
      <c r="G7169" s="4" t="str">
        <f>HYPERLINK("http://141.218.60.56/~jnz1568/getInfo.php?workbook=16_08.xlsx&amp;sheet=U0&amp;row=7169&amp;col=7&amp;number=0.00017&amp;sourceID=14","0.00017")</f>
        <v>0.00017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HYPERLINK("http://141.218.60.56/~jnz1568/getInfo.php?workbook=16_08.xlsx&amp;sheet=U0&amp;row=7170&amp;col=6&amp;number=3.6&amp;sourceID=14","3.6")</f>
        <v>3.6</v>
      </c>
      <c r="G7170" s="4" t="str">
        <f>HYPERLINK("http://141.218.60.56/~jnz1568/getInfo.php?workbook=16_08.xlsx&amp;sheet=U0&amp;row=7170&amp;col=7&amp;number=0.00017&amp;sourceID=14","0.00017")</f>
        <v>0.00017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HYPERLINK("http://141.218.60.56/~jnz1568/getInfo.php?workbook=16_08.xlsx&amp;sheet=U0&amp;row=7171&amp;col=6&amp;number=3.7&amp;sourceID=14","3.7")</f>
        <v>3.7</v>
      </c>
      <c r="G7171" s="4" t="str">
        <f>HYPERLINK("http://141.218.60.56/~jnz1568/getInfo.php?workbook=16_08.xlsx&amp;sheet=U0&amp;row=7171&amp;col=7&amp;number=0.00017&amp;sourceID=14","0.00017")</f>
        <v>0.00017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HYPERLINK("http://141.218.60.56/~jnz1568/getInfo.php?workbook=16_08.xlsx&amp;sheet=U0&amp;row=7172&amp;col=6&amp;number=3.8&amp;sourceID=14","3.8")</f>
        <v>3.8</v>
      </c>
      <c r="G7172" s="4" t="str">
        <f>HYPERLINK("http://141.218.60.56/~jnz1568/getInfo.php?workbook=16_08.xlsx&amp;sheet=U0&amp;row=7172&amp;col=7&amp;number=0.00017&amp;sourceID=14","0.00017")</f>
        <v>0.00017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HYPERLINK("http://141.218.60.56/~jnz1568/getInfo.php?workbook=16_08.xlsx&amp;sheet=U0&amp;row=7173&amp;col=6&amp;number=3.9&amp;sourceID=14","3.9")</f>
        <v>3.9</v>
      </c>
      <c r="G7173" s="4" t="str">
        <f>HYPERLINK("http://141.218.60.56/~jnz1568/getInfo.php?workbook=16_08.xlsx&amp;sheet=U0&amp;row=7173&amp;col=7&amp;number=0.00017&amp;sourceID=14","0.00017")</f>
        <v>0.00017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HYPERLINK("http://141.218.60.56/~jnz1568/getInfo.php?workbook=16_08.xlsx&amp;sheet=U0&amp;row=7174&amp;col=6&amp;number=4&amp;sourceID=14","4")</f>
        <v>4</v>
      </c>
      <c r="G7174" s="4" t="str">
        <f>HYPERLINK("http://141.218.60.56/~jnz1568/getInfo.php?workbook=16_08.xlsx&amp;sheet=U0&amp;row=7174&amp;col=7&amp;number=0.00017&amp;sourceID=14","0.00017")</f>
        <v>0.00017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HYPERLINK("http://141.218.60.56/~jnz1568/getInfo.php?workbook=16_08.xlsx&amp;sheet=U0&amp;row=7175&amp;col=6&amp;number=4.1&amp;sourceID=14","4.1")</f>
        <v>4.1</v>
      </c>
      <c r="G7175" s="4" t="str">
        <f>HYPERLINK("http://141.218.60.56/~jnz1568/getInfo.php?workbook=16_08.xlsx&amp;sheet=U0&amp;row=7175&amp;col=7&amp;number=0.00017&amp;sourceID=14","0.00017")</f>
        <v>0.00017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HYPERLINK("http://141.218.60.56/~jnz1568/getInfo.php?workbook=16_08.xlsx&amp;sheet=U0&amp;row=7176&amp;col=6&amp;number=4.2&amp;sourceID=14","4.2")</f>
        <v>4.2</v>
      </c>
      <c r="G7176" s="4" t="str">
        <f>HYPERLINK("http://141.218.60.56/~jnz1568/getInfo.php?workbook=16_08.xlsx&amp;sheet=U0&amp;row=7176&amp;col=7&amp;number=0.00017&amp;sourceID=14","0.00017")</f>
        <v>0.00017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HYPERLINK("http://141.218.60.56/~jnz1568/getInfo.php?workbook=16_08.xlsx&amp;sheet=U0&amp;row=7177&amp;col=6&amp;number=4.3&amp;sourceID=14","4.3")</f>
        <v>4.3</v>
      </c>
      <c r="G7177" s="4" t="str">
        <f>HYPERLINK("http://141.218.60.56/~jnz1568/getInfo.php?workbook=16_08.xlsx&amp;sheet=U0&amp;row=7177&amp;col=7&amp;number=0.00017&amp;sourceID=14","0.00017")</f>
        <v>0.00017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HYPERLINK("http://141.218.60.56/~jnz1568/getInfo.php?workbook=16_08.xlsx&amp;sheet=U0&amp;row=7178&amp;col=6&amp;number=4.4&amp;sourceID=14","4.4")</f>
        <v>4.4</v>
      </c>
      <c r="G7178" s="4" t="str">
        <f>HYPERLINK("http://141.218.60.56/~jnz1568/getInfo.php?workbook=16_08.xlsx&amp;sheet=U0&amp;row=7178&amp;col=7&amp;number=0.00017&amp;sourceID=14","0.00017")</f>
        <v>0.00017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HYPERLINK("http://141.218.60.56/~jnz1568/getInfo.php?workbook=16_08.xlsx&amp;sheet=U0&amp;row=7179&amp;col=6&amp;number=4.5&amp;sourceID=14","4.5")</f>
        <v>4.5</v>
      </c>
      <c r="G7179" s="4" t="str">
        <f>HYPERLINK("http://141.218.60.56/~jnz1568/getInfo.php?workbook=16_08.xlsx&amp;sheet=U0&amp;row=7179&amp;col=7&amp;number=0.000169&amp;sourceID=14","0.000169")</f>
        <v>0.000169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HYPERLINK("http://141.218.60.56/~jnz1568/getInfo.php?workbook=16_08.xlsx&amp;sheet=U0&amp;row=7180&amp;col=6&amp;number=4.6&amp;sourceID=14","4.6")</f>
        <v>4.6</v>
      </c>
      <c r="G7180" s="4" t="str">
        <f>HYPERLINK("http://141.218.60.56/~jnz1568/getInfo.php?workbook=16_08.xlsx&amp;sheet=U0&amp;row=7180&amp;col=7&amp;number=0.000169&amp;sourceID=14","0.000169")</f>
        <v>0.000169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HYPERLINK("http://141.218.60.56/~jnz1568/getInfo.php?workbook=16_08.xlsx&amp;sheet=U0&amp;row=7181&amp;col=6&amp;number=4.7&amp;sourceID=14","4.7")</f>
        <v>4.7</v>
      </c>
      <c r="G7181" s="4" t="str">
        <f>HYPERLINK("http://141.218.60.56/~jnz1568/getInfo.php?workbook=16_08.xlsx&amp;sheet=U0&amp;row=7181&amp;col=7&amp;number=0.000169&amp;sourceID=14","0.000169")</f>
        <v>0.000169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HYPERLINK("http://141.218.60.56/~jnz1568/getInfo.php?workbook=16_08.xlsx&amp;sheet=U0&amp;row=7182&amp;col=6&amp;number=4.8&amp;sourceID=14","4.8")</f>
        <v>4.8</v>
      </c>
      <c r="G7182" s="4" t="str">
        <f>HYPERLINK("http://141.218.60.56/~jnz1568/getInfo.php?workbook=16_08.xlsx&amp;sheet=U0&amp;row=7182&amp;col=7&amp;number=0.000168&amp;sourceID=14","0.000168")</f>
        <v>0.000168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HYPERLINK("http://141.218.60.56/~jnz1568/getInfo.php?workbook=16_08.xlsx&amp;sheet=U0&amp;row=7183&amp;col=6&amp;number=4.9&amp;sourceID=14","4.9")</f>
        <v>4.9</v>
      </c>
      <c r="G7183" s="4" t="str">
        <f>HYPERLINK("http://141.218.60.56/~jnz1568/getInfo.php?workbook=16_08.xlsx&amp;sheet=U0&amp;row=7183&amp;col=7&amp;number=0.000168&amp;sourceID=14","0.000168")</f>
        <v>0.000168</v>
      </c>
    </row>
    <row r="7184" spans="1:7">
      <c r="A7184" s="3">
        <v>16</v>
      </c>
      <c r="B7184" s="3">
        <v>8</v>
      </c>
      <c r="C7184" s="3">
        <v>5</v>
      </c>
      <c r="D7184" s="3">
        <v>31</v>
      </c>
      <c r="E7184" s="3">
        <v>1</v>
      </c>
      <c r="F7184" s="4" t="str">
        <f>HYPERLINK("http://141.218.60.56/~jnz1568/getInfo.php?workbook=16_08.xlsx&amp;sheet=U0&amp;row=7184&amp;col=6&amp;number=3&amp;sourceID=14","3")</f>
        <v>3</v>
      </c>
      <c r="G7184" s="4" t="str">
        <f>HYPERLINK("http://141.218.60.56/~jnz1568/getInfo.php?workbook=16_08.xlsx&amp;sheet=U0&amp;row=7184&amp;col=7&amp;number=2.15e-05&amp;sourceID=14","2.15e-05")</f>
        <v>2.15e-05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HYPERLINK("http://141.218.60.56/~jnz1568/getInfo.php?workbook=16_08.xlsx&amp;sheet=U0&amp;row=7185&amp;col=6&amp;number=3.1&amp;sourceID=14","3.1")</f>
        <v>3.1</v>
      </c>
      <c r="G7185" s="4" t="str">
        <f>HYPERLINK("http://141.218.60.56/~jnz1568/getInfo.php?workbook=16_08.xlsx&amp;sheet=U0&amp;row=7185&amp;col=7&amp;number=2.15e-05&amp;sourceID=14","2.15e-05")</f>
        <v>2.15e-05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HYPERLINK("http://141.218.60.56/~jnz1568/getInfo.php?workbook=16_08.xlsx&amp;sheet=U0&amp;row=7186&amp;col=6&amp;number=3.2&amp;sourceID=14","3.2")</f>
        <v>3.2</v>
      </c>
      <c r="G7186" s="4" t="str">
        <f>HYPERLINK("http://141.218.60.56/~jnz1568/getInfo.php?workbook=16_08.xlsx&amp;sheet=U0&amp;row=7186&amp;col=7&amp;number=2.15e-05&amp;sourceID=14","2.15e-05")</f>
        <v>2.15e-05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HYPERLINK("http://141.218.60.56/~jnz1568/getInfo.php?workbook=16_08.xlsx&amp;sheet=U0&amp;row=7187&amp;col=6&amp;number=3.3&amp;sourceID=14","3.3")</f>
        <v>3.3</v>
      </c>
      <c r="G7187" s="4" t="str">
        <f>HYPERLINK("http://141.218.60.56/~jnz1568/getInfo.php?workbook=16_08.xlsx&amp;sheet=U0&amp;row=7187&amp;col=7&amp;number=2.15e-05&amp;sourceID=14","2.15e-05")</f>
        <v>2.15e-05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HYPERLINK("http://141.218.60.56/~jnz1568/getInfo.php?workbook=16_08.xlsx&amp;sheet=U0&amp;row=7188&amp;col=6&amp;number=3.4&amp;sourceID=14","3.4")</f>
        <v>3.4</v>
      </c>
      <c r="G7188" s="4" t="str">
        <f>HYPERLINK("http://141.218.60.56/~jnz1568/getInfo.php?workbook=16_08.xlsx&amp;sheet=U0&amp;row=7188&amp;col=7&amp;number=2.15e-05&amp;sourceID=14","2.15e-05")</f>
        <v>2.15e-05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HYPERLINK("http://141.218.60.56/~jnz1568/getInfo.php?workbook=16_08.xlsx&amp;sheet=U0&amp;row=7189&amp;col=6&amp;number=3.5&amp;sourceID=14","3.5")</f>
        <v>3.5</v>
      </c>
      <c r="G7189" s="4" t="str">
        <f>HYPERLINK("http://141.218.60.56/~jnz1568/getInfo.php?workbook=16_08.xlsx&amp;sheet=U0&amp;row=7189&amp;col=7&amp;number=2.15e-05&amp;sourceID=14","2.15e-05")</f>
        <v>2.15e-05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HYPERLINK("http://141.218.60.56/~jnz1568/getInfo.php?workbook=16_08.xlsx&amp;sheet=U0&amp;row=7190&amp;col=6&amp;number=3.6&amp;sourceID=14","3.6")</f>
        <v>3.6</v>
      </c>
      <c r="G7190" s="4" t="str">
        <f>HYPERLINK("http://141.218.60.56/~jnz1568/getInfo.php?workbook=16_08.xlsx&amp;sheet=U0&amp;row=7190&amp;col=7&amp;number=2.15e-05&amp;sourceID=14","2.15e-05")</f>
        <v>2.15e-05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HYPERLINK("http://141.218.60.56/~jnz1568/getInfo.php?workbook=16_08.xlsx&amp;sheet=U0&amp;row=7191&amp;col=6&amp;number=3.7&amp;sourceID=14","3.7")</f>
        <v>3.7</v>
      </c>
      <c r="G7191" s="4" t="str">
        <f>HYPERLINK("http://141.218.60.56/~jnz1568/getInfo.php?workbook=16_08.xlsx&amp;sheet=U0&amp;row=7191&amp;col=7&amp;number=2.15e-05&amp;sourceID=14","2.15e-05")</f>
        <v>2.15e-05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HYPERLINK("http://141.218.60.56/~jnz1568/getInfo.php?workbook=16_08.xlsx&amp;sheet=U0&amp;row=7192&amp;col=6&amp;number=3.8&amp;sourceID=14","3.8")</f>
        <v>3.8</v>
      </c>
      <c r="G7192" s="4" t="str">
        <f>HYPERLINK("http://141.218.60.56/~jnz1568/getInfo.php?workbook=16_08.xlsx&amp;sheet=U0&amp;row=7192&amp;col=7&amp;number=2.15e-05&amp;sourceID=14","2.15e-05")</f>
        <v>2.15e-05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HYPERLINK("http://141.218.60.56/~jnz1568/getInfo.php?workbook=16_08.xlsx&amp;sheet=U0&amp;row=7193&amp;col=6&amp;number=3.9&amp;sourceID=14","3.9")</f>
        <v>3.9</v>
      </c>
      <c r="G7193" s="4" t="str">
        <f>HYPERLINK("http://141.218.60.56/~jnz1568/getInfo.php?workbook=16_08.xlsx&amp;sheet=U0&amp;row=7193&amp;col=7&amp;number=2.15e-05&amp;sourceID=14","2.15e-05")</f>
        <v>2.15e-05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HYPERLINK("http://141.218.60.56/~jnz1568/getInfo.php?workbook=16_08.xlsx&amp;sheet=U0&amp;row=7194&amp;col=6&amp;number=4&amp;sourceID=14","4")</f>
        <v>4</v>
      </c>
      <c r="G7194" s="4" t="str">
        <f>HYPERLINK("http://141.218.60.56/~jnz1568/getInfo.php?workbook=16_08.xlsx&amp;sheet=U0&amp;row=7194&amp;col=7&amp;number=2.15e-05&amp;sourceID=14","2.15e-05")</f>
        <v>2.15e-05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HYPERLINK("http://141.218.60.56/~jnz1568/getInfo.php?workbook=16_08.xlsx&amp;sheet=U0&amp;row=7195&amp;col=6&amp;number=4.1&amp;sourceID=14","4.1")</f>
        <v>4.1</v>
      </c>
      <c r="G7195" s="4" t="str">
        <f>HYPERLINK("http://141.218.60.56/~jnz1568/getInfo.php?workbook=16_08.xlsx&amp;sheet=U0&amp;row=7195&amp;col=7&amp;number=2.15e-05&amp;sourceID=14","2.15e-05")</f>
        <v>2.15e-05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HYPERLINK("http://141.218.60.56/~jnz1568/getInfo.php?workbook=16_08.xlsx&amp;sheet=U0&amp;row=7196&amp;col=6&amp;number=4.2&amp;sourceID=14","4.2")</f>
        <v>4.2</v>
      </c>
      <c r="G7196" s="4" t="str">
        <f>HYPERLINK("http://141.218.60.56/~jnz1568/getInfo.php?workbook=16_08.xlsx&amp;sheet=U0&amp;row=7196&amp;col=7&amp;number=2.15e-05&amp;sourceID=14","2.15e-05")</f>
        <v>2.15e-05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HYPERLINK("http://141.218.60.56/~jnz1568/getInfo.php?workbook=16_08.xlsx&amp;sheet=U0&amp;row=7197&amp;col=6&amp;number=4.3&amp;sourceID=14","4.3")</f>
        <v>4.3</v>
      </c>
      <c r="G7197" s="4" t="str">
        <f>HYPERLINK("http://141.218.60.56/~jnz1568/getInfo.php?workbook=16_08.xlsx&amp;sheet=U0&amp;row=7197&amp;col=7&amp;number=2.15e-05&amp;sourceID=14","2.15e-05")</f>
        <v>2.15e-05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HYPERLINK("http://141.218.60.56/~jnz1568/getInfo.php?workbook=16_08.xlsx&amp;sheet=U0&amp;row=7198&amp;col=6&amp;number=4.4&amp;sourceID=14","4.4")</f>
        <v>4.4</v>
      </c>
      <c r="G7198" s="4" t="str">
        <f>HYPERLINK("http://141.218.60.56/~jnz1568/getInfo.php?workbook=16_08.xlsx&amp;sheet=U0&amp;row=7198&amp;col=7&amp;number=2.15e-05&amp;sourceID=14","2.15e-05")</f>
        <v>2.15e-05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HYPERLINK("http://141.218.60.56/~jnz1568/getInfo.php?workbook=16_08.xlsx&amp;sheet=U0&amp;row=7199&amp;col=6&amp;number=4.5&amp;sourceID=14","4.5")</f>
        <v>4.5</v>
      </c>
      <c r="G7199" s="4" t="str">
        <f>HYPERLINK("http://141.218.60.56/~jnz1568/getInfo.php?workbook=16_08.xlsx&amp;sheet=U0&amp;row=7199&amp;col=7&amp;number=2.15e-05&amp;sourceID=14","2.15e-05")</f>
        <v>2.15e-05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HYPERLINK("http://141.218.60.56/~jnz1568/getInfo.php?workbook=16_08.xlsx&amp;sheet=U0&amp;row=7200&amp;col=6&amp;number=4.6&amp;sourceID=14","4.6")</f>
        <v>4.6</v>
      </c>
      <c r="G7200" s="4" t="str">
        <f>HYPERLINK("http://141.218.60.56/~jnz1568/getInfo.php?workbook=16_08.xlsx&amp;sheet=U0&amp;row=7200&amp;col=7&amp;number=2.15e-05&amp;sourceID=14","2.15e-05")</f>
        <v>2.15e-05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HYPERLINK("http://141.218.60.56/~jnz1568/getInfo.php?workbook=16_08.xlsx&amp;sheet=U0&amp;row=7201&amp;col=6&amp;number=4.7&amp;sourceID=14","4.7")</f>
        <v>4.7</v>
      </c>
      <c r="G7201" s="4" t="str">
        <f>HYPERLINK("http://141.218.60.56/~jnz1568/getInfo.php?workbook=16_08.xlsx&amp;sheet=U0&amp;row=7201&amp;col=7&amp;number=2.15e-05&amp;sourceID=14","2.15e-05")</f>
        <v>2.15e-05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HYPERLINK("http://141.218.60.56/~jnz1568/getInfo.php?workbook=16_08.xlsx&amp;sheet=U0&amp;row=7202&amp;col=6&amp;number=4.8&amp;sourceID=14","4.8")</f>
        <v>4.8</v>
      </c>
      <c r="G7202" s="4" t="str">
        <f>HYPERLINK("http://141.218.60.56/~jnz1568/getInfo.php?workbook=16_08.xlsx&amp;sheet=U0&amp;row=7202&amp;col=7&amp;number=2.15e-05&amp;sourceID=14","2.15e-05")</f>
        <v>2.15e-05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HYPERLINK("http://141.218.60.56/~jnz1568/getInfo.php?workbook=16_08.xlsx&amp;sheet=U0&amp;row=7203&amp;col=6&amp;number=4.9&amp;sourceID=14","4.9")</f>
        <v>4.9</v>
      </c>
      <c r="G7203" s="4" t="str">
        <f>HYPERLINK("http://141.218.60.56/~jnz1568/getInfo.php?workbook=16_08.xlsx&amp;sheet=U0&amp;row=7203&amp;col=7&amp;number=2.15e-05&amp;sourceID=14","2.15e-05")</f>
        <v>2.15e-05</v>
      </c>
    </row>
    <row r="7204" spans="1:7">
      <c r="A7204" s="3">
        <v>16</v>
      </c>
      <c r="B7204" s="3">
        <v>8</v>
      </c>
      <c r="C7204" s="3">
        <v>5</v>
      </c>
      <c r="D7204" s="3">
        <v>32</v>
      </c>
      <c r="E7204" s="3">
        <v>1</v>
      </c>
      <c r="F7204" s="4" t="str">
        <f>HYPERLINK("http://141.218.60.56/~jnz1568/getInfo.php?workbook=16_08.xlsx&amp;sheet=U0&amp;row=7204&amp;col=6&amp;number=3&amp;sourceID=14","3")</f>
        <v>3</v>
      </c>
      <c r="G7204" s="4" t="str">
        <f>HYPERLINK("http://141.218.60.56/~jnz1568/getInfo.php?workbook=16_08.xlsx&amp;sheet=U0&amp;row=7204&amp;col=7&amp;number=1.11e-05&amp;sourceID=14","1.11e-05")</f>
        <v>1.11e-05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HYPERLINK("http://141.218.60.56/~jnz1568/getInfo.php?workbook=16_08.xlsx&amp;sheet=U0&amp;row=7205&amp;col=6&amp;number=3.1&amp;sourceID=14","3.1")</f>
        <v>3.1</v>
      </c>
      <c r="G7205" s="4" t="str">
        <f>HYPERLINK("http://141.218.60.56/~jnz1568/getInfo.php?workbook=16_08.xlsx&amp;sheet=U0&amp;row=7205&amp;col=7&amp;number=1.11e-05&amp;sourceID=14","1.11e-05")</f>
        <v>1.11e-05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HYPERLINK("http://141.218.60.56/~jnz1568/getInfo.php?workbook=16_08.xlsx&amp;sheet=U0&amp;row=7206&amp;col=6&amp;number=3.2&amp;sourceID=14","3.2")</f>
        <v>3.2</v>
      </c>
      <c r="G7206" s="4" t="str">
        <f>HYPERLINK("http://141.218.60.56/~jnz1568/getInfo.php?workbook=16_08.xlsx&amp;sheet=U0&amp;row=7206&amp;col=7&amp;number=1.11e-05&amp;sourceID=14","1.11e-05")</f>
        <v>1.11e-05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HYPERLINK("http://141.218.60.56/~jnz1568/getInfo.php?workbook=16_08.xlsx&amp;sheet=U0&amp;row=7207&amp;col=6&amp;number=3.3&amp;sourceID=14","3.3")</f>
        <v>3.3</v>
      </c>
      <c r="G7207" s="4" t="str">
        <f>HYPERLINK("http://141.218.60.56/~jnz1568/getInfo.php?workbook=16_08.xlsx&amp;sheet=U0&amp;row=7207&amp;col=7&amp;number=1.11e-05&amp;sourceID=14","1.11e-05")</f>
        <v>1.11e-05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HYPERLINK("http://141.218.60.56/~jnz1568/getInfo.php?workbook=16_08.xlsx&amp;sheet=U0&amp;row=7208&amp;col=6&amp;number=3.4&amp;sourceID=14","3.4")</f>
        <v>3.4</v>
      </c>
      <c r="G7208" s="4" t="str">
        <f>HYPERLINK("http://141.218.60.56/~jnz1568/getInfo.php?workbook=16_08.xlsx&amp;sheet=U0&amp;row=7208&amp;col=7&amp;number=1.11e-05&amp;sourceID=14","1.11e-05")</f>
        <v>1.11e-05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HYPERLINK("http://141.218.60.56/~jnz1568/getInfo.php?workbook=16_08.xlsx&amp;sheet=U0&amp;row=7209&amp;col=6&amp;number=3.5&amp;sourceID=14","3.5")</f>
        <v>3.5</v>
      </c>
      <c r="G7209" s="4" t="str">
        <f>HYPERLINK("http://141.218.60.56/~jnz1568/getInfo.php?workbook=16_08.xlsx&amp;sheet=U0&amp;row=7209&amp;col=7&amp;number=1.11e-05&amp;sourceID=14","1.11e-05")</f>
        <v>1.11e-05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HYPERLINK("http://141.218.60.56/~jnz1568/getInfo.php?workbook=16_08.xlsx&amp;sheet=U0&amp;row=7210&amp;col=6&amp;number=3.6&amp;sourceID=14","3.6")</f>
        <v>3.6</v>
      </c>
      <c r="G7210" s="4" t="str">
        <f>HYPERLINK("http://141.218.60.56/~jnz1568/getInfo.php?workbook=16_08.xlsx&amp;sheet=U0&amp;row=7210&amp;col=7&amp;number=1.11e-05&amp;sourceID=14","1.11e-05")</f>
        <v>1.11e-05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HYPERLINK("http://141.218.60.56/~jnz1568/getInfo.php?workbook=16_08.xlsx&amp;sheet=U0&amp;row=7211&amp;col=6&amp;number=3.7&amp;sourceID=14","3.7")</f>
        <v>3.7</v>
      </c>
      <c r="G7211" s="4" t="str">
        <f>HYPERLINK("http://141.218.60.56/~jnz1568/getInfo.php?workbook=16_08.xlsx&amp;sheet=U0&amp;row=7211&amp;col=7&amp;number=1.11e-05&amp;sourceID=14","1.11e-05")</f>
        <v>1.11e-05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HYPERLINK("http://141.218.60.56/~jnz1568/getInfo.php?workbook=16_08.xlsx&amp;sheet=U0&amp;row=7212&amp;col=6&amp;number=3.8&amp;sourceID=14","3.8")</f>
        <v>3.8</v>
      </c>
      <c r="G7212" s="4" t="str">
        <f>HYPERLINK("http://141.218.60.56/~jnz1568/getInfo.php?workbook=16_08.xlsx&amp;sheet=U0&amp;row=7212&amp;col=7&amp;number=1.11e-05&amp;sourceID=14","1.11e-05")</f>
        <v>1.11e-05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HYPERLINK("http://141.218.60.56/~jnz1568/getInfo.php?workbook=16_08.xlsx&amp;sheet=U0&amp;row=7213&amp;col=6&amp;number=3.9&amp;sourceID=14","3.9")</f>
        <v>3.9</v>
      </c>
      <c r="G7213" s="4" t="str">
        <f>HYPERLINK("http://141.218.60.56/~jnz1568/getInfo.php?workbook=16_08.xlsx&amp;sheet=U0&amp;row=7213&amp;col=7&amp;number=1.11e-05&amp;sourceID=14","1.11e-05")</f>
        <v>1.11e-05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HYPERLINK("http://141.218.60.56/~jnz1568/getInfo.php?workbook=16_08.xlsx&amp;sheet=U0&amp;row=7214&amp;col=6&amp;number=4&amp;sourceID=14","4")</f>
        <v>4</v>
      </c>
      <c r="G7214" s="4" t="str">
        <f>HYPERLINK("http://141.218.60.56/~jnz1568/getInfo.php?workbook=16_08.xlsx&amp;sheet=U0&amp;row=7214&amp;col=7&amp;number=1.1e-05&amp;sourceID=14","1.1e-05")</f>
        <v>1.1e-05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HYPERLINK("http://141.218.60.56/~jnz1568/getInfo.php?workbook=16_08.xlsx&amp;sheet=U0&amp;row=7215&amp;col=6&amp;number=4.1&amp;sourceID=14","4.1")</f>
        <v>4.1</v>
      </c>
      <c r="G7215" s="4" t="str">
        <f>HYPERLINK("http://141.218.60.56/~jnz1568/getInfo.php?workbook=16_08.xlsx&amp;sheet=U0&amp;row=7215&amp;col=7&amp;number=1.1e-05&amp;sourceID=14","1.1e-05")</f>
        <v>1.1e-05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HYPERLINK("http://141.218.60.56/~jnz1568/getInfo.php?workbook=16_08.xlsx&amp;sheet=U0&amp;row=7216&amp;col=6&amp;number=4.2&amp;sourceID=14","4.2")</f>
        <v>4.2</v>
      </c>
      <c r="G7216" s="4" t="str">
        <f>HYPERLINK("http://141.218.60.56/~jnz1568/getInfo.php?workbook=16_08.xlsx&amp;sheet=U0&amp;row=7216&amp;col=7&amp;number=1.1e-05&amp;sourceID=14","1.1e-05")</f>
        <v>1.1e-05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HYPERLINK("http://141.218.60.56/~jnz1568/getInfo.php?workbook=16_08.xlsx&amp;sheet=U0&amp;row=7217&amp;col=6&amp;number=4.3&amp;sourceID=14","4.3")</f>
        <v>4.3</v>
      </c>
      <c r="G7217" s="4" t="str">
        <f>HYPERLINK("http://141.218.60.56/~jnz1568/getInfo.php?workbook=16_08.xlsx&amp;sheet=U0&amp;row=7217&amp;col=7&amp;number=1.1e-05&amp;sourceID=14","1.1e-05")</f>
        <v>1.1e-05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HYPERLINK("http://141.218.60.56/~jnz1568/getInfo.php?workbook=16_08.xlsx&amp;sheet=U0&amp;row=7218&amp;col=6&amp;number=4.4&amp;sourceID=14","4.4")</f>
        <v>4.4</v>
      </c>
      <c r="G7218" s="4" t="str">
        <f>HYPERLINK("http://141.218.60.56/~jnz1568/getInfo.php?workbook=16_08.xlsx&amp;sheet=U0&amp;row=7218&amp;col=7&amp;number=1.1e-05&amp;sourceID=14","1.1e-05")</f>
        <v>1.1e-05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HYPERLINK("http://141.218.60.56/~jnz1568/getInfo.php?workbook=16_08.xlsx&amp;sheet=U0&amp;row=7219&amp;col=6&amp;number=4.5&amp;sourceID=14","4.5")</f>
        <v>4.5</v>
      </c>
      <c r="G7219" s="4" t="str">
        <f>HYPERLINK("http://141.218.60.56/~jnz1568/getInfo.php?workbook=16_08.xlsx&amp;sheet=U0&amp;row=7219&amp;col=7&amp;number=1.09e-05&amp;sourceID=14","1.09e-05")</f>
        <v>1.09e-05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HYPERLINK("http://141.218.60.56/~jnz1568/getInfo.php?workbook=16_08.xlsx&amp;sheet=U0&amp;row=7220&amp;col=6&amp;number=4.6&amp;sourceID=14","4.6")</f>
        <v>4.6</v>
      </c>
      <c r="G7220" s="4" t="str">
        <f>HYPERLINK("http://141.218.60.56/~jnz1568/getInfo.php?workbook=16_08.xlsx&amp;sheet=U0&amp;row=7220&amp;col=7&amp;number=1.09e-05&amp;sourceID=14","1.09e-05")</f>
        <v>1.09e-05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HYPERLINK("http://141.218.60.56/~jnz1568/getInfo.php?workbook=16_08.xlsx&amp;sheet=U0&amp;row=7221&amp;col=6&amp;number=4.7&amp;sourceID=14","4.7")</f>
        <v>4.7</v>
      </c>
      <c r="G7221" s="4" t="str">
        <f>HYPERLINK("http://141.218.60.56/~jnz1568/getInfo.php?workbook=16_08.xlsx&amp;sheet=U0&amp;row=7221&amp;col=7&amp;number=1.08e-05&amp;sourceID=14","1.08e-05")</f>
        <v>1.08e-05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HYPERLINK("http://141.218.60.56/~jnz1568/getInfo.php?workbook=16_08.xlsx&amp;sheet=U0&amp;row=7222&amp;col=6&amp;number=4.8&amp;sourceID=14","4.8")</f>
        <v>4.8</v>
      </c>
      <c r="G7222" s="4" t="str">
        <f>HYPERLINK("http://141.218.60.56/~jnz1568/getInfo.php?workbook=16_08.xlsx&amp;sheet=U0&amp;row=7222&amp;col=7&amp;number=1.08e-05&amp;sourceID=14","1.08e-05")</f>
        <v>1.08e-05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HYPERLINK("http://141.218.60.56/~jnz1568/getInfo.php?workbook=16_08.xlsx&amp;sheet=U0&amp;row=7223&amp;col=6&amp;number=4.9&amp;sourceID=14","4.9")</f>
        <v>4.9</v>
      </c>
      <c r="G7223" s="4" t="str">
        <f>HYPERLINK("http://141.218.60.56/~jnz1568/getInfo.php?workbook=16_08.xlsx&amp;sheet=U0&amp;row=7223&amp;col=7&amp;number=1.07e-05&amp;sourceID=14","1.07e-05")</f>
        <v>1.07e-05</v>
      </c>
    </row>
    <row r="7224" spans="1:7">
      <c r="A7224" s="3">
        <v>16</v>
      </c>
      <c r="B7224" s="3">
        <v>8</v>
      </c>
      <c r="C7224" s="3">
        <v>5</v>
      </c>
      <c r="D7224" s="3">
        <v>33</v>
      </c>
      <c r="E7224" s="3">
        <v>1</v>
      </c>
      <c r="F7224" s="4" t="str">
        <f>HYPERLINK("http://141.218.60.56/~jnz1568/getInfo.php?workbook=16_08.xlsx&amp;sheet=U0&amp;row=7224&amp;col=6&amp;number=3&amp;sourceID=14","3")</f>
        <v>3</v>
      </c>
      <c r="G7224" s="4" t="str">
        <f>HYPERLINK("http://141.218.60.56/~jnz1568/getInfo.php?workbook=16_08.xlsx&amp;sheet=U0&amp;row=7224&amp;col=7&amp;number=9.49e-06&amp;sourceID=14","9.49e-06")</f>
        <v>9.49e-06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HYPERLINK("http://141.218.60.56/~jnz1568/getInfo.php?workbook=16_08.xlsx&amp;sheet=U0&amp;row=7225&amp;col=6&amp;number=3.1&amp;sourceID=14","3.1")</f>
        <v>3.1</v>
      </c>
      <c r="G7225" s="4" t="str">
        <f>HYPERLINK("http://141.218.60.56/~jnz1568/getInfo.php?workbook=16_08.xlsx&amp;sheet=U0&amp;row=7225&amp;col=7&amp;number=9.49e-06&amp;sourceID=14","9.49e-06")</f>
        <v>9.49e-06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HYPERLINK("http://141.218.60.56/~jnz1568/getInfo.php?workbook=16_08.xlsx&amp;sheet=U0&amp;row=7226&amp;col=6&amp;number=3.2&amp;sourceID=14","3.2")</f>
        <v>3.2</v>
      </c>
      <c r="G7226" s="4" t="str">
        <f>HYPERLINK("http://141.218.60.56/~jnz1568/getInfo.php?workbook=16_08.xlsx&amp;sheet=U0&amp;row=7226&amp;col=7&amp;number=9.48e-06&amp;sourceID=14","9.48e-06")</f>
        <v>9.48e-06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HYPERLINK("http://141.218.60.56/~jnz1568/getInfo.php?workbook=16_08.xlsx&amp;sheet=U0&amp;row=7227&amp;col=6&amp;number=3.3&amp;sourceID=14","3.3")</f>
        <v>3.3</v>
      </c>
      <c r="G7227" s="4" t="str">
        <f>HYPERLINK("http://141.218.60.56/~jnz1568/getInfo.php?workbook=16_08.xlsx&amp;sheet=U0&amp;row=7227&amp;col=7&amp;number=9.48e-06&amp;sourceID=14","9.48e-06")</f>
        <v>9.48e-06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HYPERLINK("http://141.218.60.56/~jnz1568/getInfo.php?workbook=16_08.xlsx&amp;sheet=U0&amp;row=7228&amp;col=6&amp;number=3.4&amp;sourceID=14","3.4")</f>
        <v>3.4</v>
      </c>
      <c r="G7228" s="4" t="str">
        <f>HYPERLINK("http://141.218.60.56/~jnz1568/getInfo.php?workbook=16_08.xlsx&amp;sheet=U0&amp;row=7228&amp;col=7&amp;number=9.48e-06&amp;sourceID=14","9.48e-06")</f>
        <v>9.48e-06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HYPERLINK("http://141.218.60.56/~jnz1568/getInfo.php?workbook=16_08.xlsx&amp;sheet=U0&amp;row=7229&amp;col=6&amp;number=3.5&amp;sourceID=14","3.5")</f>
        <v>3.5</v>
      </c>
      <c r="G7229" s="4" t="str">
        <f>HYPERLINK("http://141.218.60.56/~jnz1568/getInfo.php?workbook=16_08.xlsx&amp;sheet=U0&amp;row=7229&amp;col=7&amp;number=9.48e-06&amp;sourceID=14","9.48e-06")</f>
        <v>9.48e-06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HYPERLINK("http://141.218.60.56/~jnz1568/getInfo.php?workbook=16_08.xlsx&amp;sheet=U0&amp;row=7230&amp;col=6&amp;number=3.6&amp;sourceID=14","3.6")</f>
        <v>3.6</v>
      </c>
      <c r="G7230" s="4" t="str">
        <f>HYPERLINK("http://141.218.60.56/~jnz1568/getInfo.php?workbook=16_08.xlsx&amp;sheet=U0&amp;row=7230&amp;col=7&amp;number=9.48e-06&amp;sourceID=14","9.48e-06")</f>
        <v>9.48e-06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HYPERLINK("http://141.218.60.56/~jnz1568/getInfo.php?workbook=16_08.xlsx&amp;sheet=U0&amp;row=7231&amp;col=6&amp;number=3.7&amp;sourceID=14","3.7")</f>
        <v>3.7</v>
      </c>
      <c r="G7231" s="4" t="str">
        <f>HYPERLINK("http://141.218.60.56/~jnz1568/getInfo.php?workbook=16_08.xlsx&amp;sheet=U0&amp;row=7231&amp;col=7&amp;number=9.47e-06&amp;sourceID=14","9.47e-06")</f>
        <v>9.47e-06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HYPERLINK("http://141.218.60.56/~jnz1568/getInfo.php?workbook=16_08.xlsx&amp;sheet=U0&amp;row=7232&amp;col=6&amp;number=3.8&amp;sourceID=14","3.8")</f>
        <v>3.8</v>
      </c>
      <c r="G7232" s="4" t="str">
        <f>HYPERLINK("http://141.218.60.56/~jnz1568/getInfo.php?workbook=16_08.xlsx&amp;sheet=U0&amp;row=7232&amp;col=7&amp;number=9.47e-06&amp;sourceID=14","9.47e-06")</f>
        <v>9.47e-06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HYPERLINK("http://141.218.60.56/~jnz1568/getInfo.php?workbook=16_08.xlsx&amp;sheet=U0&amp;row=7233&amp;col=6&amp;number=3.9&amp;sourceID=14","3.9")</f>
        <v>3.9</v>
      </c>
      <c r="G7233" s="4" t="str">
        <f>HYPERLINK("http://141.218.60.56/~jnz1568/getInfo.php?workbook=16_08.xlsx&amp;sheet=U0&amp;row=7233&amp;col=7&amp;number=9.46e-06&amp;sourceID=14","9.46e-06")</f>
        <v>9.46e-06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HYPERLINK("http://141.218.60.56/~jnz1568/getInfo.php?workbook=16_08.xlsx&amp;sheet=U0&amp;row=7234&amp;col=6&amp;number=4&amp;sourceID=14","4")</f>
        <v>4</v>
      </c>
      <c r="G7234" s="4" t="str">
        <f>HYPERLINK("http://141.218.60.56/~jnz1568/getInfo.php?workbook=16_08.xlsx&amp;sheet=U0&amp;row=7234&amp;col=7&amp;number=9.45e-06&amp;sourceID=14","9.45e-06")</f>
        <v>9.45e-06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HYPERLINK("http://141.218.60.56/~jnz1568/getInfo.php?workbook=16_08.xlsx&amp;sheet=U0&amp;row=7235&amp;col=6&amp;number=4.1&amp;sourceID=14","4.1")</f>
        <v>4.1</v>
      </c>
      <c r="G7235" s="4" t="str">
        <f>HYPERLINK("http://141.218.60.56/~jnz1568/getInfo.php?workbook=16_08.xlsx&amp;sheet=U0&amp;row=7235&amp;col=7&amp;number=9.44e-06&amp;sourceID=14","9.44e-06")</f>
        <v>9.44e-06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HYPERLINK("http://141.218.60.56/~jnz1568/getInfo.php?workbook=16_08.xlsx&amp;sheet=U0&amp;row=7236&amp;col=6&amp;number=4.2&amp;sourceID=14","4.2")</f>
        <v>4.2</v>
      </c>
      <c r="G7236" s="4" t="str">
        <f>HYPERLINK("http://141.218.60.56/~jnz1568/getInfo.php?workbook=16_08.xlsx&amp;sheet=U0&amp;row=7236&amp;col=7&amp;number=9.43e-06&amp;sourceID=14","9.43e-06")</f>
        <v>9.43e-06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HYPERLINK("http://141.218.60.56/~jnz1568/getInfo.php?workbook=16_08.xlsx&amp;sheet=U0&amp;row=7237&amp;col=6&amp;number=4.3&amp;sourceID=14","4.3")</f>
        <v>4.3</v>
      </c>
      <c r="G7237" s="4" t="str">
        <f>HYPERLINK("http://141.218.60.56/~jnz1568/getInfo.php?workbook=16_08.xlsx&amp;sheet=U0&amp;row=7237&amp;col=7&amp;number=9.41e-06&amp;sourceID=14","9.41e-06")</f>
        <v>9.41e-06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HYPERLINK("http://141.218.60.56/~jnz1568/getInfo.php?workbook=16_08.xlsx&amp;sheet=U0&amp;row=7238&amp;col=6&amp;number=4.4&amp;sourceID=14","4.4")</f>
        <v>4.4</v>
      </c>
      <c r="G7238" s="4" t="str">
        <f>HYPERLINK("http://141.218.60.56/~jnz1568/getInfo.php?workbook=16_08.xlsx&amp;sheet=U0&amp;row=7238&amp;col=7&amp;number=9.39e-06&amp;sourceID=14","9.39e-06")</f>
        <v>9.39e-06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HYPERLINK("http://141.218.60.56/~jnz1568/getInfo.php?workbook=16_08.xlsx&amp;sheet=U0&amp;row=7239&amp;col=6&amp;number=4.5&amp;sourceID=14","4.5")</f>
        <v>4.5</v>
      </c>
      <c r="G7239" s="4" t="str">
        <f>HYPERLINK("http://141.218.60.56/~jnz1568/getInfo.php?workbook=16_08.xlsx&amp;sheet=U0&amp;row=7239&amp;col=7&amp;number=9.37e-06&amp;sourceID=14","9.37e-06")</f>
        <v>9.37e-06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HYPERLINK("http://141.218.60.56/~jnz1568/getInfo.php?workbook=16_08.xlsx&amp;sheet=U0&amp;row=7240&amp;col=6&amp;number=4.6&amp;sourceID=14","4.6")</f>
        <v>4.6</v>
      </c>
      <c r="G7240" s="4" t="str">
        <f>HYPERLINK("http://141.218.60.56/~jnz1568/getInfo.php?workbook=16_08.xlsx&amp;sheet=U0&amp;row=7240&amp;col=7&amp;number=9.33e-06&amp;sourceID=14","9.33e-06")</f>
        <v>9.33e-06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HYPERLINK("http://141.218.60.56/~jnz1568/getInfo.php?workbook=16_08.xlsx&amp;sheet=U0&amp;row=7241&amp;col=6&amp;number=4.7&amp;sourceID=14","4.7")</f>
        <v>4.7</v>
      </c>
      <c r="G7241" s="4" t="str">
        <f>HYPERLINK("http://141.218.60.56/~jnz1568/getInfo.php?workbook=16_08.xlsx&amp;sheet=U0&amp;row=7241&amp;col=7&amp;number=9.29e-06&amp;sourceID=14","9.29e-06")</f>
        <v>9.29e-06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HYPERLINK("http://141.218.60.56/~jnz1568/getInfo.php?workbook=16_08.xlsx&amp;sheet=U0&amp;row=7242&amp;col=6&amp;number=4.8&amp;sourceID=14","4.8")</f>
        <v>4.8</v>
      </c>
      <c r="G7242" s="4" t="str">
        <f>HYPERLINK("http://141.218.60.56/~jnz1568/getInfo.php?workbook=16_08.xlsx&amp;sheet=U0&amp;row=7242&amp;col=7&amp;number=9.25e-06&amp;sourceID=14","9.25e-06")</f>
        <v>9.25e-06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HYPERLINK("http://141.218.60.56/~jnz1568/getInfo.php?workbook=16_08.xlsx&amp;sheet=U0&amp;row=7243&amp;col=6&amp;number=4.9&amp;sourceID=14","4.9")</f>
        <v>4.9</v>
      </c>
      <c r="G7243" s="4" t="str">
        <f>HYPERLINK("http://141.218.60.56/~jnz1568/getInfo.php?workbook=16_08.xlsx&amp;sheet=U0&amp;row=7243&amp;col=7&amp;number=9.18e-06&amp;sourceID=14","9.18e-06")</f>
        <v>9.18e-06</v>
      </c>
    </row>
    <row r="7244" spans="1:7">
      <c r="A7244" s="3">
        <v>16</v>
      </c>
      <c r="B7244" s="3">
        <v>8</v>
      </c>
      <c r="C7244" s="3">
        <v>5</v>
      </c>
      <c r="D7244" s="3">
        <v>34</v>
      </c>
      <c r="E7244" s="3">
        <v>1</v>
      </c>
      <c r="F7244" s="4" t="str">
        <f>HYPERLINK("http://141.218.60.56/~jnz1568/getInfo.php?workbook=16_08.xlsx&amp;sheet=U0&amp;row=7244&amp;col=6&amp;number=3&amp;sourceID=14","3")</f>
        <v>3</v>
      </c>
      <c r="G7244" s="4" t="str">
        <f>HYPERLINK("http://141.218.60.56/~jnz1568/getInfo.php?workbook=16_08.xlsx&amp;sheet=U0&amp;row=7244&amp;col=7&amp;number=7.15e-05&amp;sourceID=14","7.15e-05")</f>
        <v>7.15e-05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HYPERLINK("http://141.218.60.56/~jnz1568/getInfo.php?workbook=16_08.xlsx&amp;sheet=U0&amp;row=7245&amp;col=6&amp;number=3.1&amp;sourceID=14","3.1")</f>
        <v>3.1</v>
      </c>
      <c r="G7245" s="4" t="str">
        <f>HYPERLINK("http://141.218.60.56/~jnz1568/getInfo.php?workbook=16_08.xlsx&amp;sheet=U0&amp;row=7245&amp;col=7&amp;number=7.15e-05&amp;sourceID=14","7.15e-05")</f>
        <v>7.15e-05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HYPERLINK("http://141.218.60.56/~jnz1568/getInfo.php?workbook=16_08.xlsx&amp;sheet=U0&amp;row=7246&amp;col=6&amp;number=3.2&amp;sourceID=14","3.2")</f>
        <v>3.2</v>
      </c>
      <c r="G7246" s="4" t="str">
        <f>HYPERLINK("http://141.218.60.56/~jnz1568/getInfo.php?workbook=16_08.xlsx&amp;sheet=U0&amp;row=7246&amp;col=7&amp;number=7.15e-05&amp;sourceID=14","7.15e-05")</f>
        <v>7.15e-05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HYPERLINK("http://141.218.60.56/~jnz1568/getInfo.php?workbook=16_08.xlsx&amp;sheet=U0&amp;row=7247&amp;col=6&amp;number=3.3&amp;sourceID=14","3.3")</f>
        <v>3.3</v>
      </c>
      <c r="G7247" s="4" t="str">
        <f>HYPERLINK("http://141.218.60.56/~jnz1568/getInfo.php?workbook=16_08.xlsx&amp;sheet=U0&amp;row=7247&amp;col=7&amp;number=7.15e-05&amp;sourceID=14","7.15e-05")</f>
        <v>7.15e-05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HYPERLINK("http://141.218.60.56/~jnz1568/getInfo.php?workbook=16_08.xlsx&amp;sheet=U0&amp;row=7248&amp;col=6&amp;number=3.4&amp;sourceID=14","3.4")</f>
        <v>3.4</v>
      </c>
      <c r="G7248" s="4" t="str">
        <f>HYPERLINK("http://141.218.60.56/~jnz1568/getInfo.php?workbook=16_08.xlsx&amp;sheet=U0&amp;row=7248&amp;col=7&amp;number=7.15e-05&amp;sourceID=14","7.15e-05")</f>
        <v>7.15e-05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HYPERLINK("http://141.218.60.56/~jnz1568/getInfo.php?workbook=16_08.xlsx&amp;sheet=U0&amp;row=7249&amp;col=6&amp;number=3.5&amp;sourceID=14","3.5")</f>
        <v>3.5</v>
      </c>
      <c r="G7249" s="4" t="str">
        <f>HYPERLINK("http://141.218.60.56/~jnz1568/getInfo.php?workbook=16_08.xlsx&amp;sheet=U0&amp;row=7249&amp;col=7&amp;number=7.15e-05&amp;sourceID=14","7.15e-05")</f>
        <v>7.15e-05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HYPERLINK("http://141.218.60.56/~jnz1568/getInfo.php?workbook=16_08.xlsx&amp;sheet=U0&amp;row=7250&amp;col=6&amp;number=3.6&amp;sourceID=14","3.6")</f>
        <v>3.6</v>
      </c>
      <c r="G7250" s="4" t="str">
        <f>HYPERLINK("http://141.218.60.56/~jnz1568/getInfo.php?workbook=16_08.xlsx&amp;sheet=U0&amp;row=7250&amp;col=7&amp;number=7.15e-05&amp;sourceID=14","7.15e-05")</f>
        <v>7.15e-05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HYPERLINK("http://141.218.60.56/~jnz1568/getInfo.php?workbook=16_08.xlsx&amp;sheet=U0&amp;row=7251&amp;col=6&amp;number=3.7&amp;sourceID=14","3.7")</f>
        <v>3.7</v>
      </c>
      <c r="G7251" s="4" t="str">
        <f>HYPERLINK("http://141.218.60.56/~jnz1568/getInfo.php?workbook=16_08.xlsx&amp;sheet=U0&amp;row=7251&amp;col=7&amp;number=7.15e-05&amp;sourceID=14","7.15e-05")</f>
        <v>7.15e-05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HYPERLINK("http://141.218.60.56/~jnz1568/getInfo.php?workbook=16_08.xlsx&amp;sheet=U0&amp;row=7252&amp;col=6&amp;number=3.8&amp;sourceID=14","3.8")</f>
        <v>3.8</v>
      </c>
      <c r="G7252" s="4" t="str">
        <f>HYPERLINK("http://141.218.60.56/~jnz1568/getInfo.php?workbook=16_08.xlsx&amp;sheet=U0&amp;row=7252&amp;col=7&amp;number=7.14e-05&amp;sourceID=14","7.14e-05")</f>
        <v>7.14e-05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HYPERLINK("http://141.218.60.56/~jnz1568/getInfo.php?workbook=16_08.xlsx&amp;sheet=U0&amp;row=7253&amp;col=6&amp;number=3.9&amp;sourceID=14","3.9")</f>
        <v>3.9</v>
      </c>
      <c r="G7253" s="4" t="str">
        <f>HYPERLINK("http://141.218.60.56/~jnz1568/getInfo.php?workbook=16_08.xlsx&amp;sheet=U0&amp;row=7253&amp;col=7&amp;number=7.14e-05&amp;sourceID=14","7.14e-05")</f>
        <v>7.14e-05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HYPERLINK("http://141.218.60.56/~jnz1568/getInfo.php?workbook=16_08.xlsx&amp;sheet=U0&amp;row=7254&amp;col=6&amp;number=4&amp;sourceID=14","4")</f>
        <v>4</v>
      </c>
      <c r="G7254" s="4" t="str">
        <f>HYPERLINK("http://141.218.60.56/~jnz1568/getInfo.php?workbook=16_08.xlsx&amp;sheet=U0&amp;row=7254&amp;col=7&amp;number=7.14e-05&amp;sourceID=14","7.14e-05")</f>
        <v>7.14e-05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HYPERLINK("http://141.218.60.56/~jnz1568/getInfo.php?workbook=16_08.xlsx&amp;sheet=U0&amp;row=7255&amp;col=6&amp;number=4.1&amp;sourceID=14","4.1")</f>
        <v>4.1</v>
      </c>
      <c r="G7255" s="4" t="str">
        <f>HYPERLINK("http://141.218.60.56/~jnz1568/getInfo.php?workbook=16_08.xlsx&amp;sheet=U0&amp;row=7255&amp;col=7&amp;number=7.13e-05&amp;sourceID=14","7.13e-05")</f>
        <v>7.13e-05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HYPERLINK("http://141.218.60.56/~jnz1568/getInfo.php?workbook=16_08.xlsx&amp;sheet=U0&amp;row=7256&amp;col=6&amp;number=4.2&amp;sourceID=14","4.2")</f>
        <v>4.2</v>
      </c>
      <c r="G7256" s="4" t="str">
        <f>HYPERLINK("http://141.218.60.56/~jnz1568/getInfo.php?workbook=16_08.xlsx&amp;sheet=U0&amp;row=7256&amp;col=7&amp;number=7.13e-05&amp;sourceID=14","7.13e-05")</f>
        <v>7.13e-05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HYPERLINK("http://141.218.60.56/~jnz1568/getInfo.php?workbook=16_08.xlsx&amp;sheet=U0&amp;row=7257&amp;col=6&amp;number=4.3&amp;sourceID=14","4.3")</f>
        <v>4.3</v>
      </c>
      <c r="G7257" s="4" t="str">
        <f>HYPERLINK("http://141.218.60.56/~jnz1568/getInfo.php?workbook=16_08.xlsx&amp;sheet=U0&amp;row=7257&amp;col=7&amp;number=7.12e-05&amp;sourceID=14","7.12e-05")</f>
        <v>7.12e-05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HYPERLINK("http://141.218.60.56/~jnz1568/getInfo.php?workbook=16_08.xlsx&amp;sheet=U0&amp;row=7258&amp;col=6&amp;number=4.4&amp;sourceID=14","4.4")</f>
        <v>4.4</v>
      </c>
      <c r="G7258" s="4" t="str">
        <f>HYPERLINK("http://141.218.60.56/~jnz1568/getInfo.php?workbook=16_08.xlsx&amp;sheet=U0&amp;row=7258&amp;col=7&amp;number=7.11e-05&amp;sourceID=14","7.11e-05")</f>
        <v>7.11e-05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HYPERLINK("http://141.218.60.56/~jnz1568/getInfo.php?workbook=16_08.xlsx&amp;sheet=U0&amp;row=7259&amp;col=6&amp;number=4.5&amp;sourceID=14","4.5")</f>
        <v>4.5</v>
      </c>
      <c r="G7259" s="4" t="str">
        <f>HYPERLINK("http://141.218.60.56/~jnz1568/getInfo.php?workbook=16_08.xlsx&amp;sheet=U0&amp;row=7259&amp;col=7&amp;number=7.1e-05&amp;sourceID=14","7.1e-05")</f>
        <v>7.1e-05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HYPERLINK("http://141.218.60.56/~jnz1568/getInfo.php?workbook=16_08.xlsx&amp;sheet=U0&amp;row=7260&amp;col=6&amp;number=4.6&amp;sourceID=14","4.6")</f>
        <v>4.6</v>
      </c>
      <c r="G7260" s="4" t="str">
        <f>HYPERLINK("http://141.218.60.56/~jnz1568/getInfo.php?workbook=16_08.xlsx&amp;sheet=U0&amp;row=7260&amp;col=7&amp;number=7.09e-05&amp;sourceID=14","7.09e-05")</f>
        <v>7.09e-05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HYPERLINK("http://141.218.60.56/~jnz1568/getInfo.php?workbook=16_08.xlsx&amp;sheet=U0&amp;row=7261&amp;col=6&amp;number=4.7&amp;sourceID=14","4.7")</f>
        <v>4.7</v>
      </c>
      <c r="G7261" s="4" t="str">
        <f>HYPERLINK("http://141.218.60.56/~jnz1568/getInfo.php?workbook=16_08.xlsx&amp;sheet=U0&amp;row=7261&amp;col=7&amp;number=7.07e-05&amp;sourceID=14","7.07e-05")</f>
        <v>7.07e-05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HYPERLINK("http://141.218.60.56/~jnz1568/getInfo.php?workbook=16_08.xlsx&amp;sheet=U0&amp;row=7262&amp;col=6&amp;number=4.8&amp;sourceID=14","4.8")</f>
        <v>4.8</v>
      </c>
      <c r="G7262" s="4" t="str">
        <f>HYPERLINK("http://141.218.60.56/~jnz1568/getInfo.php?workbook=16_08.xlsx&amp;sheet=U0&amp;row=7262&amp;col=7&amp;number=7.05e-05&amp;sourceID=14","7.05e-05")</f>
        <v>7.05e-05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HYPERLINK("http://141.218.60.56/~jnz1568/getInfo.php?workbook=16_08.xlsx&amp;sheet=U0&amp;row=7263&amp;col=6&amp;number=4.9&amp;sourceID=14","4.9")</f>
        <v>4.9</v>
      </c>
      <c r="G7263" s="4" t="str">
        <f>HYPERLINK("http://141.218.60.56/~jnz1568/getInfo.php?workbook=16_08.xlsx&amp;sheet=U0&amp;row=7263&amp;col=7&amp;number=7.03e-05&amp;sourceID=14","7.03e-05")</f>
        <v>7.03e-05</v>
      </c>
    </row>
    <row r="7264" spans="1:7">
      <c r="A7264" s="3">
        <v>16</v>
      </c>
      <c r="B7264" s="3">
        <v>8</v>
      </c>
      <c r="C7264" s="3">
        <v>5</v>
      </c>
      <c r="D7264" s="3">
        <v>35</v>
      </c>
      <c r="E7264" s="3">
        <v>1</v>
      </c>
      <c r="F7264" s="4" t="str">
        <f>HYPERLINK("http://141.218.60.56/~jnz1568/getInfo.php?workbook=16_08.xlsx&amp;sheet=U0&amp;row=7264&amp;col=6&amp;number=3&amp;sourceID=14","3")</f>
        <v>3</v>
      </c>
      <c r="G7264" s="4" t="str">
        <f>HYPERLINK("http://141.218.60.56/~jnz1568/getInfo.php?workbook=16_08.xlsx&amp;sheet=U0&amp;row=7264&amp;col=7&amp;number=0.000195&amp;sourceID=14","0.000195")</f>
        <v>0.000195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HYPERLINK("http://141.218.60.56/~jnz1568/getInfo.php?workbook=16_08.xlsx&amp;sheet=U0&amp;row=7265&amp;col=6&amp;number=3.1&amp;sourceID=14","3.1")</f>
        <v>3.1</v>
      </c>
      <c r="G7265" s="4" t="str">
        <f>HYPERLINK("http://141.218.60.56/~jnz1568/getInfo.php?workbook=16_08.xlsx&amp;sheet=U0&amp;row=7265&amp;col=7&amp;number=0.000195&amp;sourceID=14","0.000195")</f>
        <v>0.000195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HYPERLINK("http://141.218.60.56/~jnz1568/getInfo.php?workbook=16_08.xlsx&amp;sheet=U0&amp;row=7266&amp;col=6&amp;number=3.2&amp;sourceID=14","3.2")</f>
        <v>3.2</v>
      </c>
      <c r="G7266" s="4" t="str">
        <f>HYPERLINK("http://141.218.60.56/~jnz1568/getInfo.php?workbook=16_08.xlsx&amp;sheet=U0&amp;row=7266&amp;col=7&amp;number=0.000195&amp;sourceID=14","0.000195")</f>
        <v>0.000195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HYPERLINK("http://141.218.60.56/~jnz1568/getInfo.php?workbook=16_08.xlsx&amp;sheet=U0&amp;row=7267&amp;col=6&amp;number=3.3&amp;sourceID=14","3.3")</f>
        <v>3.3</v>
      </c>
      <c r="G7267" s="4" t="str">
        <f>HYPERLINK("http://141.218.60.56/~jnz1568/getInfo.php?workbook=16_08.xlsx&amp;sheet=U0&amp;row=7267&amp;col=7&amp;number=0.000195&amp;sourceID=14","0.000195")</f>
        <v>0.000195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HYPERLINK("http://141.218.60.56/~jnz1568/getInfo.php?workbook=16_08.xlsx&amp;sheet=U0&amp;row=7268&amp;col=6&amp;number=3.4&amp;sourceID=14","3.4")</f>
        <v>3.4</v>
      </c>
      <c r="G7268" s="4" t="str">
        <f>HYPERLINK("http://141.218.60.56/~jnz1568/getInfo.php?workbook=16_08.xlsx&amp;sheet=U0&amp;row=7268&amp;col=7&amp;number=0.000195&amp;sourceID=14","0.000195")</f>
        <v>0.000195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HYPERLINK("http://141.218.60.56/~jnz1568/getInfo.php?workbook=16_08.xlsx&amp;sheet=U0&amp;row=7269&amp;col=6&amp;number=3.5&amp;sourceID=14","3.5")</f>
        <v>3.5</v>
      </c>
      <c r="G7269" s="4" t="str">
        <f>HYPERLINK("http://141.218.60.56/~jnz1568/getInfo.php?workbook=16_08.xlsx&amp;sheet=U0&amp;row=7269&amp;col=7&amp;number=0.000195&amp;sourceID=14","0.000195")</f>
        <v>0.000195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HYPERLINK("http://141.218.60.56/~jnz1568/getInfo.php?workbook=16_08.xlsx&amp;sheet=U0&amp;row=7270&amp;col=6&amp;number=3.6&amp;sourceID=14","3.6")</f>
        <v>3.6</v>
      </c>
      <c r="G7270" s="4" t="str">
        <f>HYPERLINK("http://141.218.60.56/~jnz1568/getInfo.php?workbook=16_08.xlsx&amp;sheet=U0&amp;row=7270&amp;col=7&amp;number=0.000195&amp;sourceID=14","0.000195")</f>
        <v>0.000195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HYPERLINK("http://141.218.60.56/~jnz1568/getInfo.php?workbook=16_08.xlsx&amp;sheet=U0&amp;row=7271&amp;col=6&amp;number=3.7&amp;sourceID=14","3.7")</f>
        <v>3.7</v>
      </c>
      <c r="G7271" s="4" t="str">
        <f>HYPERLINK("http://141.218.60.56/~jnz1568/getInfo.php?workbook=16_08.xlsx&amp;sheet=U0&amp;row=7271&amp;col=7&amp;number=0.000195&amp;sourceID=14","0.000195")</f>
        <v>0.000195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HYPERLINK("http://141.218.60.56/~jnz1568/getInfo.php?workbook=16_08.xlsx&amp;sheet=U0&amp;row=7272&amp;col=6&amp;number=3.8&amp;sourceID=14","3.8")</f>
        <v>3.8</v>
      </c>
      <c r="G7272" s="4" t="str">
        <f>HYPERLINK("http://141.218.60.56/~jnz1568/getInfo.php?workbook=16_08.xlsx&amp;sheet=U0&amp;row=7272&amp;col=7&amp;number=0.000195&amp;sourceID=14","0.000195")</f>
        <v>0.000195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HYPERLINK("http://141.218.60.56/~jnz1568/getInfo.php?workbook=16_08.xlsx&amp;sheet=U0&amp;row=7273&amp;col=6&amp;number=3.9&amp;sourceID=14","3.9")</f>
        <v>3.9</v>
      </c>
      <c r="G7273" s="4" t="str">
        <f>HYPERLINK("http://141.218.60.56/~jnz1568/getInfo.php?workbook=16_08.xlsx&amp;sheet=U0&amp;row=7273&amp;col=7&amp;number=0.000194&amp;sourceID=14","0.000194")</f>
        <v>0.000194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HYPERLINK("http://141.218.60.56/~jnz1568/getInfo.php?workbook=16_08.xlsx&amp;sheet=U0&amp;row=7274&amp;col=6&amp;number=4&amp;sourceID=14","4")</f>
        <v>4</v>
      </c>
      <c r="G7274" s="4" t="str">
        <f>HYPERLINK("http://141.218.60.56/~jnz1568/getInfo.php?workbook=16_08.xlsx&amp;sheet=U0&amp;row=7274&amp;col=7&amp;number=0.000194&amp;sourceID=14","0.000194")</f>
        <v>0.000194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HYPERLINK("http://141.218.60.56/~jnz1568/getInfo.php?workbook=16_08.xlsx&amp;sheet=U0&amp;row=7275&amp;col=6&amp;number=4.1&amp;sourceID=14","4.1")</f>
        <v>4.1</v>
      </c>
      <c r="G7275" s="4" t="str">
        <f>HYPERLINK("http://141.218.60.56/~jnz1568/getInfo.php?workbook=16_08.xlsx&amp;sheet=U0&amp;row=7275&amp;col=7&amp;number=0.000194&amp;sourceID=14","0.000194")</f>
        <v>0.000194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HYPERLINK("http://141.218.60.56/~jnz1568/getInfo.php?workbook=16_08.xlsx&amp;sheet=U0&amp;row=7276&amp;col=6&amp;number=4.2&amp;sourceID=14","4.2")</f>
        <v>4.2</v>
      </c>
      <c r="G7276" s="4" t="str">
        <f>HYPERLINK("http://141.218.60.56/~jnz1568/getInfo.php?workbook=16_08.xlsx&amp;sheet=U0&amp;row=7276&amp;col=7&amp;number=0.000194&amp;sourceID=14","0.000194")</f>
        <v>0.000194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HYPERLINK("http://141.218.60.56/~jnz1568/getInfo.php?workbook=16_08.xlsx&amp;sheet=U0&amp;row=7277&amp;col=6&amp;number=4.3&amp;sourceID=14","4.3")</f>
        <v>4.3</v>
      </c>
      <c r="G7277" s="4" t="str">
        <f>HYPERLINK("http://141.218.60.56/~jnz1568/getInfo.php?workbook=16_08.xlsx&amp;sheet=U0&amp;row=7277&amp;col=7&amp;number=0.000194&amp;sourceID=14","0.000194")</f>
        <v>0.000194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HYPERLINK("http://141.218.60.56/~jnz1568/getInfo.php?workbook=16_08.xlsx&amp;sheet=U0&amp;row=7278&amp;col=6&amp;number=4.4&amp;sourceID=14","4.4")</f>
        <v>4.4</v>
      </c>
      <c r="G7278" s="4" t="str">
        <f>HYPERLINK("http://141.218.60.56/~jnz1568/getInfo.php?workbook=16_08.xlsx&amp;sheet=U0&amp;row=7278&amp;col=7&amp;number=0.000194&amp;sourceID=14","0.000194")</f>
        <v>0.000194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HYPERLINK("http://141.218.60.56/~jnz1568/getInfo.php?workbook=16_08.xlsx&amp;sheet=U0&amp;row=7279&amp;col=6&amp;number=4.5&amp;sourceID=14","4.5")</f>
        <v>4.5</v>
      </c>
      <c r="G7279" s="4" t="str">
        <f>HYPERLINK("http://141.218.60.56/~jnz1568/getInfo.php?workbook=16_08.xlsx&amp;sheet=U0&amp;row=7279&amp;col=7&amp;number=0.000194&amp;sourceID=14","0.000194")</f>
        <v>0.000194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HYPERLINK("http://141.218.60.56/~jnz1568/getInfo.php?workbook=16_08.xlsx&amp;sheet=U0&amp;row=7280&amp;col=6&amp;number=4.6&amp;sourceID=14","4.6")</f>
        <v>4.6</v>
      </c>
      <c r="G7280" s="4" t="str">
        <f>HYPERLINK("http://141.218.60.56/~jnz1568/getInfo.php?workbook=16_08.xlsx&amp;sheet=U0&amp;row=7280&amp;col=7&amp;number=0.000193&amp;sourceID=14","0.000193")</f>
        <v>0.000193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HYPERLINK("http://141.218.60.56/~jnz1568/getInfo.php?workbook=16_08.xlsx&amp;sheet=U0&amp;row=7281&amp;col=6&amp;number=4.7&amp;sourceID=14","4.7")</f>
        <v>4.7</v>
      </c>
      <c r="G7281" s="4" t="str">
        <f>HYPERLINK("http://141.218.60.56/~jnz1568/getInfo.php?workbook=16_08.xlsx&amp;sheet=U0&amp;row=7281&amp;col=7&amp;number=0.000193&amp;sourceID=14","0.000193")</f>
        <v>0.000193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HYPERLINK("http://141.218.60.56/~jnz1568/getInfo.php?workbook=16_08.xlsx&amp;sheet=U0&amp;row=7282&amp;col=6&amp;number=4.8&amp;sourceID=14","4.8")</f>
        <v>4.8</v>
      </c>
      <c r="G7282" s="4" t="str">
        <f>HYPERLINK("http://141.218.60.56/~jnz1568/getInfo.php?workbook=16_08.xlsx&amp;sheet=U0&amp;row=7282&amp;col=7&amp;number=0.000192&amp;sourceID=14","0.000192")</f>
        <v>0.000192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HYPERLINK("http://141.218.60.56/~jnz1568/getInfo.php?workbook=16_08.xlsx&amp;sheet=U0&amp;row=7283&amp;col=6&amp;number=4.9&amp;sourceID=14","4.9")</f>
        <v>4.9</v>
      </c>
      <c r="G7283" s="4" t="str">
        <f>HYPERLINK("http://141.218.60.56/~jnz1568/getInfo.php?workbook=16_08.xlsx&amp;sheet=U0&amp;row=7283&amp;col=7&amp;number=0.000192&amp;sourceID=14","0.000192")</f>
        <v>0.000192</v>
      </c>
    </row>
    <row r="7284" spans="1:7">
      <c r="A7284" s="3">
        <v>16</v>
      </c>
      <c r="B7284" s="3">
        <v>8</v>
      </c>
      <c r="C7284" s="3">
        <v>5</v>
      </c>
      <c r="D7284" s="3">
        <v>36</v>
      </c>
      <c r="E7284" s="3">
        <v>1</v>
      </c>
      <c r="F7284" s="4" t="str">
        <f>HYPERLINK("http://141.218.60.56/~jnz1568/getInfo.php?workbook=16_08.xlsx&amp;sheet=U0&amp;row=7284&amp;col=6&amp;number=3&amp;sourceID=14","3")</f>
        <v>3</v>
      </c>
      <c r="G7284" s="4" t="str">
        <f>HYPERLINK("http://141.218.60.56/~jnz1568/getInfo.php?workbook=16_08.xlsx&amp;sheet=U0&amp;row=7284&amp;col=7&amp;number=0.00166&amp;sourceID=14","0.00166")</f>
        <v>0.00166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HYPERLINK("http://141.218.60.56/~jnz1568/getInfo.php?workbook=16_08.xlsx&amp;sheet=U0&amp;row=7285&amp;col=6&amp;number=3.1&amp;sourceID=14","3.1")</f>
        <v>3.1</v>
      </c>
      <c r="G7285" s="4" t="str">
        <f>HYPERLINK("http://141.218.60.56/~jnz1568/getInfo.php?workbook=16_08.xlsx&amp;sheet=U0&amp;row=7285&amp;col=7&amp;number=0.00166&amp;sourceID=14","0.00166")</f>
        <v>0.00166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HYPERLINK("http://141.218.60.56/~jnz1568/getInfo.php?workbook=16_08.xlsx&amp;sheet=U0&amp;row=7286&amp;col=6&amp;number=3.2&amp;sourceID=14","3.2")</f>
        <v>3.2</v>
      </c>
      <c r="G7286" s="4" t="str">
        <f>HYPERLINK("http://141.218.60.56/~jnz1568/getInfo.php?workbook=16_08.xlsx&amp;sheet=U0&amp;row=7286&amp;col=7&amp;number=0.00166&amp;sourceID=14","0.00166")</f>
        <v>0.00166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HYPERLINK("http://141.218.60.56/~jnz1568/getInfo.php?workbook=16_08.xlsx&amp;sheet=U0&amp;row=7287&amp;col=6&amp;number=3.3&amp;sourceID=14","3.3")</f>
        <v>3.3</v>
      </c>
      <c r="G7287" s="4" t="str">
        <f>HYPERLINK("http://141.218.60.56/~jnz1568/getInfo.php?workbook=16_08.xlsx&amp;sheet=U0&amp;row=7287&amp;col=7&amp;number=0.00166&amp;sourceID=14","0.00166")</f>
        <v>0.00166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HYPERLINK("http://141.218.60.56/~jnz1568/getInfo.php?workbook=16_08.xlsx&amp;sheet=U0&amp;row=7288&amp;col=6&amp;number=3.4&amp;sourceID=14","3.4")</f>
        <v>3.4</v>
      </c>
      <c r="G7288" s="4" t="str">
        <f>HYPERLINK("http://141.218.60.56/~jnz1568/getInfo.php?workbook=16_08.xlsx&amp;sheet=U0&amp;row=7288&amp;col=7&amp;number=0.00166&amp;sourceID=14","0.00166")</f>
        <v>0.00166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HYPERLINK("http://141.218.60.56/~jnz1568/getInfo.php?workbook=16_08.xlsx&amp;sheet=U0&amp;row=7289&amp;col=6&amp;number=3.5&amp;sourceID=14","3.5")</f>
        <v>3.5</v>
      </c>
      <c r="G7289" s="4" t="str">
        <f>HYPERLINK("http://141.218.60.56/~jnz1568/getInfo.php?workbook=16_08.xlsx&amp;sheet=U0&amp;row=7289&amp;col=7&amp;number=0.00166&amp;sourceID=14","0.00166")</f>
        <v>0.00166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HYPERLINK("http://141.218.60.56/~jnz1568/getInfo.php?workbook=16_08.xlsx&amp;sheet=U0&amp;row=7290&amp;col=6&amp;number=3.6&amp;sourceID=14","3.6")</f>
        <v>3.6</v>
      </c>
      <c r="G7290" s="4" t="str">
        <f>HYPERLINK("http://141.218.60.56/~jnz1568/getInfo.php?workbook=16_08.xlsx&amp;sheet=U0&amp;row=7290&amp;col=7&amp;number=0.00166&amp;sourceID=14","0.00166")</f>
        <v>0.00166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HYPERLINK("http://141.218.60.56/~jnz1568/getInfo.php?workbook=16_08.xlsx&amp;sheet=U0&amp;row=7291&amp;col=6&amp;number=3.7&amp;sourceID=14","3.7")</f>
        <v>3.7</v>
      </c>
      <c r="G7291" s="4" t="str">
        <f>HYPERLINK("http://141.218.60.56/~jnz1568/getInfo.php?workbook=16_08.xlsx&amp;sheet=U0&amp;row=7291&amp;col=7&amp;number=0.00166&amp;sourceID=14","0.00166")</f>
        <v>0.00166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HYPERLINK("http://141.218.60.56/~jnz1568/getInfo.php?workbook=16_08.xlsx&amp;sheet=U0&amp;row=7292&amp;col=6&amp;number=3.8&amp;sourceID=14","3.8")</f>
        <v>3.8</v>
      </c>
      <c r="G7292" s="4" t="str">
        <f>HYPERLINK("http://141.218.60.56/~jnz1568/getInfo.php?workbook=16_08.xlsx&amp;sheet=U0&amp;row=7292&amp;col=7&amp;number=0.00166&amp;sourceID=14","0.00166")</f>
        <v>0.00166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HYPERLINK("http://141.218.60.56/~jnz1568/getInfo.php?workbook=16_08.xlsx&amp;sheet=U0&amp;row=7293&amp;col=6&amp;number=3.9&amp;sourceID=14","3.9")</f>
        <v>3.9</v>
      </c>
      <c r="G7293" s="4" t="str">
        <f>HYPERLINK("http://141.218.60.56/~jnz1568/getInfo.php?workbook=16_08.xlsx&amp;sheet=U0&amp;row=7293&amp;col=7&amp;number=0.00165&amp;sourceID=14","0.00165")</f>
        <v>0.00165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HYPERLINK("http://141.218.60.56/~jnz1568/getInfo.php?workbook=16_08.xlsx&amp;sheet=U0&amp;row=7294&amp;col=6&amp;number=4&amp;sourceID=14","4")</f>
        <v>4</v>
      </c>
      <c r="G7294" s="4" t="str">
        <f>HYPERLINK("http://141.218.60.56/~jnz1568/getInfo.php?workbook=16_08.xlsx&amp;sheet=U0&amp;row=7294&amp;col=7&amp;number=0.00165&amp;sourceID=14","0.00165")</f>
        <v>0.00165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HYPERLINK("http://141.218.60.56/~jnz1568/getInfo.php?workbook=16_08.xlsx&amp;sheet=U0&amp;row=7295&amp;col=6&amp;number=4.1&amp;sourceID=14","4.1")</f>
        <v>4.1</v>
      </c>
      <c r="G7295" s="4" t="str">
        <f>HYPERLINK("http://141.218.60.56/~jnz1568/getInfo.php?workbook=16_08.xlsx&amp;sheet=U0&amp;row=7295&amp;col=7&amp;number=0.00165&amp;sourceID=14","0.00165")</f>
        <v>0.00165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HYPERLINK("http://141.218.60.56/~jnz1568/getInfo.php?workbook=16_08.xlsx&amp;sheet=U0&amp;row=7296&amp;col=6&amp;number=4.2&amp;sourceID=14","4.2")</f>
        <v>4.2</v>
      </c>
      <c r="G7296" s="4" t="str">
        <f>HYPERLINK("http://141.218.60.56/~jnz1568/getInfo.php?workbook=16_08.xlsx&amp;sheet=U0&amp;row=7296&amp;col=7&amp;number=0.00165&amp;sourceID=14","0.00165")</f>
        <v>0.00165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HYPERLINK("http://141.218.60.56/~jnz1568/getInfo.php?workbook=16_08.xlsx&amp;sheet=U0&amp;row=7297&amp;col=6&amp;number=4.3&amp;sourceID=14","4.3")</f>
        <v>4.3</v>
      </c>
      <c r="G7297" s="4" t="str">
        <f>HYPERLINK("http://141.218.60.56/~jnz1568/getInfo.php?workbook=16_08.xlsx&amp;sheet=U0&amp;row=7297&amp;col=7&amp;number=0.00165&amp;sourceID=14","0.00165")</f>
        <v>0.00165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HYPERLINK("http://141.218.60.56/~jnz1568/getInfo.php?workbook=16_08.xlsx&amp;sheet=U0&amp;row=7298&amp;col=6&amp;number=4.4&amp;sourceID=14","4.4")</f>
        <v>4.4</v>
      </c>
      <c r="G7298" s="4" t="str">
        <f>HYPERLINK("http://141.218.60.56/~jnz1568/getInfo.php?workbook=16_08.xlsx&amp;sheet=U0&amp;row=7298&amp;col=7&amp;number=0.00164&amp;sourceID=14","0.00164")</f>
        <v>0.00164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HYPERLINK("http://141.218.60.56/~jnz1568/getInfo.php?workbook=16_08.xlsx&amp;sheet=U0&amp;row=7299&amp;col=6&amp;number=4.5&amp;sourceID=14","4.5")</f>
        <v>4.5</v>
      </c>
      <c r="G7299" s="4" t="str">
        <f>HYPERLINK("http://141.218.60.56/~jnz1568/getInfo.php?workbook=16_08.xlsx&amp;sheet=U0&amp;row=7299&amp;col=7&amp;number=0.00164&amp;sourceID=14","0.00164")</f>
        <v>0.00164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HYPERLINK("http://141.218.60.56/~jnz1568/getInfo.php?workbook=16_08.xlsx&amp;sheet=U0&amp;row=7300&amp;col=6&amp;number=4.6&amp;sourceID=14","4.6")</f>
        <v>4.6</v>
      </c>
      <c r="G7300" s="4" t="str">
        <f>HYPERLINK("http://141.218.60.56/~jnz1568/getInfo.php?workbook=16_08.xlsx&amp;sheet=U0&amp;row=7300&amp;col=7&amp;number=0.00164&amp;sourceID=14","0.00164")</f>
        <v>0.00164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HYPERLINK("http://141.218.60.56/~jnz1568/getInfo.php?workbook=16_08.xlsx&amp;sheet=U0&amp;row=7301&amp;col=6&amp;number=4.7&amp;sourceID=14","4.7")</f>
        <v>4.7</v>
      </c>
      <c r="G7301" s="4" t="str">
        <f>HYPERLINK("http://141.218.60.56/~jnz1568/getInfo.php?workbook=16_08.xlsx&amp;sheet=U0&amp;row=7301&amp;col=7&amp;number=0.00163&amp;sourceID=14","0.00163")</f>
        <v>0.00163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HYPERLINK("http://141.218.60.56/~jnz1568/getInfo.php?workbook=16_08.xlsx&amp;sheet=U0&amp;row=7302&amp;col=6&amp;number=4.8&amp;sourceID=14","4.8")</f>
        <v>4.8</v>
      </c>
      <c r="G7302" s="4" t="str">
        <f>HYPERLINK("http://141.218.60.56/~jnz1568/getInfo.php?workbook=16_08.xlsx&amp;sheet=U0&amp;row=7302&amp;col=7&amp;number=0.00162&amp;sourceID=14","0.00162")</f>
        <v>0.00162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HYPERLINK("http://141.218.60.56/~jnz1568/getInfo.php?workbook=16_08.xlsx&amp;sheet=U0&amp;row=7303&amp;col=6&amp;number=4.9&amp;sourceID=14","4.9")</f>
        <v>4.9</v>
      </c>
      <c r="G7303" s="4" t="str">
        <f>HYPERLINK("http://141.218.60.56/~jnz1568/getInfo.php?workbook=16_08.xlsx&amp;sheet=U0&amp;row=7303&amp;col=7&amp;number=0.00161&amp;sourceID=14","0.00161")</f>
        <v>0.00161</v>
      </c>
    </row>
    <row r="7304" spans="1:7">
      <c r="A7304" s="3">
        <v>16</v>
      </c>
      <c r="B7304" s="3">
        <v>8</v>
      </c>
      <c r="C7304" s="3">
        <v>5</v>
      </c>
      <c r="D7304" s="3">
        <v>37</v>
      </c>
      <c r="E7304" s="3">
        <v>1</v>
      </c>
      <c r="F7304" s="4" t="str">
        <f>HYPERLINK("http://141.218.60.56/~jnz1568/getInfo.php?workbook=16_08.xlsx&amp;sheet=U0&amp;row=7304&amp;col=6&amp;number=3&amp;sourceID=14","3")</f>
        <v>3</v>
      </c>
      <c r="G7304" s="4" t="str">
        <f>HYPERLINK("http://141.218.60.56/~jnz1568/getInfo.php?workbook=16_08.xlsx&amp;sheet=U0&amp;row=7304&amp;col=7&amp;number=0.000483&amp;sourceID=14","0.000483")</f>
        <v>0.000483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HYPERLINK("http://141.218.60.56/~jnz1568/getInfo.php?workbook=16_08.xlsx&amp;sheet=U0&amp;row=7305&amp;col=6&amp;number=3.1&amp;sourceID=14","3.1")</f>
        <v>3.1</v>
      </c>
      <c r="G7305" s="4" t="str">
        <f>HYPERLINK("http://141.218.60.56/~jnz1568/getInfo.php?workbook=16_08.xlsx&amp;sheet=U0&amp;row=7305&amp;col=7&amp;number=0.000483&amp;sourceID=14","0.000483")</f>
        <v>0.000483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HYPERLINK("http://141.218.60.56/~jnz1568/getInfo.php?workbook=16_08.xlsx&amp;sheet=U0&amp;row=7306&amp;col=6&amp;number=3.2&amp;sourceID=14","3.2")</f>
        <v>3.2</v>
      </c>
      <c r="G7306" s="4" t="str">
        <f>HYPERLINK("http://141.218.60.56/~jnz1568/getInfo.php?workbook=16_08.xlsx&amp;sheet=U0&amp;row=7306&amp;col=7&amp;number=0.000483&amp;sourceID=14","0.000483")</f>
        <v>0.000483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HYPERLINK("http://141.218.60.56/~jnz1568/getInfo.php?workbook=16_08.xlsx&amp;sheet=U0&amp;row=7307&amp;col=6&amp;number=3.3&amp;sourceID=14","3.3")</f>
        <v>3.3</v>
      </c>
      <c r="G7307" s="4" t="str">
        <f>HYPERLINK("http://141.218.60.56/~jnz1568/getInfo.php?workbook=16_08.xlsx&amp;sheet=U0&amp;row=7307&amp;col=7&amp;number=0.000483&amp;sourceID=14","0.000483")</f>
        <v>0.000483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HYPERLINK("http://141.218.60.56/~jnz1568/getInfo.php?workbook=16_08.xlsx&amp;sheet=U0&amp;row=7308&amp;col=6&amp;number=3.4&amp;sourceID=14","3.4")</f>
        <v>3.4</v>
      </c>
      <c r="G7308" s="4" t="str">
        <f>HYPERLINK("http://141.218.60.56/~jnz1568/getInfo.php?workbook=16_08.xlsx&amp;sheet=U0&amp;row=7308&amp;col=7&amp;number=0.000483&amp;sourceID=14","0.000483")</f>
        <v>0.000483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HYPERLINK("http://141.218.60.56/~jnz1568/getInfo.php?workbook=16_08.xlsx&amp;sheet=U0&amp;row=7309&amp;col=6&amp;number=3.5&amp;sourceID=14","3.5")</f>
        <v>3.5</v>
      </c>
      <c r="G7309" s="4" t="str">
        <f>HYPERLINK("http://141.218.60.56/~jnz1568/getInfo.php?workbook=16_08.xlsx&amp;sheet=U0&amp;row=7309&amp;col=7&amp;number=0.000483&amp;sourceID=14","0.000483")</f>
        <v>0.000483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HYPERLINK("http://141.218.60.56/~jnz1568/getInfo.php?workbook=16_08.xlsx&amp;sheet=U0&amp;row=7310&amp;col=6&amp;number=3.6&amp;sourceID=14","3.6")</f>
        <v>3.6</v>
      </c>
      <c r="G7310" s="4" t="str">
        <f>HYPERLINK("http://141.218.60.56/~jnz1568/getInfo.php?workbook=16_08.xlsx&amp;sheet=U0&amp;row=7310&amp;col=7&amp;number=0.000483&amp;sourceID=14","0.000483")</f>
        <v>0.000483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HYPERLINK("http://141.218.60.56/~jnz1568/getInfo.php?workbook=16_08.xlsx&amp;sheet=U0&amp;row=7311&amp;col=6&amp;number=3.7&amp;sourceID=14","3.7")</f>
        <v>3.7</v>
      </c>
      <c r="G7311" s="4" t="str">
        <f>HYPERLINK("http://141.218.60.56/~jnz1568/getInfo.php?workbook=16_08.xlsx&amp;sheet=U0&amp;row=7311&amp;col=7&amp;number=0.000483&amp;sourceID=14","0.000483")</f>
        <v>0.000483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HYPERLINK("http://141.218.60.56/~jnz1568/getInfo.php?workbook=16_08.xlsx&amp;sheet=U0&amp;row=7312&amp;col=6&amp;number=3.8&amp;sourceID=14","3.8")</f>
        <v>3.8</v>
      </c>
      <c r="G7312" s="4" t="str">
        <f>HYPERLINK("http://141.218.60.56/~jnz1568/getInfo.php?workbook=16_08.xlsx&amp;sheet=U0&amp;row=7312&amp;col=7&amp;number=0.000483&amp;sourceID=14","0.000483")</f>
        <v>0.000483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HYPERLINK("http://141.218.60.56/~jnz1568/getInfo.php?workbook=16_08.xlsx&amp;sheet=U0&amp;row=7313&amp;col=6&amp;number=3.9&amp;sourceID=14","3.9")</f>
        <v>3.9</v>
      </c>
      <c r="G7313" s="4" t="str">
        <f>HYPERLINK("http://141.218.60.56/~jnz1568/getInfo.php?workbook=16_08.xlsx&amp;sheet=U0&amp;row=7313&amp;col=7&amp;number=0.000483&amp;sourceID=14","0.000483")</f>
        <v>0.000483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HYPERLINK("http://141.218.60.56/~jnz1568/getInfo.php?workbook=16_08.xlsx&amp;sheet=U0&amp;row=7314&amp;col=6&amp;number=4&amp;sourceID=14","4")</f>
        <v>4</v>
      </c>
      <c r="G7314" s="4" t="str">
        <f>HYPERLINK("http://141.218.60.56/~jnz1568/getInfo.php?workbook=16_08.xlsx&amp;sheet=U0&amp;row=7314&amp;col=7&amp;number=0.000483&amp;sourceID=14","0.000483")</f>
        <v>0.000483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HYPERLINK("http://141.218.60.56/~jnz1568/getInfo.php?workbook=16_08.xlsx&amp;sheet=U0&amp;row=7315&amp;col=6&amp;number=4.1&amp;sourceID=14","4.1")</f>
        <v>4.1</v>
      </c>
      <c r="G7315" s="4" t="str">
        <f>HYPERLINK("http://141.218.60.56/~jnz1568/getInfo.php?workbook=16_08.xlsx&amp;sheet=U0&amp;row=7315&amp;col=7&amp;number=0.000482&amp;sourceID=14","0.000482")</f>
        <v>0.000482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HYPERLINK("http://141.218.60.56/~jnz1568/getInfo.php?workbook=16_08.xlsx&amp;sheet=U0&amp;row=7316&amp;col=6&amp;number=4.2&amp;sourceID=14","4.2")</f>
        <v>4.2</v>
      </c>
      <c r="G7316" s="4" t="str">
        <f>HYPERLINK("http://141.218.60.56/~jnz1568/getInfo.php?workbook=16_08.xlsx&amp;sheet=U0&amp;row=7316&amp;col=7&amp;number=0.000482&amp;sourceID=14","0.000482")</f>
        <v>0.000482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HYPERLINK("http://141.218.60.56/~jnz1568/getInfo.php?workbook=16_08.xlsx&amp;sheet=U0&amp;row=7317&amp;col=6&amp;number=4.3&amp;sourceID=14","4.3")</f>
        <v>4.3</v>
      </c>
      <c r="G7317" s="4" t="str">
        <f>HYPERLINK("http://141.218.60.56/~jnz1568/getInfo.php?workbook=16_08.xlsx&amp;sheet=U0&amp;row=7317&amp;col=7&amp;number=0.000482&amp;sourceID=14","0.000482")</f>
        <v>0.000482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HYPERLINK("http://141.218.60.56/~jnz1568/getInfo.php?workbook=16_08.xlsx&amp;sheet=U0&amp;row=7318&amp;col=6&amp;number=4.4&amp;sourceID=14","4.4")</f>
        <v>4.4</v>
      </c>
      <c r="G7318" s="4" t="str">
        <f>HYPERLINK("http://141.218.60.56/~jnz1568/getInfo.php?workbook=16_08.xlsx&amp;sheet=U0&amp;row=7318&amp;col=7&amp;number=0.000481&amp;sourceID=14","0.000481")</f>
        <v>0.000481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HYPERLINK("http://141.218.60.56/~jnz1568/getInfo.php?workbook=16_08.xlsx&amp;sheet=U0&amp;row=7319&amp;col=6&amp;number=4.5&amp;sourceID=14","4.5")</f>
        <v>4.5</v>
      </c>
      <c r="G7319" s="4" t="str">
        <f>HYPERLINK("http://141.218.60.56/~jnz1568/getInfo.php?workbook=16_08.xlsx&amp;sheet=U0&amp;row=7319&amp;col=7&amp;number=0.000481&amp;sourceID=14","0.000481")</f>
        <v>0.000481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HYPERLINK("http://141.218.60.56/~jnz1568/getInfo.php?workbook=16_08.xlsx&amp;sheet=U0&amp;row=7320&amp;col=6&amp;number=4.6&amp;sourceID=14","4.6")</f>
        <v>4.6</v>
      </c>
      <c r="G7320" s="4" t="str">
        <f>HYPERLINK("http://141.218.60.56/~jnz1568/getInfo.php?workbook=16_08.xlsx&amp;sheet=U0&amp;row=7320&amp;col=7&amp;number=0.00048&amp;sourceID=14","0.00048")</f>
        <v>0.00048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HYPERLINK("http://141.218.60.56/~jnz1568/getInfo.php?workbook=16_08.xlsx&amp;sheet=U0&amp;row=7321&amp;col=6&amp;number=4.7&amp;sourceID=14","4.7")</f>
        <v>4.7</v>
      </c>
      <c r="G7321" s="4" t="str">
        <f>HYPERLINK("http://141.218.60.56/~jnz1568/getInfo.php?workbook=16_08.xlsx&amp;sheet=U0&amp;row=7321&amp;col=7&amp;number=0.000479&amp;sourceID=14","0.000479")</f>
        <v>0.000479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HYPERLINK("http://141.218.60.56/~jnz1568/getInfo.php?workbook=16_08.xlsx&amp;sheet=U0&amp;row=7322&amp;col=6&amp;number=4.8&amp;sourceID=14","4.8")</f>
        <v>4.8</v>
      </c>
      <c r="G7322" s="4" t="str">
        <f>HYPERLINK("http://141.218.60.56/~jnz1568/getInfo.php?workbook=16_08.xlsx&amp;sheet=U0&amp;row=7322&amp;col=7&amp;number=0.000478&amp;sourceID=14","0.000478")</f>
        <v>0.000478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HYPERLINK("http://141.218.60.56/~jnz1568/getInfo.php?workbook=16_08.xlsx&amp;sheet=U0&amp;row=7323&amp;col=6&amp;number=4.9&amp;sourceID=14","4.9")</f>
        <v>4.9</v>
      </c>
      <c r="G7323" s="4" t="str">
        <f>HYPERLINK("http://141.218.60.56/~jnz1568/getInfo.php?workbook=16_08.xlsx&amp;sheet=U0&amp;row=7323&amp;col=7&amp;number=0.000477&amp;sourceID=14","0.000477")</f>
        <v>0.000477</v>
      </c>
    </row>
    <row r="7324" spans="1:7">
      <c r="A7324" s="3">
        <v>16</v>
      </c>
      <c r="B7324" s="3">
        <v>8</v>
      </c>
      <c r="C7324" s="3">
        <v>5</v>
      </c>
      <c r="D7324" s="3">
        <v>38</v>
      </c>
      <c r="E7324" s="3">
        <v>1</v>
      </c>
      <c r="F7324" s="4" t="str">
        <f>HYPERLINK("http://141.218.60.56/~jnz1568/getInfo.php?workbook=16_08.xlsx&amp;sheet=U0&amp;row=7324&amp;col=6&amp;number=3&amp;sourceID=14","3")</f>
        <v>3</v>
      </c>
      <c r="G7324" s="4" t="str">
        <f>HYPERLINK("http://141.218.60.56/~jnz1568/getInfo.php?workbook=16_08.xlsx&amp;sheet=U0&amp;row=7324&amp;col=7&amp;number=1.11e-06&amp;sourceID=14","1.11e-06")</f>
        <v>1.11e-06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HYPERLINK("http://141.218.60.56/~jnz1568/getInfo.php?workbook=16_08.xlsx&amp;sheet=U0&amp;row=7325&amp;col=6&amp;number=3.1&amp;sourceID=14","3.1")</f>
        <v>3.1</v>
      </c>
      <c r="G7325" s="4" t="str">
        <f>HYPERLINK("http://141.218.60.56/~jnz1568/getInfo.php?workbook=16_08.xlsx&amp;sheet=U0&amp;row=7325&amp;col=7&amp;number=1.11e-06&amp;sourceID=14","1.11e-06")</f>
        <v>1.11e-06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HYPERLINK("http://141.218.60.56/~jnz1568/getInfo.php?workbook=16_08.xlsx&amp;sheet=U0&amp;row=7326&amp;col=6&amp;number=3.2&amp;sourceID=14","3.2")</f>
        <v>3.2</v>
      </c>
      <c r="G7326" s="4" t="str">
        <f>HYPERLINK("http://141.218.60.56/~jnz1568/getInfo.php?workbook=16_08.xlsx&amp;sheet=U0&amp;row=7326&amp;col=7&amp;number=1.11e-06&amp;sourceID=14","1.11e-06")</f>
        <v>1.11e-06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HYPERLINK("http://141.218.60.56/~jnz1568/getInfo.php?workbook=16_08.xlsx&amp;sheet=U0&amp;row=7327&amp;col=6&amp;number=3.3&amp;sourceID=14","3.3")</f>
        <v>3.3</v>
      </c>
      <c r="G7327" s="4" t="str">
        <f>HYPERLINK("http://141.218.60.56/~jnz1568/getInfo.php?workbook=16_08.xlsx&amp;sheet=U0&amp;row=7327&amp;col=7&amp;number=1.11e-06&amp;sourceID=14","1.11e-06")</f>
        <v>1.11e-06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HYPERLINK("http://141.218.60.56/~jnz1568/getInfo.php?workbook=16_08.xlsx&amp;sheet=U0&amp;row=7328&amp;col=6&amp;number=3.4&amp;sourceID=14","3.4")</f>
        <v>3.4</v>
      </c>
      <c r="G7328" s="4" t="str">
        <f>HYPERLINK("http://141.218.60.56/~jnz1568/getInfo.php?workbook=16_08.xlsx&amp;sheet=U0&amp;row=7328&amp;col=7&amp;number=1.11e-06&amp;sourceID=14","1.11e-06")</f>
        <v>1.11e-06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HYPERLINK("http://141.218.60.56/~jnz1568/getInfo.php?workbook=16_08.xlsx&amp;sheet=U0&amp;row=7329&amp;col=6&amp;number=3.5&amp;sourceID=14","3.5")</f>
        <v>3.5</v>
      </c>
      <c r="G7329" s="4" t="str">
        <f>HYPERLINK("http://141.218.60.56/~jnz1568/getInfo.php?workbook=16_08.xlsx&amp;sheet=U0&amp;row=7329&amp;col=7&amp;number=1.11e-06&amp;sourceID=14","1.11e-06")</f>
        <v>1.11e-06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HYPERLINK("http://141.218.60.56/~jnz1568/getInfo.php?workbook=16_08.xlsx&amp;sheet=U0&amp;row=7330&amp;col=6&amp;number=3.6&amp;sourceID=14","3.6")</f>
        <v>3.6</v>
      </c>
      <c r="G7330" s="4" t="str">
        <f>HYPERLINK("http://141.218.60.56/~jnz1568/getInfo.php?workbook=16_08.xlsx&amp;sheet=U0&amp;row=7330&amp;col=7&amp;number=1.11e-06&amp;sourceID=14","1.11e-06")</f>
        <v>1.11e-06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HYPERLINK("http://141.218.60.56/~jnz1568/getInfo.php?workbook=16_08.xlsx&amp;sheet=U0&amp;row=7331&amp;col=6&amp;number=3.7&amp;sourceID=14","3.7")</f>
        <v>3.7</v>
      </c>
      <c r="G7331" s="4" t="str">
        <f>HYPERLINK("http://141.218.60.56/~jnz1568/getInfo.php?workbook=16_08.xlsx&amp;sheet=U0&amp;row=7331&amp;col=7&amp;number=1.11e-06&amp;sourceID=14","1.11e-06")</f>
        <v>1.11e-06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HYPERLINK("http://141.218.60.56/~jnz1568/getInfo.php?workbook=16_08.xlsx&amp;sheet=U0&amp;row=7332&amp;col=6&amp;number=3.8&amp;sourceID=14","3.8")</f>
        <v>3.8</v>
      </c>
      <c r="G7332" s="4" t="str">
        <f>HYPERLINK("http://141.218.60.56/~jnz1568/getInfo.php?workbook=16_08.xlsx&amp;sheet=U0&amp;row=7332&amp;col=7&amp;number=1.11e-06&amp;sourceID=14","1.11e-06")</f>
        <v>1.11e-06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HYPERLINK("http://141.218.60.56/~jnz1568/getInfo.php?workbook=16_08.xlsx&amp;sheet=U0&amp;row=7333&amp;col=6&amp;number=3.9&amp;sourceID=14","3.9")</f>
        <v>3.9</v>
      </c>
      <c r="G7333" s="4" t="str">
        <f>HYPERLINK("http://141.218.60.56/~jnz1568/getInfo.php?workbook=16_08.xlsx&amp;sheet=U0&amp;row=7333&amp;col=7&amp;number=1.11e-06&amp;sourceID=14","1.11e-06")</f>
        <v>1.11e-06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HYPERLINK("http://141.218.60.56/~jnz1568/getInfo.php?workbook=16_08.xlsx&amp;sheet=U0&amp;row=7334&amp;col=6&amp;number=4&amp;sourceID=14","4")</f>
        <v>4</v>
      </c>
      <c r="G7334" s="4" t="str">
        <f>HYPERLINK("http://141.218.60.56/~jnz1568/getInfo.php?workbook=16_08.xlsx&amp;sheet=U0&amp;row=7334&amp;col=7&amp;number=1.11e-06&amp;sourceID=14","1.11e-06")</f>
        <v>1.11e-06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HYPERLINK("http://141.218.60.56/~jnz1568/getInfo.php?workbook=16_08.xlsx&amp;sheet=U0&amp;row=7335&amp;col=6&amp;number=4.1&amp;sourceID=14","4.1")</f>
        <v>4.1</v>
      </c>
      <c r="G7335" s="4" t="str">
        <f>HYPERLINK("http://141.218.60.56/~jnz1568/getInfo.php?workbook=16_08.xlsx&amp;sheet=U0&amp;row=7335&amp;col=7&amp;number=1.11e-06&amp;sourceID=14","1.11e-06")</f>
        <v>1.11e-06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HYPERLINK("http://141.218.60.56/~jnz1568/getInfo.php?workbook=16_08.xlsx&amp;sheet=U0&amp;row=7336&amp;col=6&amp;number=4.2&amp;sourceID=14","4.2")</f>
        <v>4.2</v>
      </c>
      <c r="G7336" s="4" t="str">
        <f>HYPERLINK("http://141.218.60.56/~jnz1568/getInfo.php?workbook=16_08.xlsx&amp;sheet=U0&amp;row=7336&amp;col=7&amp;number=1.1e-06&amp;sourceID=14","1.1e-06")</f>
        <v>1.1e-06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HYPERLINK("http://141.218.60.56/~jnz1568/getInfo.php?workbook=16_08.xlsx&amp;sheet=U0&amp;row=7337&amp;col=6&amp;number=4.3&amp;sourceID=14","4.3")</f>
        <v>4.3</v>
      </c>
      <c r="G7337" s="4" t="str">
        <f>HYPERLINK("http://141.218.60.56/~jnz1568/getInfo.php?workbook=16_08.xlsx&amp;sheet=U0&amp;row=7337&amp;col=7&amp;number=1.1e-06&amp;sourceID=14","1.1e-06")</f>
        <v>1.1e-06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HYPERLINK("http://141.218.60.56/~jnz1568/getInfo.php?workbook=16_08.xlsx&amp;sheet=U0&amp;row=7338&amp;col=6&amp;number=4.4&amp;sourceID=14","4.4")</f>
        <v>4.4</v>
      </c>
      <c r="G7338" s="4" t="str">
        <f>HYPERLINK("http://141.218.60.56/~jnz1568/getInfo.php?workbook=16_08.xlsx&amp;sheet=U0&amp;row=7338&amp;col=7&amp;number=1.1e-06&amp;sourceID=14","1.1e-06")</f>
        <v>1.1e-06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HYPERLINK("http://141.218.60.56/~jnz1568/getInfo.php?workbook=16_08.xlsx&amp;sheet=U0&amp;row=7339&amp;col=6&amp;number=4.5&amp;sourceID=14","4.5")</f>
        <v>4.5</v>
      </c>
      <c r="G7339" s="4" t="str">
        <f>HYPERLINK("http://141.218.60.56/~jnz1568/getInfo.php?workbook=16_08.xlsx&amp;sheet=U0&amp;row=7339&amp;col=7&amp;number=1.1e-06&amp;sourceID=14","1.1e-06")</f>
        <v>1.1e-06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HYPERLINK("http://141.218.60.56/~jnz1568/getInfo.php?workbook=16_08.xlsx&amp;sheet=U0&amp;row=7340&amp;col=6&amp;number=4.6&amp;sourceID=14","4.6")</f>
        <v>4.6</v>
      </c>
      <c r="G7340" s="4" t="str">
        <f>HYPERLINK("http://141.218.60.56/~jnz1568/getInfo.php?workbook=16_08.xlsx&amp;sheet=U0&amp;row=7340&amp;col=7&amp;number=1.1e-06&amp;sourceID=14","1.1e-06")</f>
        <v>1.1e-06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HYPERLINK("http://141.218.60.56/~jnz1568/getInfo.php?workbook=16_08.xlsx&amp;sheet=U0&amp;row=7341&amp;col=6&amp;number=4.7&amp;sourceID=14","4.7")</f>
        <v>4.7</v>
      </c>
      <c r="G7341" s="4" t="str">
        <f>HYPERLINK("http://141.218.60.56/~jnz1568/getInfo.php?workbook=16_08.xlsx&amp;sheet=U0&amp;row=7341&amp;col=7&amp;number=1.1e-06&amp;sourceID=14","1.1e-06")</f>
        <v>1.1e-06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HYPERLINK("http://141.218.60.56/~jnz1568/getInfo.php?workbook=16_08.xlsx&amp;sheet=U0&amp;row=7342&amp;col=6&amp;number=4.8&amp;sourceID=14","4.8")</f>
        <v>4.8</v>
      </c>
      <c r="G7342" s="4" t="str">
        <f>HYPERLINK("http://141.218.60.56/~jnz1568/getInfo.php?workbook=16_08.xlsx&amp;sheet=U0&amp;row=7342&amp;col=7&amp;number=1.09e-06&amp;sourceID=14","1.09e-06")</f>
        <v>1.09e-06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HYPERLINK("http://141.218.60.56/~jnz1568/getInfo.php?workbook=16_08.xlsx&amp;sheet=U0&amp;row=7343&amp;col=6&amp;number=4.9&amp;sourceID=14","4.9")</f>
        <v>4.9</v>
      </c>
      <c r="G7343" s="4" t="str">
        <f>HYPERLINK("http://141.218.60.56/~jnz1568/getInfo.php?workbook=16_08.xlsx&amp;sheet=U0&amp;row=7343&amp;col=7&amp;number=1.09e-06&amp;sourceID=14","1.09e-06")</f>
        <v>1.09e-06</v>
      </c>
    </row>
    <row r="7344" spans="1:7">
      <c r="A7344" s="3">
        <v>16</v>
      </c>
      <c r="B7344" s="3">
        <v>8</v>
      </c>
      <c r="C7344" s="3">
        <v>5</v>
      </c>
      <c r="D7344" s="3">
        <v>39</v>
      </c>
      <c r="E7344" s="3">
        <v>1</v>
      </c>
      <c r="F7344" s="4" t="str">
        <f>HYPERLINK("http://141.218.60.56/~jnz1568/getInfo.php?workbook=16_08.xlsx&amp;sheet=U0&amp;row=7344&amp;col=6&amp;number=3&amp;sourceID=14","3")</f>
        <v>3</v>
      </c>
      <c r="G7344" s="4" t="str">
        <f>HYPERLINK("http://141.218.60.56/~jnz1568/getInfo.php?workbook=16_08.xlsx&amp;sheet=U0&amp;row=7344&amp;col=7&amp;number=2.62e-06&amp;sourceID=14","2.62e-06")</f>
        <v>2.62e-06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HYPERLINK("http://141.218.60.56/~jnz1568/getInfo.php?workbook=16_08.xlsx&amp;sheet=U0&amp;row=7345&amp;col=6&amp;number=3.1&amp;sourceID=14","3.1")</f>
        <v>3.1</v>
      </c>
      <c r="G7345" s="4" t="str">
        <f>HYPERLINK("http://141.218.60.56/~jnz1568/getInfo.php?workbook=16_08.xlsx&amp;sheet=U0&amp;row=7345&amp;col=7&amp;number=2.62e-06&amp;sourceID=14","2.62e-06")</f>
        <v>2.62e-06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HYPERLINK("http://141.218.60.56/~jnz1568/getInfo.php?workbook=16_08.xlsx&amp;sheet=U0&amp;row=7346&amp;col=6&amp;number=3.2&amp;sourceID=14","3.2")</f>
        <v>3.2</v>
      </c>
      <c r="G7346" s="4" t="str">
        <f>HYPERLINK("http://141.218.60.56/~jnz1568/getInfo.php?workbook=16_08.xlsx&amp;sheet=U0&amp;row=7346&amp;col=7&amp;number=2.62e-06&amp;sourceID=14","2.62e-06")</f>
        <v>2.62e-06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HYPERLINK("http://141.218.60.56/~jnz1568/getInfo.php?workbook=16_08.xlsx&amp;sheet=U0&amp;row=7347&amp;col=6&amp;number=3.3&amp;sourceID=14","3.3")</f>
        <v>3.3</v>
      </c>
      <c r="G7347" s="4" t="str">
        <f>HYPERLINK("http://141.218.60.56/~jnz1568/getInfo.php?workbook=16_08.xlsx&amp;sheet=U0&amp;row=7347&amp;col=7&amp;number=2.62e-06&amp;sourceID=14","2.62e-06")</f>
        <v>2.62e-06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HYPERLINK("http://141.218.60.56/~jnz1568/getInfo.php?workbook=16_08.xlsx&amp;sheet=U0&amp;row=7348&amp;col=6&amp;number=3.4&amp;sourceID=14","3.4")</f>
        <v>3.4</v>
      </c>
      <c r="G7348" s="4" t="str">
        <f>HYPERLINK("http://141.218.60.56/~jnz1568/getInfo.php?workbook=16_08.xlsx&amp;sheet=U0&amp;row=7348&amp;col=7&amp;number=2.62e-06&amp;sourceID=14","2.62e-06")</f>
        <v>2.62e-06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HYPERLINK("http://141.218.60.56/~jnz1568/getInfo.php?workbook=16_08.xlsx&amp;sheet=U0&amp;row=7349&amp;col=6&amp;number=3.5&amp;sourceID=14","3.5")</f>
        <v>3.5</v>
      </c>
      <c r="G7349" s="4" t="str">
        <f>HYPERLINK("http://141.218.60.56/~jnz1568/getInfo.php?workbook=16_08.xlsx&amp;sheet=U0&amp;row=7349&amp;col=7&amp;number=2.62e-06&amp;sourceID=14","2.62e-06")</f>
        <v>2.62e-06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HYPERLINK("http://141.218.60.56/~jnz1568/getInfo.php?workbook=16_08.xlsx&amp;sheet=U0&amp;row=7350&amp;col=6&amp;number=3.6&amp;sourceID=14","3.6")</f>
        <v>3.6</v>
      </c>
      <c r="G7350" s="4" t="str">
        <f>HYPERLINK("http://141.218.60.56/~jnz1568/getInfo.php?workbook=16_08.xlsx&amp;sheet=U0&amp;row=7350&amp;col=7&amp;number=2.62e-06&amp;sourceID=14","2.62e-06")</f>
        <v>2.62e-06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HYPERLINK("http://141.218.60.56/~jnz1568/getInfo.php?workbook=16_08.xlsx&amp;sheet=U0&amp;row=7351&amp;col=6&amp;number=3.7&amp;sourceID=14","3.7")</f>
        <v>3.7</v>
      </c>
      <c r="G7351" s="4" t="str">
        <f>HYPERLINK("http://141.218.60.56/~jnz1568/getInfo.php?workbook=16_08.xlsx&amp;sheet=U0&amp;row=7351&amp;col=7&amp;number=2.62e-06&amp;sourceID=14","2.62e-06")</f>
        <v>2.62e-06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HYPERLINK("http://141.218.60.56/~jnz1568/getInfo.php?workbook=16_08.xlsx&amp;sheet=U0&amp;row=7352&amp;col=6&amp;number=3.8&amp;sourceID=14","3.8")</f>
        <v>3.8</v>
      </c>
      <c r="G7352" s="4" t="str">
        <f>HYPERLINK("http://141.218.60.56/~jnz1568/getInfo.php?workbook=16_08.xlsx&amp;sheet=U0&amp;row=7352&amp;col=7&amp;number=2.62e-06&amp;sourceID=14","2.62e-06")</f>
        <v>2.62e-06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HYPERLINK("http://141.218.60.56/~jnz1568/getInfo.php?workbook=16_08.xlsx&amp;sheet=U0&amp;row=7353&amp;col=6&amp;number=3.9&amp;sourceID=14","3.9")</f>
        <v>3.9</v>
      </c>
      <c r="G7353" s="4" t="str">
        <f>HYPERLINK("http://141.218.60.56/~jnz1568/getInfo.php?workbook=16_08.xlsx&amp;sheet=U0&amp;row=7353&amp;col=7&amp;number=2.62e-06&amp;sourceID=14","2.62e-06")</f>
        <v>2.62e-06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HYPERLINK("http://141.218.60.56/~jnz1568/getInfo.php?workbook=16_08.xlsx&amp;sheet=U0&amp;row=7354&amp;col=6&amp;number=4&amp;sourceID=14","4")</f>
        <v>4</v>
      </c>
      <c r="G7354" s="4" t="str">
        <f>HYPERLINK("http://141.218.60.56/~jnz1568/getInfo.php?workbook=16_08.xlsx&amp;sheet=U0&amp;row=7354&amp;col=7&amp;number=2.62e-06&amp;sourceID=14","2.62e-06")</f>
        <v>2.62e-06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HYPERLINK("http://141.218.60.56/~jnz1568/getInfo.php?workbook=16_08.xlsx&amp;sheet=U0&amp;row=7355&amp;col=6&amp;number=4.1&amp;sourceID=14","4.1")</f>
        <v>4.1</v>
      </c>
      <c r="G7355" s="4" t="str">
        <f>HYPERLINK("http://141.218.60.56/~jnz1568/getInfo.php?workbook=16_08.xlsx&amp;sheet=U0&amp;row=7355&amp;col=7&amp;number=2.62e-06&amp;sourceID=14","2.62e-06")</f>
        <v>2.62e-06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HYPERLINK("http://141.218.60.56/~jnz1568/getInfo.php?workbook=16_08.xlsx&amp;sheet=U0&amp;row=7356&amp;col=6&amp;number=4.2&amp;sourceID=14","4.2")</f>
        <v>4.2</v>
      </c>
      <c r="G7356" s="4" t="str">
        <f>HYPERLINK("http://141.218.60.56/~jnz1568/getInfo.php?workbook=16_08.xlsx&amp;sheet=U0&amp;row=7356&amp;col=7&amp;number=2.61e-06&amp;sourceID=14","2.61e-06")</f>
        <v>2.61e-06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HYPERLINK("http://141.218.60.56/~jnz1568/getInfo.php?workbook=16_08.xlsx&amp;sheet=U0&amp;row=7357&amp;col=6&amp;number=4.3&amp;sourceID=14","4.3")</f>
        <v>4.3</v>
      </c>
      <c r="G7357" s="4" t="str">
        <f>HYPERLINK("http://141.218.60.56/~jnz1568/getInfo.php?workbook=16_08.xlsx&amp;sheet=U0&amp;row=7357&amp;col=7&amp;number=2.61e-06&amp;sourceID=14","2.61e-06")</f>
        <v>2.61e-06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HYPERLINK("http://141.218.60.56/~jnz1568/getInfo.php?workbook=16_08.xlsx&amp;sheet=U0&amp;row=7358&amp;col=6&amp;number=4.4&amp;sourceID=14","4.4")</f>
        <v>4.4</v>
      </c>
      <c r="G7358" s="4" t="str">
        <f>HYPERLINK("http://141.218.60.56/~jnz1568/getInfo.php?workbook=16_08.xlsx&amp;sheet=U0&amp;row=7358&amp;col=7&amp;number=2.61e-06&amp;sourceID=14","2.61e-06")</f>
        <v>2.61e-06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HYPERLINK("http://141.218.60.56/~jnz1568/getInfo.php?workbook=16_08.xlsx&amp;sheet=U0&amp;row=7359&amp;col=6&amp;number=4.5&amp;sourceID=14","4.5")</f>
        <v>4.5</v>
      </c>
      <c r="G7359" s="4" t="str">
        <f>HYPERLINK("http://141.218.60.56/~jnz1568/getInfo.php?workbook=16_08.xlsx&amp;sheet=U0&amp;row=7359&amp;col=7&amp;number=2.61e-06&amp;sourceID=14","2.61e-06")</f>
        <v>2.61e-06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HYPERLINK("http://141.218.60.56/~jnz1568/getInfo.php?workbook=16_08.xlsx&amp;sheet=U0&amp;row=7360&amp;col=6&amp;number=4.6&amp;sourceID=14","4.6")</f>
        <v>4.6</v>
      </c>
      <c r="G7360" s="4" t="str">
        <f>HYPERLINK("http://141.218.60.56/~jnz1568/getInfo.php?workbook=16_08.xlsx&amp;sheet=U0&amp;row=7360&amp;col=7&amp;number=2.6e-06&amp;sourceID=14","2.6e-06")</f>
        <v>2.6e-06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HYPERLINK("http://141.218.60.56/~jnz1568/getInfo.php?workbook=16_08.xlsx&amp;sheet=U0&amp;row=7361&amp;col=6&amp;number=4.7&amp;sourceID=14","4.7")</f>
        <v>4.7</v>
      </c>
      <c r="G7361" s="4" t="str">
        <f>HYPERLINK("http://141.218.60.56/~jnz1568/getInfo.php?workbook=16_08.xlsx&amp;sheet=U0&amp;row=7361&amp;col=7&amp;number=2.59e-06&amp;sourceID=14","2.59e-06")</f>
        <v>2.59e-06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HYPERLINK("http://141.218.60.56/~jnz1568/getInfo.php?workbook=16_08.xlsx&amp;sheet=U0&amp;row=7362&amp;col=6&amp;number=4.8&amp;sourceID=14","4.8")</f>
        <v>4.8</v>
      </c>
      <c r="G7362" s="4" t="str">
        <f>HYPERLINK("http://141.218.60.56/~jnz1568/getInfo.php?workbook=16_08.xlsx&amp;sheet=U0&amp;row=7362&amp;col=7&amp;number=2.59e-06&amp;sourceID=14","2.59e-06")</f>
        <v>2.59e-06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HYPERLINK("http://141.218.60.56/~jnz1568/getInfo.php?workbook=16_08.xlsx&amp;sheet=U0&amp;row=7363&amp;col=6&amp;number=4.9&amp;sourceID=14","4.9")</f>
        <v>4.9</v>
      </c>
      <c r="G7363" s="4" t="str">
        <f>HYPERLINK("http://141.218.60.56/~jnz1568/getInfo.php?workbook=16_08.xlsx&amp;sheet=U0&amp;row=7363&amp;col=7&amp;number=2.58e-06&amp;sourceID=14","2.58e-06")</f>
        <v>2.58e-06</v>
      </c>
    </row>
    <row r="7364" spans="1:7">
      <c r="A7364" s="3">
        <v>16</v>
      </c>
      <c r="B7364" s="3">
        <v>8</v>
      </c>
      <c r="C7364" s="3">
        <v>5</v>
      </c>
      <c r="D7364" s="3">
        <v>40</v>
      </c>
      <c r="E7364" s="3">
        <v>1</v>
      </c>
      <c r="F7364" s="4" t="str">
        <f>HYPERLINK("http://141.218.60.56/~jnz1568/getInfo.php?workbook=16_08.xlsx&amp;sheet=U0&amp;row=7364&amp;col=6&amp;number=3&amp;sourceID=14","3")</f>
        <v>3</v>
      </c>
      <c r="G7364" s="4" t="str">
        <f>HYPERLINK("http://141.218.60.56/~jnz1568/getInfo.php?workbook=16_08.xlsx&amp;sheet=U0&amp;row=7364&amp;col=7&amp;number=3.46e-06&amp;sourceID=14","3.46e-06")</f>
        <v>3.46e-06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HYPERLINK("http://141.218.60.56/~jnz1568/getInfo.php?workbook=16_08.xlsx&amp;sheet=U0&amp;row=7365&amp;col=6&amp;number=3.1&amp;sourceID=14","3.1")</f>
        <v>3.1</v>
      </c>
      <c r="G7365" s="4" t="str">
        <f>HYPERLINK("http://141.218.60.56/~jnz1568/getInfo.php?workbook=16_08.xlsx&amp;sheet=U0&amp;row=7365&amp;col=7&amp;number=3.46e-06&amp;sourceID=14","3.46e-06")</f>
        <v>3.46e-06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HYPERLINK("http://141.218.60.56/~jnz1568/getInfo.php?workbook=16_08.xlsx&amp;sheet=U0&amp;row=7366&amp;col=6&amp;number=3.2&amp;sourceID=14","3.2")</f>
        <v>3.2</v>
      </c>
      <c r="G7366" s="4" t="str">
        <f>HYPERLINK("http://141.218.60.56/~jnz1568/getInfo.php?workbook=16_08.xlsx&amp;sheet=U0&amp;row=7366&amp;col=7&amp;number=3.46e-06&amp;sourceID=14","3.46e-06")</f>
        <v>3.46e-06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HYPERLINK("http://141.218.60.56/~jnz1568/getInfo.php?workbook=16_08.xlsx&amp;sheet=U0&amp;row=7367&amp;col=6&amp;number=3.3&amp;sourceID=14","3.3")</f>
        <v>3.3</v>
      </c>
      <c r="G7367" s="4" t="str">
        <f>HYPERLINK("http://141.218.60.56/~jnz1568/getInfo.php?workbook=16_08.xlsx&amp;sheet=U0&amp;row=7367&amp;col=7&amp;number=3.46e-06&amp;sourceID=14","3.46e-06")</f>
        <v>3.46e-06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HYPERLINK("http://141.218.60.56/~jnz1568/getInfo.php?workbook=16_08.xlsx&amp;sheet=U0&amp;row=7368&amp;col=6&amp;number=3.4&amp;sourceID=14","3.4")</f>
        <v>3.4</v>
      </c>
      <c r="G7368" s="4" t="str">
        <f>HYPERLINK("http://141.218.60.56/~jnz1568/getInfo.php?workbook=16_08.xlsx&amp;sheet=U0&amp;row=7368&amp;col=7&amp;number=3.46e-06&amp;sourceID=14","3.46e-06")</f>
        <v>3.46e-06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HYPERLINK("http://141.218.60.56/~jnz1568/getInfo.php?workbook=16_08.xlsx&amp;sheet=U0&amp;row=7369&amp;col=6&amp;number=3.5&amp;sourceID=14","3.5")</f>
        <v>3.5</v>
      </c>
      <c r="G7369" s="4" t="str">
        <f>HYPERLINK("http://141.218.60.56/~jnz1568/getInfo.php?workbook=16_08.xlsx&amp;sheet=U0&amp;row=7369&amp;col=7&amp;number=3.46e-06&amp;sourceID=14","3.46e-06")</f>
        <v>3.46e-06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HYPERLINK("http://141.218.60.56/~jnz1568/getInfo.php?workbook=16_08.xlsx&amp;sheet=U0&amp;row=7370&amp;col=6&amp;number=3.6&amp;sourceID=14","3.6")</f>
        <v>3.6</v>
      </c>
      <c r="G7370" s="4" t="str">
        <f>HYPERLINK("http://141.218.60.56/~jnz1568/getInfo.php?workbook=16_08.xlsx&amp;sheet=U0&amp;row=7370&amp;col=7&amp;number=3.46e-06&amp;sourceID=14","3.46e-06")</f>
        <v>3.46e-06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HYPERLINK("http://141.218.60.56/~jnz1568/getInfo.php?workbook=16_08.xlsx&amp;sheet=U0&amp;row=7371&amp;col=6&amp;number=3.7&amp;sourceID=14","3.7")</f>
        <v>3.7</v>
      </c>
      <c r="G7371" s="4" t="str">
        <f>HYPERLINK("http://141.218.60.56/~jnz1568/getInfo.php?workbook=16_08.xlsx&amp;sheet=U0&amp;row=7371&amp;col=7&amp;number=3.45e-06&amp;sourceID=14","3.45e-06")</f>
        <v>3.45e-06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HYPERLINK("http://141.218.60.56/~jnz1568/getInfo.php?workbook=16_08.xlsx&amp;sheet=U0&amp;row=7372&amp;col=6&amp;number=3.8&amp;sourceID=14","3.8")</f>
        <v>3.8</v>
      </c>
      <c r="G7372" s="4" t="str">
        <f>HYPERLINK("http://141.218.60.56/~jnz1568/getInfo.php?workbook=16_08.xlsx&amp;sheet=U0&amp;row=7372&amp;col=7&amp;number=3.45e-06&amp;sourceID=14","3.45e-06")</f>
        <v>3.45e-06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HYPERLINK("http://141.218.60.56/~jnz1568/getInfo.php?workbook=16_08.xlsx&amp;sheet=U0&amp;row=7373&amp;col=6&amp;number=3.9&amp;sourceID=14","3.9")</f>
        <v>3.9</v>
      </c>
      <c r="G7373" s="4" t="str">
        <f>HYPERLINK("http://141.218.60.56/~jnz1568/getInfo.php?workbook=16_08.xlsx&amp;sheet=U0&amp;row=7373&amp;col=7&amp;number=3.45e-06&amp;sourceID=14","3.45e-06")</f>
        <v>3.45e-06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HYPERLINK("http://141.218.60.56/~jnz1568/getInfo.php?workbook=16_08.xlsx&amp;sheet=U0&amp;row=7374&amp;col=6&amp;number=4&amp;sourceID=14","4")</f>
        <v>4</v>
      </c>
      <c r="G7374" s="4" t="str">
        <f>HYPERLINK("http://141.218.60.56/~jnz1568/getInfo.php?workbook=16_08.xlsx&amp;sheet=U0&amp;row=7374&amp;col=7&amp;number=3.45e-06&amp;sourceID=14","3.45e-06")</f>
        <v>3.45e-06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HYPERLINK("http://141.218.60.56/~jnz1568/getInfo.php?workbook=16_08.xlsx&amp;sheet=U0&amp;row=7375&amp;col=6&amp;number=4.1&amp;sourceID=14","4.1")</f>
        <v>4.1</v>
      </c>
      <c r="G7375" s="4" t="str">
        <f>HYPERLINK("http://141.218.60.56/~jnz1568/getInfo.php?workbook=16_08.xlsx&amp;sheet=U0&amp;row=7375&amp;col=7&amp;number=3.44e-06&amp;sourceID=14","3.44e-06")</f>
        <v>3.44e-06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HYPERLINK("http://141.218.60.56/~jnz1568/getInfo.php?workbook=16_08.xlsx&amp;sheet=U0&amp;row=7376&amp;col=6&amp;number=4.2&amp;sourceID=14","4.2")</f>
        <v>4.2</v>
      </c>
      <c r="G7376" s="4" t="str">
        <f>HYPERLINK("http://141.218.60.56/~jnz1568/getInfo.php?workbook=16_08.xlsx&amp;sheet=U0&amp;row=7376&amp;col=7&amp;number=3.44e-06&amp;sourceID=14","3.44e-06")</f>
        <v>3.44e-06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HYPERLINK("http://141.218.60.56/~jnz1568/getInfo.php?workbook=16_08.xlsx&amp;sheet=U0&amp;row=7377&amp;col=6&amp;number=4.3&amp;sourceID=14","4.3")</f>
        <v>4.3</v>
      </c>
      <c r="G7377" s="4" t="str">
        <f>HYPERLINK("http://141.218.60.56/~jnz1568/getInfo.php?workbook=16_08.xlsx&amp;sheet=U0&amp;row=7377&amp;col=7&amp;number=3.43e-06&amp;sourceID=14","3.43e-06")</f>
        <v>3.43e-06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HYPERLINK("http://141.218.60.56/~jnz1568/getInfo.php?workbook=16_08.xlsx&amp;sheet=U0&amp;row=7378&amp;col=6&amp;number=4.4&amp;sourceID=14","4.4")</f>
        <v>4.4</v>
      </c>
      <c r="G7378" s="4" t="str">
        <f>HYPERLINK("http://141.218.60.56/~jnz1568/getInfo.php?workbook=16_08.xlsx&amp;sheet=U0&amp;row=7378&amp;col=7&amp;number=3.42e-06&amp;sourceID=14","3.42e-06")</f>
        <v>3.42e-06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HYPERLINK("http://141.218.60.56/~jnz1568/getInfo.php?workbook=16_08.xlsx&amp;sheet=U0&amp;row=7379&amp;col=6&amp;number=4.5&amp;sourceID=14","4.5")</f>
        <v>4.5</v>
      </c>
      <c r="G7379" s="4" t="str">
        <f>HYPERLINK("http://141.218.60.56/~jnz1568/getInfo.php?workbook=16_08.xlsx&amp;sheet=U0&amp;row=7379&amp;col=7&amp;number=3.41e-06&amp;sourceID=14","3.41e-06")</f>
        <v>3.41e-06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HYPERLINK("http://141.218.60.56/~jnz1568/getInfo.php?workbook=16_08.xlsx&amp;sheet=U0&amp;row=7380&amp;col=6&amp;number=4.6&amp;sourceID=14","4.6")</f>
        <v>4.6</v>
      </c>
      <c r="G7380" s="4" t="str">
        <f>HYPERLINK("http://141.218.60.56/~jnz1568/getInfo.php?workbook=16_08.xlsx&amp;sheet=U0&amp;row=7380&amp;col=7&amp;number=3.4e-06&amp;sourceID=14","3.4e-06")</f>
        <v>3.4e-06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HYPERLINK("http://141.218.60.56/~jnz1568/getInfo.php?workbook=16_08.xlsx&amp;sheet=U0&amp;row=7381&amp;col=6&amp;number=4.7&amp;sourceID=14","4.7")</f>
        <v>4.7</v>
      </c>
      <c r="G7381" s="4" t="str">
        <f>HYPERLINK("http://141.218.60.56/~jnz1568/getInfo.php?workbook=16_08.xlsx&amp;sheet=U0&amp;row=7381&amp;col=7&amp;number=3.38e-06&amp;sourceID=14","3.38e-06")</f>
        <v>3.38e-06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HYPERLINK("http://141.218.60.56/~jnz1568/getInfo.php?workbook=16_08.xlsx&amp;sheet=U0&amp;row=7382&amp;col=6&amp;number=4.8&amp;sourceID=14","4.8")</f>
        <v>4.8</v>
      </c>
      <c r="G7382" s="4" t="str">
        <f>HYPERLINK("http://141.218.60.56/~jnz1568/getInfo.php?workbook=16_08.xlsx&amp;sheet=U0&amp;row=7382&amp;col=7&amp;number=3.36e-06&amp;sourceID=14","3.36e-06")</f>
        <v>3.36e-06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HYPERLINK("http://141.218.60.56/~jnz1568/getInfo.php?workbook=16_08.xlsx&amp;sheet=U0&amp;row=7383&amp;col=6&amp;number=4.9&amp;sourceID=14","4.9")</f>
        <v>4.9</v>
      </c>
      <c r="G7383" s="4" t="str">
        <f>HYPERLINK("http://141.218.60.56/~jnz1568/getInfo.php?workbook=16_08.xlsx&amp;sheet=U0&amp;row=7383&amp;col=7&amp;number=3.33e-06&amp;sourceID=14","3.33e-06")</f>
        <v>3.33e-06</v>
      </c>
    </row>
    <row r="7384" spans="1:7">
      <c r="A7384" s="3">
        <v>16</v>
      </c>
      <c r="B7384" s="3">
        <v>8</v>
      </c>
      <c r="C7384" s="3">
        <v>5</v>
      </c>
      <c r="D7384" s="3">
        <v>41</v>
      </c>
      <c r="E7384" s="3">
        <v>1</v>
      </c>
      <c r="F7384" s="4" t="str">
        <f>HYPERLINK("http://141.218.60.56/~jnz1568/getInfo.php?workbook=16_08.xlsx&amp;sheet=U0&amp;row=7384&amp;col=6&amp;number=3&amp;sourceID=14","3")</f>
        <v>3</v>
      </c>
      <c r="G7384" s="4" t="str">
        <f>HYPERLINK("http://141.218.60.56/~jnz1568/getInfo.php?workbook=16_08.xlsx&amp;sheet=U0&amp;row=7384&amp;col=7&amp;number=1.62e-06&amp;sourceID=14","1.62e-06")</f>
        <v>1.62e-06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HYPERLINK("http://141.218.60.56/~jnz1568/getInfo.php?workbook=16_08.xlsx&amp;sheet=U0&amp;row=7385&amp;col=6&amp;number=3.1&amp;sourceID=14","3.1")</f>
        <v>3.1</v>
      </c>
      <c r="G7385" s="4" t="str">
        <f>HYPERLINK("http://141.218.60.56/~jnz1568/getInfo.php?workbook=16_08.xlsx&amp;sheet=U0&amp;row=7385&amp;col=7&amp;number=1.62e-06&amp;sourceID=14","1.62e-06")</f>
        <v>1.62e-06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HYPERLINK("http://141.218.60.56/~jnz1568/getInfo.php?workbook=16_08.xlsx&amp;sheet=U0&amp;row=7386&amp;col=6&amp;number=3.2&amp;sourceID=14","3.2")</f>
        <v>3.2</v>
      </c>
      <c r="G7386" s="4" t="str">
        <f>HYPERLINK("http://141.218.60.56/~jnz1568/getInfo.php?workbook=16_08.xlsx&amp;sheet=U0&amp;row=7386&amp;col=7&amp;number=1.62e-06&amp;sourceID=14","1.62e-06")</f>
        <v>1.62e-06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HYPERLINK("http://141.218.60.56/~jnz1568/getInfo.php?workbook=16_08.xlsx&amp;sheet=U0&amp;row=7387&amp;col=6&amp;number=3.3&amp;sourceID=14","3.3")</f>
        <v>3.3</v>
      </c>
      <c r="G7387" s="4" t="str">
        <f>HYPERLINK("http://141.218.60.56/~jnz1568/getInfo.php?workbook=16_08.xlsx&amp;sheet=U0&amp;row=7387&amp;col=7&amp;number=1.62e-06&amp;sourceID=14","1.62e-06")</f>
        <v>1.62e-06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HYPERLINK("http://141.218.60.56/~jnz1568/getInfo.php?workbook=16_08.xlsx&amp;sheet=U0&amp;row=7388&amp;col=6&amp;number=3.4&amp;sourceID=14","3.4")</f>
        <v>3.4</v>
      </c>
      <c r="G7388" s="4" t="str">
        <f>HYPERLINK("http://141.218.60.56/~jnz1568/getInfo.php?workbook=16_08.xlsx&amp;sheet=U0&amp;row=7388&amp;col=7&amp;number=1.62e-06&amp;sourceID=14","1.62e-06")</f>
        <v>1.62e-06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HYPERLINK("http://141.218.60.56/~jnz1568/getInfo.php?workbook=16_08.xlsx&amp;sheet=U0&amp;row=7389&amp;col=6&amp;number=3.5&amp;sourceID=14","3.5")</f>
        <v>3.5</v>
      </c>
      <c r="G7389" s="4" t="str">
        <f>HYPERLINK("http://141.218.60.56/~jnz1568/getInfo.php?workbook=16_08.xlsx&amp;sheet=U0&amp;row=7389&amp;col=7&amp;number=1.62e-06&amp;sourceID=14","1.62e-06")</f>
        <v>1.62e-06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HYPERLINK("http://141.218.60.56/~jnz1568/getInfo.php?workbook=16_08.xlsx&amp;sheet=U0&amp;row=7390&amp;col=6&amp;number=3.6&amp;sourceID=14","3.6")</f>
        <v>3.6</v>
      </c>
      <c r="G7390" s="4" t="str">
        <f>HYPERLINK("http://141.218.60.56/~jnz1568/getInfo.php?workbook=16_08.xlsx&amp;sheet=U0&amp;row=7390&amp;col=7&amp;number=1.62e-06&amp;sourceID=14","1.62e-06")</f>
        <v>1.62e-06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HYPERLINK("http://141.218.60.56/~jnz1568/getInfo.php?workbook=16_08.xlsx&amp;sheet=U0&amp;row=7391&amp;col=6&amp;number=3.7&amp;sourceID=14","3.7")</f>
        <v>3.7</v>
      </c>
      <c r="G7391" s="4" t="str">
        <f>HYPERLINK("http://141.218.60.56/~jnz1568/getInfo.php?workbook=16_08.xlsx&amp;sheet=U0&amp;row=7391&amp;col=7&amp;number=1.62e-06&amp;sourceID=14","1.62e-06")</f>
        <v>1.62e-06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HYPERLINK("http://141.218.60.56/~jnz1568/getInfo.php?workbook=16_08.xlsx&amp;sheet=U0&amp;row=7392&amp;col=6&amp;number=3.8&amp;sourceID=14","3.8")</f>
        <v>3.8</v>
      </c>
      <c r="G7392" s="4" t="str">
        <f>HYPERLINK("http://141.218.60.56/~jnz1568/getInfo.php?workbook=16_08.xlsx&amp;sheet=U0&amp;row=7392&amp;col=7&amp;number=1.62e-06&amp;sourceID=14","1.62e-06")</f>
        <v>1.62e-06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HYPERLINK("http://141.218.60.56/~jnz1568/getInfo.php?workbook=16_08.xlsx&amp;sheet=U0&amp;row=7393&amp;col=6&amp;number=3.9&amp;sourceID=14","3.9")</f>
        <v>3.9</v>
      </c>
      <c r="G7393" s="4" t="str">
        <f>HYPERLINK("http://141.218.60.56/~jnz1568/getInfo.php?workbook=16_08.xlsx&amp;sheet=U0&amp;row=7393&amp;col=7&amp;number=1.62e-06&amp;sourceID=14","1.62e-06")</f>
        <v>1.62e-06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HYPERLINK("http://141.218.60.56/~jnz1568/getInfo.php?workbook=16_08.xlsx&amp;sheet=U0&amp;row=7394&amp;col=6&amp;number=4&amp;sourceID=14","4")</f>
        <v>4</v>
      </c>
      <c r="G7394" s="4" t="str">
        <f>HYPERLINK("http://141.218.60.56/~jnz1568/getInfo.php?workbook=16_08.xlsx&amp;sheet=U0&amp;row=7394&amp;col=7&amp;number=1.62e-06&amp;sourceID=14","1.62e-06")</f>
        <v>1.62e-06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HYPERLINK("http://141.218.60.56/~jnz1568/getInfo.php?workbook=16_08.xlsx&amp;sheet=U0&amp;row=7395&amp;col=6&amp;number=4.1&amp;sourceID=14","4.1")</f>
        <v>4.1</v>
      </c>
      <c r="G7395" s="4" t="str">
        <f>HYPERLINK("http://141.218.60.56/~jnz1568/getInfo.php?workbook=16_08.xlsx&amp;sheet=U0&amp;row=7395&amp;col=7&amp;number=1.62e-06&amp;sourceID=14","1.62e-06")</f>
        <v>1.62e-06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HYPERLINK("http://141.218.60.56/~jnz1568/getInfo.php?workbook=16_08.xlsx&amp;sheet=U0&amp;row=7396&amp;col=6&amp;number=4.2&amp;sourceID=14","4.2")</f>
        <v>4.2</v>
      </c>
      <c r="G7396" s="4" t="str">
        <f>HYPERLINK("http://141.218.60.56/~jnz1568/getInfo.php?workbook=16_08.xlsx&amp;sheet=U0&amp;row=7396&amp;col=7&amp;number=1.62e-06&amp;sourceID=14","1.62e-06")</f>
        <v>1.62e-06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HYPERLINK("http://141.218.60.56/~jnz1568/getInfo.php?workbook=16_08.xlsx&amp;sheet=U0&amp;row=7397&amp;col=6&amp;number=4.3&amp;sourceID=14","4.3")</f>
        <v>4.3</v>
      </c>
      <c r="G7397" s="4" t="str">
        <f>HYPERLINK("http://141.218.60.56/~jnz1568/getInfo.php?workbook=16_08.xlsx&amp;sheet=U0&amp;row=7397&amp;col=7&amp;number=1.61e-06&amp;sourceID=14","1.61e-06")</f>
        <v>1.61e-06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HYPERLINK("http://141.218.60.56/~jnz1568/getInfo.php?workbook=16_08.xlsx&amp;sheet=U0&amp;row=7398&amp;col=6&amp;number=4.4&amp;sourceID=14","4.4")</f>
        <v>4.4</v>
      </c>
      <c r="G7398" s="4" t="str">
        <f>HYPERLINK("http://141.218.60.56/~jnz1568/getInfo.php?workbook=16_08.xlsx&amp;sheet=U0&amp;row=7398&amp;col=7&amp;number=1.61e-06&amp;sourceID=14","1.61e-06")</f>
        <v>1.61e-06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HYPERLINK("http://141.218.60.56/~jnz1568/getInfo.php?workbook=16_08.xlsx&amp;sheet=U0&amp;row=7399&amp;col=6&amp;number=4.5&amp;sourceID=14","4.5")</f>
        <v>4.5</v>
      </c>
      <c r="G7399" s="4" t="str">
        <f>HYPERLINK("http://141.218.60.56/~jnz1568/getInfo.php?workbook=16_08.xlsx&amp;sheet=U0&amp;row=7399&amp;col=7&amp;number=1.61e-06&amp;sourceID=14","1.61e-06")</f>
        <v>1.61e-06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HYPERLINK("http://141.218.60.56/~jnz1568/getInfo.php?workbook=16_08.xlsx&amp;sheet=U0&amp;row=7400&amp;col=6&amp;number=4.6&amp;sourceID=14","4.6")</f>
        <v>4.6</v>
      </c>
      <c r="G7400" s="4" t="str">
        <f>HYPERLINK("http://141.218.60.56/~jnz1568/getInfo.php?workbook=16_08.xlsx&amp;sheet=U0&amp;row=7400&amp;col=7&amp;number=1.6e-06&amp;sourceID=14","1.6e-06")</f>
        <v>1.6e-06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HYPERLINK("http://141.218.60.56/~jnz1568/getInfo.php?workbook=16_08.xlsx&amp;sheet=U0&amp;row=7401&amp;col=6&amp;number=4.7&amp;sourceID=14","4.7")</f>
        <v>4.7</v>
      </c>
      <c r="G7401" s="4" t="str">
        <f>HYPERLINK("http://141.218.60.56/~jnz1568/getInfo.php?workbook=16_08.xlsx&amp;sheet=U0&amp;row=7401&amp;col=7&amp;number=1.6e-06&amp;sourceID=14","1.6e-06")</f>
        <v>1.6e-06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HYPERLINK("http://141.218.60.56/~jnz1568/getInfo.php?workbook=16_08.xlsx&amp;sheet=U0&amp;row=7402&amp;col=6&amp;number=4.8&amp;sourceID=14","4.8")</f>
        <v>4.8</v>
      </c>
      <c r="G7402" s="4" t="str">
        <f>HYPERLINK("http://141.218.60.56/~jnz1568/getInfo.php?workbook=16_08.xlsx&amp;sheet=U0&amp;row=7402&amp;col=7&amp;number=1.59e-06&amp;sourceID=14","1.59e-06")</f>
        <v>1.59e-06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HYPERLINK("http://141.218.60.56/~jnz1568/getInfo.php?workbook=16_08.xlsx&amp;sheet=U0&amp;row=7403&amp;col=6&amp;number=4.9&amp;sourceID=14","4.9")</f>
        <v>4.9</v>
      </c>
      <c r="G7403" s="4" t="str">
        <f>HYPERLINK("http://141.218.60.56/~jnz1568/getInfo.php?workbook=16_08.xlsx&amp;sheet=U0&amp;row=7403&amp;col=7&amp;number=1.59e-06&amp;sourceID=14","1.59e-06")</f>
        <v>1.59e-06</v>
      </c>
    </row>
    <row r="7404" spans="1:7">
      <c r="A7404" s="3">
        <v>16</v>
      </c>
      <c r="B7404" s="3">
        <v>8</v>
      </c>
      <c r="C7404" s="3">
        <v>5</v>
      </c>
      <c r="D7404" s="3">
        <v>42</v>
      </c>
      <c r="E7404" s="3">
        <v>1</v>
      </c>
      <c r="F7404" s="4" t="str">
        <f>HYPERLINK("http://141.218.60.56/~jnz1568/getInfo.php?workbook=16_08.xlsx&amp;sheet=U0&amp;row=7404&amp;col=6&amp;number=3&amp;sourceID=14","3")</f>
        <v>3</v>
      </c>
      <c r="G7404" s="4" t="str">
        <f>HYPERLINK("http://141.218.60.56/~jnz1568/getInfo.php?workbook=16_08.xlsx&amp;sheet=U0&amp;row=7404&amp;col=7&amp;number=3.8e-06&amp;sourceID=14","3.8e-06")</f>
        <v>3.8e-06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HYPERLINK("http://141.218.60.56/~jnz1568/getInfo.php?workbook=16_08.xlsx&amp;sheet=U0&amp;row=7405&amp;col=6&amp;number=3.1&amp;sourceID=14","3.1")</f>
        <v>3.1</v>
      </c>
      <c r="G7405" s="4" t="str">
        <f>HYPERLINK("http://141.218.60.56/~jnz1568/getInfo.php?workbook=16_08.xlsx&amp;sheet=U0&amp;row=7405&amp;col=7&amp;number=3.8e-06&amp;sourceID=14","3.8e-06")</f>
        <v>3.8e-06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HYPERLINK("http://141.218.60.56/~jnz1568/getInfo.php?workbook=16_08.xlsx&amp;sheet=U0&amp;row=7406&amp;col=6&amp;number=3.2&amp;sourceID=14","3.2")</f>
        <v>3.2</v>
      </c>
      <c r="G7406" s="4" t="str">
        <f>HYPERLINK("http://141.218.60.56/~jnz1568/getInfo.php?workbook=16_08.xlsx&amp;sheet=U0&amp;row=7406&amp;col=7&amp;number=3.8e-06&amp;sourceID=14","3.8e-06")</f>
        <v>3.8e-06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HYPERLINK("http://141.218.60.56/~jnz1568/getInfo.php?workbook=16_08.xlsx&amp;sheet=U0&amp;row=7407&amp;col=6&amp;number=3.3&amp;sourceID=14","3.3")</f>
        <v>3.3</v>
      </c>
      <c r="G7407" s="4" t="str">
        <f>HYPERLINK("http://141.218.60.56/~jnz1568/getInfo.php?workbook=16_08.xlsx&amp;sheet=U0&amp;row=7407&amp;col=7&amp;number=3.8e-06&amp;sourceID=14","3.8e-06")</f>
        <v>3.8e-06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HYPERLINK("http://141.218.60.56/~jnz1568/getInfo.php?workbook=16_08.xlsx&amp;sheet=U0&amp;row=7408&amp;col=6&amp;number=3.4&amp;sourceID=14","3.4")</f>
        <v>3.4</v>
      </c>
      <c r="G7408" s="4" t="str">
        <f>HYPERLINK("http://141.218.60.56/~jnz1568/getInfo.php?workbook=16_08.xlsx&amp;sheet=U0&amp;row=7408&amp;col=7&amp;number=3.8e-06&amp;sourceID=14","3.8e-06")</f>
        <v>3.8e-06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HYPERLINK("http://141.218.60.56/~jnz1568/getInfo.php?workbook=16_08.xlsx&amp;sheet=U0&amp;row=7409&amp;col=6&amp;number=3.5&amp;sourceID=14","3.5")</f>
        <v>3.5</v>
      </c>
      <c r="G7409" s="4" t="str">
        <f>HYPERLINK("http://141.218.60.56/~jnz1568/getInfo.php?workbook=16_08.xlsx&amp;sheet=U0&amp;row=7409&amp;col=7&amp;number=3.8e-06&amp;sourceID=14","3.8e-06")</f>
        <v>3.8e-06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HYPERLINK("http://141.218.60.56/~jnz1568/getInfo.php?workbook=16_08.xlsx&amp;sheet=U0&amp;row=7410&amp;col=6&amp;number=3.6&amp;sourceID=14","3.6")</f>
        <v>3.6</v>
      </c>
      <c r="G7410" s="4" t="str">
        <f>HYPERLINK("http://141.218.60.56/~jnz1568/getInfo.php?workbook=16_08.xlsx&amp;sheet=U0&amp;row=7410&amp;col=7&amp;number=3.79e-06&amp;sourceID=14","3.79e-06")</f>
        <v>3.79e-06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HYPERLINK("http://141.218.60.56/~jnz1568/getInfo.php?workbook=16_08.xlsx&amp;sheet=U0&amp;row=7411&amp;col=6&amp;number=3.7&amp;sourceID=14","3.7")</f>
        <v>3.7</v>
      </c>
      <c r="G7411" s="4" t="str">
        <f>HYPERLINK("http://141.218.60.56/~jnz1568/getInfo.php?workbook=16_08.xlsx&amp;sheet=U0&amp;row=7411&amp;col=7&amp;number=3.79e-06&amp;sourceID=14","3.79e-06")</f>
        <v>3.79e-06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HYPERLINK("http://141.218.60.56/~jnz1568/getInfo.php?workbook=16_08.xlsx&amp;sheet=U0&amp;row=7412&amp;col=6&amp;number=3.8&amp;sourceID=14","3.8")</f>
        <v>3.8</v>
      </c>
      <c r="G7412" s="4" t="str">
        <f>HYPERLINK("http://141.218.60.56/~jnz1568/getInfo.php?workbook=16_08.xlsx&amp;sheet=U0&amp;row=7412&amp;col=7&amp;number=3.79e-06&amp;sourceID=14","3.79e-06")</f>
        <v>3.79e-06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HYPERLINK("http://141.218.60.56/~jnz1568/getInfo.php?workbook=16_08.xlsx&amp;sheet=U0&amp;row=7413&amp;col=6&amp;number=3.9&amp;sourceID=14","3.9")</f>
        <v>3.9</v>
      </c>
      <c r="G7413" s="4" t="str">
        <f>HYPERLINK("http://141.218.60.56/~jnz1568/getInfo.php?workbook=16_08.xlsx&amp;sheet=U0&amp;row=7413&amp;col=7&amp;number=3.79e-06&amp;sourceID=14","3.79e-06")</f>
        <v>3.79e-06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HYPERLINK("http://141.218.60.56/~jnz1568/getInfo.php?workbook=16_08.xlsx&amp;sheet=U0&amp;row=7414&amp;col=6&amp;number=4&amp;sourceID=14","4")</f>
        <v>4</v>
      </c>
      <c r="G7414" s="4" t="str">
        <f>HYPERLINK("http://141.218.60.56/~jnz1568/getInfo.php?workbook=16_08.xlsx&amp;sheet=U0&amp;row=7414&amp;col=7&amp;number=3.78e-06&amp;sourceID=14","3.78e-06")</f>
        <v>3.78e-06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HYPERLINK("http://141.218.60.56/~jnz1568/getInfo.php?workbook=16_08.xlsx&amp;sheet=U0&amp;row=7415&amp;col=6&amp;number=4.1&amp;sourceID=14","4.1")</f>
        <v>4.1</v>
      </c>
      <c r="G7415" s="4" t="str">
        <f>HYPERLINK("http://141.218.60.56/~jnz1568/getInfo.php?workbook=16_08.xlsx&amp;sheet=U0&amp;row=7415&amp;col=7&amp;number=3.78e-06&amp;sourceID=14","3.78e-06")</f>
        <v>3.78e-06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HYPERLINK("http://141.218.60.56/~jnz1568/getInfo.php?workbook=16_08.xlsx&amp;sheet=U0&amp;row=7416&amp;col=6&amp;number=4.2&amp;sourceID=14","4.2")</f>
        <v>4.2</v>
      </c>
      <c r="G7416" s="4" t="str">
        <f>HYPERLINK("http://141.218.60.56/~jnz1568/getInfo.php?workbook=16_08.xlsx&amp;sheet=U0&amp;row=7416&amp;col=7&amp;number=3.77e-06&amp;sourceID=14","3.77e-06")</f>
        <v>3.77e-06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HYPERLINK("http://141.218.60.56/~jnz1568/getInfo.php?workbook=16_08.xlsx&amp;sheet=U0&amp;row=7417&amp;col=6&amp;number=4.3&amp;sourceID=14","4.3")</f>
        <v>4.3</v>
      </c>
      <c r="G7417" s="4" t="str">
        <f>HYPERLINK("http://141.218.60.56/~jnz1568/getInfo.php?workbook=16_08.xlsx&amp;sheet=U0&amp;row=7417&amp;col=7&amp;number=3.76e-06&amp;sourceID=14","3.76e-06")</f>
        <v>3.76e-06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HYPERLINK("http://141.218.60.56/~jnz1568/getInfo.php?workbook=16_08.xlsx&amp;sheet=U0&amp;row=7418&amp;col=6&amp;number=4.4&amp;sourceID=14","4.4")</f>
        <v>4.4</v>
      </c>
      <c r="G7418" s="4" t="str">
        <f>HYPERLINK("http://141.218.60.56/~jnz1568/getInfo.php?workbook=16_08.xlsx&amp;sheet=U0&amp;row=7418&amp;col=7&amp;number=3.75e-06&amp;sourceID=14","3.75e-06")</f>
        <v>3.75e-06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HYPERLINK("http://141.218.60.56/~jnz1568/getInfo.php?workbook=16_08.xlsx&amp;sheet=U0&amp;row=7419&amp;col=6&amp;number=4.5&amp;sourceID=14","4.5")</f>
        <v>4.5</v>
      </c>
      <c r="G7419" s="4" t="str">
        <f>HYPERLINK("http://141.218.60.56/~jnz1568/getInfo.php?workbook=16_08.xlsx&amp;sheet=U0&amp;row=7419&amp;col=7&amp;number=3.74e-06&amp;sourceID=14","3.74e-06")</f>
        <v>3.74e-06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HYPERLINK("http://141.218.60.56/~jnz1568/getInfo.php?workbook=16_08.xlsx&amp;sheet=U0&amp;row=7420&amp;col=6&amp;number=4.6&amp;sourceID=14","4.6")</f>
        <v>4.6</v>
      </c>
      <c r="G7420" s="4" t="str">
        <f>HYPERLINK("http://141.218.60.56/~jnz1568/getInfo.php?workbook=16_08.xlsx&amp;sheet=U0&amp;row=7420&amp;col=7&amp;number=3.73e-06&amp;sourceID=14","3.73e-06")</f>
        <v>3.73e-06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HYPERLINK("http://141.218.60.56/~jnz1568/getInfo.php?workbook=16_08.xlsx&amp;sheet=U0&amp;row=7421&amp;col=6&amp;number=4.7&amp;sourceID=14","4.7")</f>
        <v>4.7</v>
      </c>
      <c r="G7421" s="4" t="str">
        <f>HYPERLINK("http://141.218.60.56/~jnz1568/getInfo.php?workbook=16_08.xlsx&amp;sheet=U0&amp;row=7421&amp;col=7&amp;number=3.71e-06&amp;sourceID=14","3.71e-06")</f>
        <v>3.71e-06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HYPERLINK("http://141.218.60.56/~jnz1568/getInfo.php?workbook=16_08.xlsx&amp;sheet=U0&amp;row=7422&amp;col=6&amp;number=4.8&amp;sourceID=14","4.8")</f>
        <v>4.8</v>
      </c>
      <c r="G7422" s="4" t="str">
        <f>HYPERLINK("http://141.218.60.56/~jnz1568/getInfo.php?workbook=16_08.xlsx&amp;sheet=U0&amp;row=7422&amp;col=7&amp;number=3.68e-06&amp;sourceID=14","3.68e-06")</f>
        <v>3.68e-06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HYPERLINK("http://141.218.60.56/~jnz1568/getInfo.php?workbook=16_08.xlsx&amp;sheet=U0&amp;row=7423&amp;col=6&amp;number=4.9&amp;sourceID=14","4.9")</f>
        <v>4.9</v>
      </c>
      <c r="G7423" s="4" t="str">
        <f>HYPERLINK("http://141.218.60.56/~jnz1568/getInfo.php?workbook=16_08.xlsx&amp;sheet=U0&amp;row=7423&amp;col=7&amp;number=3.65e-06&amp;sourceID=14","3.65e-06")</f>
        <v>3.65e-06</v>
      </c>
    </row>
    <row r="7424" spans="1:7">
      <c r="A7424" s="3">
        <v>16</v>
      </c>
      <c r="B7424" s="3">
        <v>8</v>
      </c>
      <c r="C7424" s="3">
        <v>5</v>
      </c>
      <c r="D7424" s="3">
        <v>43</v>
      </c>
      <c r="E7424" s="3">
        <v>1</v>
      </c>
      <c r="F7424" s="4" t="str">
        <f>HYPERLINK("http://141.218.60.56/~jnz1568/getInfo.php?workbook=16_08.xlsx&amp;sheet=U0&amp;row=7424&amp;col=6&amp;number=3&amp;sourceID=14","3")</f>
        <v>3</v>
      </c>
      <c r="G7424" s="4" t="str">
        <f>HYPERLINK("http://141.218.60.56/~jnz1568/getInfo.php?workbook=16_08.xlsx&amp;sheet=U0&amp;row=7424&amp;col=7&amp;number=0.00896&amp;sourceID=14","0.00896")</f>
        <v>0.00896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HYPERLINK("http://141.218.60.56/~jnz1568/getInfo.php?workbook=16_08.xlsx&amp;sheet=U0&amp;row=7425&amp;col=6&amp;number=3.1&amp;sourceID=14","3.1")</f>
        <v>3.1</v>
      </c>
      <c r="G7425" s="4" t="str">
        <f>HYPERLINK("http://141.218.60.56/~jnz1568/getInfo.php?workbook=16_08.xlsx&amp;sheet=U0&amp;row=7425&amp;col=7&amp;number=0.00896&amp;sourceID=14","0.00896")</f>
        <v>0.00896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HYPERLINK("http://141.218.60.56/~jnz1568/getInfo.php?workbook=16_08.xlsx&amp;sheet=U0&amp;row=7426&amp;col=6&amp;number=3.2&amp;sourceID=14","3.2")</f>
        <v>3.2</v>
      </c>
      <c r="G7426" s="4" t="str">
        <f>HYPERLINK("http://141.218.60.56/~jnz1568/getInfo.php?workbook=16_08.xlsx&amp;sheet=U0&amp;row=7426&amp;col=7&amp;number=0.00896&amp;sourceID=14","0.00896")</f>
        <v>0.00896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HYPERLINK("http://141.218.60.56/~jnz1568/getInfo.php?workbook=16_08.xlsx&amp;sheet=U0&amp;row=7427&amp;col=6&amp;number=3.3&amp;sourceID=14","3.3")</f>
        <v>3.3</v>
      </c>
      <c r="G7427" s="4" t="str">
        <f>HYPERLINK("http://141.218.60.56/~jnz1568/getInfo.php?workbook=16_08.xlsx&amp;sheet=U0&amp;row=7427&amp;col=7&amp;number=0.00896&amp;sourceID=14","0.00896")</f>
        <v>0.00896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HYPERLINK("http://141.218.60.56/~jnz1568/getInfo.php?workbook=16_08.xlsx&amp;sheet=U0&amp;row=7428&amp;col=6&amp;number=3.4&amp;sourceID=14","3.4")</f>
        <v>3.4</v>
      </c>
      <c r="G7428" s="4" t="str">
        <f>HYPERLINK("http://141.218.60.56/~jnz1568/getInfo.php?workbook=16_08.xlsx&amp;sheet=U0&amp;row=7428&amp;col=7&amp;number=0.00896&amp;sourceID=14","0.00896")</f>
        <v>0.00896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HYPERLINK("http://141.218.60.56/~jnz1568/getInfo.php?workbook=16_08.xlsx&amp;sheet=U0&amp;row=7429&amp;col=6&amp;number=3.5&amp;sourceID=14","3.5")</f>
        <v>3.5</v>
      </c>
      <c r="G7429" s="4" t="str">
        <f>HYPERLINK("http://141.218.60.56/~jnz1568/getInfo.php?workbook=16_08.xlsx&amp;sheet=U0&amp;row=7429&amp;col=7&amp;number=0.00896&amp;sourceID=14","0.00896")</f>
        <v>0.00896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HYPERLINK("http://141.218.60.56/~jnz1568/getInfo.php?workbook=16_08.xlsx&amp;sheet=U0&amp;row=7430&amp;col=6&amp;number=3.6&amp;sourceID=14","3.6")</f>
        <v>3.6</v>
      </c>
      <c r="G7430" s="4" t="str">
        <f>HYPERLINK("http://141.218.60.56/~jnz1568/getInfo.php?workbook=16_08.xlsx&amp;sheet=U0&amp;row=7430&amp;col=7&amp;number=0.00895&amp;sourceID=14","0.00895")</f>
        <v>0.00895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HYPERLINK("http://141.218.60.56/~jnz1568/getInfo.php?workbook=16_08.xlsx&amp;sheet=U0&amp;row=7431&amp;col=6&amp;number=3.7&amp;sourceID=14","3.7")</f>
        <v>3.7</v>
      </c>
      <c r="G7431" s="4" t="str">
        <f>HYPERLINK("http://141.218.60.56/~jnz1568/getInfo.php?workbook=16_08.xlsx&amp;sheet=U0&amp;row=7431&amp;col=7&amp;number=0.00895&amp;sourceID=14","0.00895")</f>
        <v>0.00895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HYPERLINK("http://141.218.60.56/~jnz1568/getInfo.php?workbook=16_08.xlsx&amp;sheet=U0&amp;row=7432&amp;col=6&amp;number=3.8&amp;sourceID=14","3.8")</f>
        <v>3.8</v>
      </c>
      <c r="G7432" s="4" t="str">
        <f>HYPERLINK("http://141.218.60.56/~jnz1568/getInfo.php?workbook=16_08.xlsx&amp;sheet=U0&amp;row=7432&amp;col=7&amp;number=0.00895&amp;sourceID=14","0.00895")</f>
        <v>0.00895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HYPERLINK("http://141.218.60.56/~jnz1568/getInfo.php?workbook=16_08.xlsx&amp;sheet=U0&amp;row=7433&amp;col=6&amp;number=3.9&amp;sourceID=14","3.9")</f>
        <v>3.9</v>
      </c>
      <c r="G7433" s="4" t="str">
        <f>HYPERLINK("http://141.218.60.56/~jnz1568/getInfo.php?workbook=16_08.xlsx&amp;sheet=U0&amp;row=7433&amp;col=7&amp;number=0.00895&amp;sourceID=14","0.00895")</f>
        <v>0.00895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HYPERLINK("http://141.218.60.56/~jnz1568/getInfo.php?workbook=16_08.xlsx&amp;sheet=U0&amp;row=7434&amp;col=6&amp;number=4&amp;sourceID=14","4")</f>
        <v>4</v>
      </c>
      <c r="G7434" s="4" t="str">
        <f>HYPERLINK("http://141.218.60.56/~jnz1568/getInfo.php?workbook=16_08.xlsx&amp;sheet=U0&amp;row=7434&amp;col=7&amp;number=0.00894&amp;sourceID=14","0.00894")</f>
        <v>0.00894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HYPERLINK("http://141.218.60.56/~jnz1568/getInfo.php?workbook=16_08.xlsx&amp;sheet=U0&amp;row=7435&amp;col=6&amp;number=4.1&amp;sourceID=14","4.1")</f>
        <v>4.1</v>
      </c>
      <c r="G7435" s="4" t="str">
        <f>HYPERLINK("http://141.218.60.56/~jnz1568/getInfo.php?workbook=16_08.xlsx&amp;sheet=U0&amp;row=7435&amp;col=7&amp;number=0.00894&amp;sourceID=14","0.00894")</f>
        <v>0.00894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HYPERLINK("http://141.218.60.56/~jnz1568/getInfo.php?workbook=16_08.xlsx&amp;sheet=U0&amp;row=7436&amp;col=6&amp;number=4.2&amp;sourceID=14","4.2")</f>
        <v>4.2</v>
      </c>
      <c r="G7436" s="4" t="str">
        <f>HYPERLINK("http://141.218.60.56/~jnz1568/getInfo.php?workbook=16_08.xlsx&amp;sheet=U0&amp;row=7436&amp;col=7&amp;number=0.00893&amp;sourceID=14","0.00893")</f>
        <v>0.00893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HYPERLINK("http://141.218.60.56/~jnz1568/getInfo.php?workbook=16_08.xlsx&amp;sheet=U0&amp;row=7437&amp;col=6&amp;number=4.3&amp;sourceID=14","4.3")</f>
        <v>4.3</v>
      </c>
      <c r="G7437" s="4" t="str">
        <f>HYPERLINK("http://141.218.60.56/~jnz1568/getInfo.php?workbook=16_08.xlsx&amp;sheet=U0&amp;row=7437&amp;col=7&amp;number=0.00892&amp;sourceID=14","0.00892")</f>
        <v>0.00892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HYPERLINK("http://141.218.60.56/~jnz1568/getInfo.php?workbook=16_08.xlsx&amp;sheet=U0&amp;row=7438&amp;col=6&amp;number=4.4&amp;sourceID=14","4.4")</f>
        <v>4.4</v>
      </c>
      <c r="G7438" s="4" t="str">
        <f>HYPERLINK("http://141.218.60.56/~jnz1568/getInfo.php?workbook=16_08.xlsx&amp;sheet=U0&amp;row=7438&amp;col=7&amp;number=0.00891&amp;sourceID=14","0.00891")</f>
        <v>0.00891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HYPERLINK("http://141.218.60.56/~jnz1568/getInfo.php?workbook=16_08.xlsx&amp;sheet=U0&amp;row=7439&amp;col=6&amp;number=4.5&amp;sourceID=14","4.5")</f>
        <v>4.5</v>
      </c>
      <c r="G7439" s="4" t="str">
        <f>HYPERLINK("http://141.218.60.56/~jnz1568/getInfo.php?workbook=16_08.xlsx&amp;sheet=U0&amp;row=7439&amp;col=7&amp;number=0.0089&amp;sourceID=14","0.0089")</f>
        <v>0.0089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HYPERLINK("http://141.218.60.56/~jnz1568/getInfo.php?workbook=16_08.xlsx&amp;sheet=U0&amp;row=7440&amp;col=6&amp;number=4.6&amp;sourceID=14","4.6")</f>
        <v>4.6</v>
      </c>
      <c r="G7440" s="4" t="str">
        <f>HYPERLINK("http://141.218.60.56/~jnz1568/getInfo.php?workbook=16_08.xlsx&amp;sheet=U0&amp;row=7440&amp;col=7&amp;number=0.00888&amp;sourceID=14","0.00888")</f>
        <v>0.00888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HYPERLINK("http://141.218.60.56/~jnz1568/getInfo.php?workbook=16_08.xlsx&amp;sheet=U0&amp;row=7441&amp;col=6&amp;number=4.7&amp;sourceID=14","4.7")</f>
        <v>4.7</v>
      </c>
      <c r="G7441" s="4" t="str">
        <f>HYPERLINK("http://141.218.60.56/~jnz1568/getInfo.php?workbook=16_08.xlsx&amp;sheet=U0&amp;row=7441&amp;col=7&amp;number=0.00886&amp;sourceID=14","0.00886")</f>
        <v>0.00886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HYPERLINK("http://141.218.60.56/~jnz1568/getInfo.php?workbook=16_08.xlsx&amp;sheet=U0&amp;row=7442&amp;col=6&amp;number=4.8&amp;sourceID=14","4.8")</f>
        <v>4.8</v>
      </c>
      <c r="G7442" s="4" t="str">
        <f>HYPERLINK("http://141.218.60.56/~jnz1568/getInfo.php?workbook=16_08.xlsx&amp;sheet=U0&amp;row=7442&amp;col=7&amp;number=0.00883&amp;sourceID=14","0.00883")</f>
        <v>0.00883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HYPERLINK("http://141.218.60.56/~jnz1568/getInfo.php?workbook=16_08.xlsx&amp;sheet=U0&amp;row=7443&amp;col=6&amp;number=4.9&amp;sourceID=14","4.9")</f>
        <v>4.9</v>
      </c>
      <c r="G7443" s="4" t="str">
        <f>HYPERLINK("http://141.218.60.56/~jnz1568/getInfo.php?workbook=16_08.xlsx&amp;sheet=U0&amp;row=7443&amp;col=7&amp;number=0.0088&amp;sourceID=14","0.0088")</f>
        <v>0.0088</v>
      </c>
    </row>
    <row r="7444" spans="1:7">
      <c r="A7444" s="3">
        <v>16</v>
      </c>
      <c r="B7444" s="3">
        <v>8</v>
      </c>
      <c r="C7444" s="3">
        <v>5</v>
      </c>
      <c r="D7444" s="3">
        <v>44</v>
      </c>
      <c r="E7444" s="3">
        <v>1</v>
      </c>
      <c r="F7444" s="4" t="str">
        <f>HYPERLINK("http://141.218.60.56/~jnz1568/getInfo.php?workbook=16_08.xlsx&amp;sheet=U0&amp;row=7444&amp;col=6&amp;number=3&amp;sourceID=14","3")</f>
        <v>3</v>
      </c>
      <c r="G7444" s="4" t="str">
        <f>HYPERLINK("http://141.218.60.56/~jnz1568/getInfo.php?workbook=16_08.xlsx&amp;sheet=U0&amp;row=7444&amp;col=7&amp;number=0.00415&amp;sourceID=14","0.00415")</f>
        <v>0.00415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HYPERLINK("http://141.218.60.56/~jnz1568/getInfo.php?workbook=16_08.xlsx&amp;sheet=U0&amp;row=7445&amp;col=6&amp;number=3.1&amp;sourceID=14","3.1")</f>
        <v>3.1</v>
      </c>
      <c r="G7445" s="4" t="str">
        <f>HYPERLINK("http://141.218.60.56/~jnz1568/getInfo.php?workbook=16_08.xlsx&amp;sheet=U0&amp;row=7445&amp;col=7&amp;number=0.00415&amp;sourceID=14","0.00415")</f>
        <v>0.00415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HYPERLINK("http://141.218.60.56/~jnz1568/getInfo.php?workbook=16_08.xlsx&amp;sheet=U0&amp;row=7446&amp;col=6&amp;number=3.2&amp;sourceID=14","3.2")</f>
        <v>3.2</v>
      </c>
      <c r="G7446" s="4" t="str">
        <f>HYPERLINK("http://141.218.60.56/~jnz1568/getInfo.php?workbook=16_08.xlsx&amp;sheet=U0&amp;row=7446&amp;col=7&amp;number=0.00415&amp;sourceID=14","0.00415")</f>
        <v>0.00415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HYPERLINK("http://141.218.60.56/~jnz1568/getInfo.php?workbook=16_08.xlsx&amp;sheet=U0&amp;row=7447&amp;col=6&amp;number=3.3&amp;sourceID=14","3.3")</f>
        <v>3.3</v>
      </c>
      <c r="G7447" s="4" t="str">
        <f>HYPERLINK("http://141.218.60.56/~jnz1568/getInfo.php?workbook=16_08.xlsx&amp;sheet=U0&amp;row=7447&amp;col=7&amp;number=0.00415&amp;sourceID=14","0.00415")</f>
        <v>0.00415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HYPERLINK("http://141.218.60.56/~jnz1568/getInfo.php?workbook=16_08.xlsx&amp;sheet=U0&amp;row=7448&amp;col=6&amp;number=3.4&amp;sourceID=14","3.4")</f>
        <v>3.4</v>
      </c>
      <c r="G7448" s="4" t="str">
        <f>HYPERLINK("http://141.218.60.56/~jnz1568/getInfo.php?workbook=16_08.xlsx&amp;sheet=U0&amp;row=7448&amp;col=7&amp;number=0.00415&amp;sourceID=14","0.00415")</f>
        <v>0.00415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HYPERLINK("http://141.218.60.56/~jnz1568/getInfo.php?workbook=16_08.xlsx&amp;sheet=U0&amp;row=7449&amp;col=6&amp;number=3.5&amp;sourceID=14","3.5")</f>
        <v>3.5</v>
      </c>
      <c r="G7449" s="4" t="str">
        <f>HYPERLINK("http://141.218.60.56/~jnz1568/getInfo.php?workbook=16_08.xlsx&amp;sheet=U0&amp;row=7449&amp;col=7&amp;number=0.00415&amp;sourceID=14","0.00415")</f>
        <v>0.00415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HYPERLINK("http://141.218.60.56/~jnz1568/getInfo.php?workbook=16_08.xlsx&amp;sheet=U0&amp;row=7450&amp;col=6&amp;number=3.6&amp;sourceID=14","3.6")</f>
        <v>3.6</v>
      </c>
      <c r="G7450" s="4" t="str">
        <f>HYPERLINK("http://141.218.60.56/~jnz1568/getInfo.php?workbook=16_08.xlsx&amp;sheet=U0&amp;row=7450&amp;col=7&amp;number=0.00415&amp;sourceID=14","0.00415")</f>
        <v>0.00415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HYPERLINK("http://141.218.60.56/~jnz1568/getInfo.php?workbook=16_08.xlsx&amp;sheet=U0&amp;row=7451&amp;col=6&amp;number=3.7&amp;sourceID=14","3.7")</f>
        <v>3.7</v>
      </c>
      <c r="G7451" s="4" t="str">
        <f>HYPERLINK("http://141.218.60.56/~jnz1568/getInfo.php?workbook=16_08.xlsx&amp;sheet=U0&amp;row=7451&amp;col=7&amp;number=0.00415&amp;sourceID=14","0.00415")</f>
        <v>0.00415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HYPERLINK("http://141.218.60.56/~jnz1568/getInfo.php?workbook=16_08.xlsx&amp;sheet=U0&amp;row=7452&amp;col=6&amp;number=3.8&amp;sourceID=14","3.8")</f>
        <v>3.8</v>
      </c>
      <c r="G7452" s="4" t="str">
        <f>HYPERLINK("http://141.218.60.56/~jnz1568/getInfo.php?workbook=16_08.xlsx&amp;sheet=U0&amp;row=7452&amp;col=7&amp;number=0.00415&amp;sourceID=14","0.00415")</f>
        <v>0.00415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HYPERLINK("http://141.218.60.56/~jnz1568/getInfo.php?workbook=16_08.xlsx&amp;sheet=U0&amp;row=7453&amp;col=6&amp;number=3.9&amp;sourceID=14","3.9")</f>
        <v>3.9</v>
      </c>
      <c r="G7453" s="4" t="str">
        <f>HYPERLINK("http://141.218.60.56/~jnz1568/getInfo.php?workbook=16_08.xlsx&amp;sheet=U0&amp;row=7453&amp;col=7&amp;number=0.00415&amp;sourceID=14","0.00415")</f>
        <v>0.00415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HYPERLINK("http://141.218.60.56/~jnz1568/getInfo.php?workbook=16_08.xlsx&amp;sheet=U0&amp;row=7454&amp;col=6&amp;number=4&amp;sourceID=14","4")</f>
        <v>4</v>
      </c>
      <c r="G7454" s="4" t="str">
        <f>HYPERLINK("http://141.218.60.56/~jnz1568/getInfo.php?workbook=16_08.xlsx&amp;sheet=U0&amp;row=7454&amp;col=7&amp;number=0.00415&amp;sourceID=14","0.00415")</f>
        <v>0.00415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HYPERLINK("http://141.218.60.56/~jnz1568/getInfo.php?workbook=16_08.xlsx&amp;sheet=U0&amp;row=7455&amp;col=6&amp;number=4.1&amp;sourceID=14","4.1")</f>
        <v>4.1</v>
      </c>
      <c r="G7455" s="4" t="str">
        <f>HYPERLINK("http://141.218.60.56/~jnz1568/getInfo.php?workbook=16_08.xlsx&amp;sheet=U0&amp;row=7455&amp;col=7&amp;number=0.00415&amp;sourceID=14","0.00415")</f>
        <v>0.00415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HYPERLINK("http://141.218.60.56/~jnz1568/getInfo.php?workbook=16_08.xlsx&amp;sheet=U0&amp;row=7456&amp;col=6&amp;number=4.2&amp;sourceID=14","4.2")</f>
        <v>4.2</v>
      </c>
      <c r="G7456" s="4" t="str">
        <f>HYPERLINK("http://141.218.60.56/~jnz1568/getInfo.php?workbook=16_08.xlsx&amp;sheet=U0&amp;row=7456&amp;col=7&amp;number=0.00415&amp;sourceID=14","0.00415")</f>
        <v>0.00415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HYPERLINK("http://141.218.60.56/~jnz1568/getInfo.php?workbook=16_08.xlsx&amp;sheet=U0&amp;row=7457&amp;col=6&amp;number=4.3&amp;sourceID=14","4.3")</f>
        <v>4.3</v>
      </c>
      <c r="G7457" s="4" t="str">
        <f>HYPERLINK("http://141.218.60.56/~jnz1568/getInfo.php?workbook=16_08.xlsx&amp;sheet=U0&amp;row=7457&amp;col=7&amp;number=0.00415&amp;sourceID=14","0.00415")</f>
        <v>0.00415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HYPERLINK("http://141.218.60.56/~jnz1568/getInfo.php?workbook=16_08.xlsx&amp;sheet=U0&amp;row=7458&amp;col=6&amp;number=4.4&amp;sourceID=14","4.4")</f>
        <v>4.4</v>
      </c>
      <c r="G7458" s="4" t="str">
        <f>HYPERLINK("http://141.218.60.56/~jnz1568/getInfo.php?workbook=16_08.xlsx&amp;sheet=U0&amp;row=7458&amp;col=7&amp;number=0.00415&amp;sourceID=14","0.00415")</f>
        <v>0.00415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HYPERLINK("http://141.218.60.56/~jnz1568/getInfo.php?workbook=16_08.xlsx&amp;sheet=U0&amp;row=7459&amp;col=6&amp;number=4.5&amp;sourceID=14","4.5")</f>
        <v>4.5</v>
      </c>
      <c r="G7459" s="4" t="str">
        <f>HYPERLINK("http://141.218.60.56/~jnz1568/getInfo.php?workbook=16_08.xlsx&amp;sheet=U0&amp;row=7459&amp;col=7&amp;number=0.00415&amp;sourceID=14","0.00415")</f>
        <v>0.00415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HYPERLINK("http://141.218.60.56/~jnz1568/getInfo.php?workbook=16_08.xlsx&amp;sheet=U0&amp;row=7460&amp;col=6&amp;number=4.6&amp;sourceID=14","4.6")</f>
        <v>4.6</v>
      </c>
      <c r="G7460" s="4" t="str">
        <f>HYPERLINK("http://141.218.60.56/~jnz1568/getInfo.php?workbook=16_08.xlsx&amp;sheet=U0&amp;row=7460&amp;col=7&amp;number=0.00415&amp;sourceID=14","0.00415")</f>
        <v>0.00415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HYPERLINK("http://141.218.60.56/~jnz1568/getInfo.php?workbook=16_08.xlsx&amp;sheet=U0&amp;row=7461&amp;col=6&amp;number=4.7&amp;sourceID=14","4.7")</f>
        <v>4.7</v>
      </c>
      <c r="G7461" s="4" t="str">
        <f>HYPERLINK("http://141.218.60.56/~jnz1568/getInfo.php?workbook=16_08.xlsx&amp;sheet=U0&amp;row=7461&amp;col=7&amp;number=0.00416&amp;sourceID=14","0.00416")</f>
        <v>0.00416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HYPERLINK("http://141.218.60.56/~jnz1568/getInfo.php?workbook=16_08.xlsx&amp;sheet=U0&amp;row=7462&amp;col=6&amp;number=4.8&amp;sourceID=14","4.8")</f>
        <v>4.8</v>
      </c>
      <c r="G7462" s="4" t="str">
        <f>HYPERLINK("http://141.218.60.56/~jnz1568/getInfo.php?workbook=16_08.xlsx&amp;sheet=U0&amp;row=7462&amp;col=7&amp;number=0.00416&amp;sourceID=14","0.00416")</f>
        <v>0.00416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HYPERLINK("http://141.218.60.56/~jnz1568/getInfo.php?workbook=16_08.xlsx&amp;sheet=U0&amp;row=7463&amp;col=6&amp;number=4.9&amp;sourceID=14","4.9")</f>
        <v>4.9</v>
      </c>
      <c r="G7463" s="4" t="str">
        <f>HYPERLINK("http://141.218.60.56/~jnz1568/getInfo.php?workbook=16_08.xlsx&amp;sheet=U0&amp;row=7463&amp;col=7&amp;number=0.00416&amp;sourceID=14","0.00416")</f>
        <v>0.00416</v>
      </c>
    </row>
    <row r="7464" spans="1:7">
      <c r="A7464" s="3">
        <v>16</v>
      </c>
      <c r="B7464" s="3">
        <v>8</v>
      </c>
      <c r="C7464" s="3">
        <v>5</v>
      </c>
      <c r="D7464" s="3">
        <v>45</v>
      </c>
      <c r="E7464" s="3">
        <v>1</v>
      </c>
      <c r="F7464" s="4" t="str">
        <f>HYPERLINK("http://141.218.60.56/~jnz1568/getInfo.php?workbook=16_08.xlsx&amp;sheet=U0&amp;row=7464&amp;col=6&amp;number=3&amp;sourceID=14","3")</f>
        <v>3</v>
      </c>
      <c r="G7464" s="4" t="str">
        <f>HYPERLINK("http://141.218.60.56/~jnz1568/getInfo.php?workbook=16_08.xlsx&amp;sheet=U0&amp;row=7464&amp;col=7&amp;number=0.00483&amp;sourceID=14","0.00483")</f>
        <v>0.00483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HYPERLINK("http://141.218.60.56/~jnz1568/getInfo.php?workbook=16_08.xlsx&amp;sheet=U0&amp;row=7465&amp;col=6&amp;number=3.1&amp;sourceID=14","3.1")</f>
        <v>3.1</v>
      </c>
      <c r="G7465" s="4" t="str">
        <f>HYPERLINK("http://141.218.60.56/~jnz1568/getInfo.php?workbook=16_08.xlsx&amp;sheet=U0&amp;row=7465&amp;col=7&amp;number=0.00483&amp;sourceID=14","0.00483")</f>
        <v>0.00483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HYPERLINK("http://141.218.60.56/~jnz1568/getInfo.php?workbook=16_08.xlsx&amp;sheet=U0&amp;row=7466&amp;col=6&amp;number=3.2&amp;sourceID=14","3.2")</f>
        <v>3.2</v>
      </c>
      <c r="G7466" s="4" t="str">
        <f>HYPERLINK("http://141.218.60.56/~jnz1568/getInfo.php?workbook=16_08.xlsx&amp;sheet=U0&amp;row=7466&amp;col=7&amp;number=0.00483&amp;sourceID=14","0.00483")</f>
        <v>0.00483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HYPERLINK("http://141.218.60.56/~jnz1568/getInfo.php?workbook=16_08.xlsx&amp;sheet=U0&amp;row=7467&amp;col=6&amp;number=3.3&amp;sourceID=14","3.3")</f>
        <v>3.3</v>
      </c>
      <c r="G7467" s="4" t="str">
        <f>HYPERLINK("http://141.218.60.56/~jnz1568/getInfo.php?workbook=16_08.xlsx&amp;sheet=U0&amp;row=7467&amp;col=7&amp;number=0.00483&amp;sourceID=14","0.00483")</f>
        <v>0.00483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HYPERLINK("http://141.218.60.56/~jnz1568/getInfo.php?workbook=16_08.xlsx&amp;sheet=U0&amp;row=7468&amp;col=6&amp;number=3.4&amp;sourceID=14","3.4")</f>
        <v>3.4</v>
      </c>
      <c r="G7468" s="4" t="str">
        <f>HYPERLINK("http://141.218.60.56/~jnz1568/getInfo.php?workbook=16_08.xlsx&amp;sheet=U0&amp;row=7468&amp;col=7&amp;number=0.00483&amp;sourceID=14","0.00483")</f>
        <v>0.00483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HYPERLINK("http://141.218.60.56/~jnz1568/getInfo.php?workbook=16_08.xlsx&amp;sheet=U0&amp;row=7469&amp;col=6&amp;number=3.5&amp;sourceID=14","3.5")</f>
        <v>3.5</v>
      </c>
      <c r="G7469" s="4" t="str">
        <f>HYPERLINK("http://141.218.60.56/~jnz1568/getInfo.php?workbook=16_08.xlsx&amp;sheet=U0&amp;row=7469&amp;col=7&amp;number=0.00483&amp;sourceID=14","0.00483")</f>
        <v>0.00483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HYPERLINK("http://141.218.60.56/~jnz1568/getInfo.php?workbook=16_08.xlsx&amp;sheet=U0&amp;row=7470&amp;col=6&amp;number=3.6&amp;sourceID=14","3.6")</f>
        <v>3.6</v>
      </c>
      <c r="G7470" s="4" t="str">
        <f>HYPERLINK("http://141.218.60.56/~jnz1568/getInfo.php?workbook=16_08.xlsx&amp;sheet=U0&amp;row=7470&amp;col=7&amp;number=0.00482&amp;sourceID=14","0.00482")</f>
        <v>0.00482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HYPERLINK("http://141.218.60.56/~jnz1568/getInfo.php?workbook=16_08.xlsx&amp;sheet=U0&amp;row=7471&amp;col=6&amp;number=3.7&amp;sourceID=14","3.7")</f>
        <v>3.7</v>
      </c>
      <c r="G7471" s="4" t="str">
        <f>HYPERLINK("http://141.218.60.56/~jnz1568/getInfo.php?workbook=16_08.xlsx&amp;sheet=U0&amp;row=7471&amp;col=7&amp;number=0.00482&amp;sourceID=14","0.00482")</f>
        <v>0.00482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HYPERLINK("http://141.218.60.56/~jnz1568/getInfo.php?workbook=16_08.xlsx&amp;sheet=U0&amp;row=7472&amp;col=6&amp;number=3.8&amp;sourceID=14","3.8")</f>
        <v>3.8</v>
      </c>
      <c r="G7472" s="4" t="str">
        <f>HYPERLINK("http://141.218.60.56/~jnz1568/getInfo.php?workbook=16_08.xlsx&amp;sheet=U0&amp;row=7472&amp;col=7&amp;number=0.00482&amp;sourceID=14","0.00482")</f>
        <v>0.00482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HYPERLINK("http://141.218.60.56/~jnz1568/getInfo.php?workbook=16_08.xlsx&amp;sheet=U0&amp;row=7473&amp;col=6&amp;number=3.9&amp;sourceID=14","3.9")</f>
        <v>3.9</v>
      </c>
      <c r="G7473" s="4" t="str">
        <f>HYPERLINK("http://141.218.60.56/~jnz1568/getInfo.php?workbook=16_08.xlsx&amp;sheet=U0&amp;row=7473&amp;col=7&amp;number=0.00482&amp;sourceID=14","0.00482")</f>
        <v>0.00482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HYPERLINK("http://141.218.60.56/~jnz1568/getInfo.php?workbook=16_08.xlsx&amp;sheet=U0&amp;row=7474&amp;col=6&amp;number=4&amp;sourceID=14","4")</f>
        <v>4</v>
      </c>
      <c r="G7474" s="4" t="str">
        <f>HYPERLINK("http://141.218.60.56/~jnz1568/getInfo.php?workbook=16_08.xlsx&amp;sheet=U0&amp;row=7474&amp;col=7&amp;number=0.00481&amp;sourceID=14","0.00481")</f>
        <v>0.00481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HYPERLINK("http://141.218.60.56/~jnz1568/getInfo.php?workbook=16_08.xlsx&amp;sheet=U0&amp;row=7475&amp;col=6&amp;number=4.1&amp;sourceID=14","4.1")</f>
        <v>4.1</v>
      </c>
      <c r="G7475" s="4" t="str">
        <f>HYPERLINK("http://141.218.60.56/~jnz1568/getInfo.php?workbook=16_08.xlsx&amp;sheet=U0&amp;row=7475&amp;col=7&amp;number=0.00481&amp;sourceID=14","0.00481")</f>
        <v>0.00481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HYPERLINK("http://141.218.60.56/~jnz1568/getInfo.php?workbook=16_08.xlsx&amp;sheet=U0&amp;row=7476&amp;col=6&amp;number=4.2&amp;sourceID=14","4.2")</f>
        <v>4.2</v>
      </c>
      <c r="G7476" s="4" t="str">
        <f>HYPERLINK("http://141.218.60.56/~jnz1568/getInfo.php?workbook=16_08.xlsx&amp;sheet=U0&amp;row=7476&amp;col=7&amp;number=0.0048&amp;sourceID=14","0.0048")</f>
        <v>0.0048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HYPERLINK("http://141.218.60.56/~jnz1568/getInfo.php?workbook=16_08.xlsx&amp;sheet=U0&amp;row=7477&amp;col=6&amp;number=4.3&amp;sourceID=14","4.3")</f>
        <v>4.3</v>
      </c>
      <c r="G7477" s="4" t="str">
        <f>HYPERLINK("http://141.218.60.56/~jnz1568/getInfo.php?workbook=16_08.xlsx&amp;sheet=U0&amp;row=7477&amp;col=7&amp;number=0.00479&amp;sourceID=14","0.00479")</f>
        <v>0.00479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HYPERLINK("http://141.218.60.56/~jnz1568/getInfo.php?workbook=16_08.xlsx&amp;sheet=U0&amp;row=7478&amp;col=6&amp;number=4.4&amp;sourceID=14","4.4")</f>
        <v>4.4</v>
      </c>
      <c r="G7478" s="4" t="str">
        <f>HYPERLINK("http://141.218.60.56/~jnz1568/getInfo.php?workbook=16_08.xlsx&amp;sheet=U0&amp;row=7478&amp;col=7&amp;number=0.00478&amp;sourceID=14","0.00478")</f>
        <v>0.00478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HYPERLINK("http://141.218.60.56/~jnz1568/getInfo.php?workbook=16_08.xlsx&amp;sheet=U0&amp;row=7479&amp;col=6&amp;number=4.5&amp;sourceID=14","4.5")</f>
        <v>4.5</v>
      </c>
      <c r="G7479" s="4" t="str">
        <f>HYPERLINK("http://141.218.60.56/~jnz1568/getInfo.php?workbook=16_08.xlsx&amp;sheet=U0&amp;row=7479&amp;col=7&amp;number=0.00477&amp;sourceID=14","0.00477")</f>
        <v>0.00477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HYPERLINK("http://141.218.60.56/~jnz1568/getInfo.php?workbook=16_08.xlsx&amp;sheet=U0&amp;row=7480&amp;col=6&amp;number=4.6&amp;sourceID=14","4.6")</f>
        <v>4.6</v>
      </c>
      <c r="G7480" s="4" t="str">
        <f>HYPERLINK("http://141.218.60.56/~jnz1568/getInfo.php?workbook=16_08.xlsx&amp;sheet=U0&amp;row=7480&amp;col=7&amp;number=0.00476&amp;sourceID=14","0.00476")</f>
        <v>0.00476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HYPERLINK("http://141.218.60.56/~jnz1568/getInfo.php?workbook=16_08.xlsx&amp;sheet=U0&amp;row=7481&amp;col=6&amp;number=4.7&amp;sourceID=14","4.7")</f>
        <v>4.7</v>
      </c>
      <c r="G7481" s="4" t="str">
        <f>HYPERLINK("http://141.218.60.56/~jnz1568/getInfo.php?workbook=16_08.xlsx&amp;sheet=U0&amp;row=7481&amp;col=7&amp;number=0.00474&amp;sourceID=14","0.00474")</f>
        <v>0.00474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HYPERLINK("http://141.218.60.56/~jnz1568/getInfo.php?workbook=16_08.xlsx&amp;sheet=U0&amp;row=7482&amp;col=6&amp;number=4.8&amp;sourceID=14","4.8")</f>
        <v>4.8</v>
      </c>
      <c r="G7482" s="4" t="str">
        <f>HYPERLINK("http://141.218.60.56/~jnz1568/getInfo.php?workbook=16_08.xlsx&amp;sheet=U0&amp;row=7482&amp;col=7&amp;number=0.00472&amp;sourceID=14","0.00472")</f>
        <v>0.00472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HYPERLINK("http://141.218.60.56/~jnz1568/getInfo.php?workbook=16_08.xlsx&amp;sheet=U0&amp;row=7483&amp;col=6&amp;number=4.9&amp;sourceID=14","4.9")</f>
        <v>4.9</v>
      </c>
      <c r="G7483" s="4" t="str">
        <f>HYPERLINK("http://141.218.60.56/~jnz1568/getInfo.php?workbook=16_08.xlsx&amp;sheet=U0&amp;row=7483&amp;col=7&amp;number=0.00469&amp;sourceID=14","0.00469")</f>
        <v>0.00469</v>
      </c>
    </row>
    <row r="7484" spans="1:7">
      <c r="A7484" s="3">
        <v>16</v>
      </c>
      <c r="B7484" s="3">
        <v>8</v>
      </c>
      <c r="C7484" s="3">
        <v>5</v>
      </c>
      <c r="D7484" s="3">
        <v>46</v>
      </c>
      <c r="E7484" s="3">
        <v>1</v>
      </c>
      <c r="F7484" s="4" t="str">
        <f>HYPERLINK("http://141.218.60.56/~jnz1568/getInfo.php?workbook=16_08.xlsx&amp;sheet=U0&amp;row=7484&amp;col=6&amp;number=3&amp;sourceID=14","3")</f>
        <v>3</v>
      </c>
      <c r="G7484" s="4" t="str">
        <f>HYPERLINK("http://141.218.60.56/~jnz1568/getInfo.php?workbook=16_08.xlsx&amp;sheet=U0&amp;row=7484&amp;col=7&amp;number=0.0142&amp;sourceID=14","0.0142")</f>
        <v>0.0142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HYPERLINK("http://141.218.60.56/~jnz1568/getInfo.php?workbook=16_08.xlsx&amp;sheet=U0&amp;row=7485&amp;col=6&amp;number=3.1&amp;sourceID=14","3.1")</f>
        <v>3.1</v>
      </c>
      <c r="G7485" s="4" t="str">
        <f>HYPERLINK("http://141.218.60.56/~jnz1568/getInfo.php?workbook=16_08.xlsx&amp;sheet=U0&amp;row=7485&amp;col=7&amp;number=0.0142&amp;sourceID=14","0.0142")</f>
        <v>0.0142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HYPERLINK("http://141.218.60.56/~jnz1568/getInfo.php?workbook=16_08.xlsx&amp;sheet=U0&amp;row=7486&amp;col=6&amp;number=3.2&amp;sourceID=14","3.2")</f>
        <v>3.2</v>
      </c>
      <c r="G7486" s="4" t="str">
        <f>HYPERLINK("http://141.218.60.56/~jnz1568/getInfo.php?workbook=16_08.xlsx&amp;sheet=U0&amp;row=7486&amp;col=7&amp;number=0.0142&amp;sourceID=14","0.0142")</f>
        <v>0.0142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HYPERLINK("http://141.218.60.56/~jnz1568/getInfo.php?workbook=16_08.xlsx&amp;sheet=U0&amp;row=7487&amp;col=6&amp;number=3.3&amp;sourceID=14","3.3")</f>
        <v>3.3</v>
      </c>
      <c r="G7487" s="4" t="str">
        <f>HYPERLINK("http://141.218.60.56/~jnz1568/getInfo.php?workbook=16_08.xlsx&amp;sheet=U0&amp;row=7487&amp;col=7&amp;number=0.0142&amp;sourceID=14","0.0142")</f>
        <v>0.0142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HYPERLINK("http://141.218.60.56/~jnz1568/getInfo.php?workbook=16_08.xlsx&amp;sheet=U0&amp;row=7488&amp;col=6&amp;number=3.4&amp;sourceID=14","3.4")</f>
        <v>3.4</v>
      </c>
      <c r="G7488" s="4" t="str">
        <f>HYPERLINK("http://141.218.60.56/~jnz1568/getInfo.php?workbook=16_08.xlsx&amp;sheet=U0&amp;row=7488&amp;col=7&amp;number=0.0142&amp;sourceID=14","0.0142")</f>
        <v>0.0142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HYPERLINK("http://141.218.60.56/~jnz1568/getInfo.php?workbook=16_08.xlsx&amp;sheet=U0&amp;row=7489&amp;col=6&amp;number=3.5&amp;sourceID=14","3.5")</f>
        <v>3.5</v>
      </c>
      <c r="G7489" s="4" t="str">
        <f>HYPERLINK("http://141.218.60.56/~jnz1568/getInfo.php?workbook=16_08.xlsx&amp;sheet=U0&amp;row=7489&amp;col=7&amp;number=0.0142&amp;sourceID=14","0.0142")</f>
        <v>0.0142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HYPERLINK("http://141.218.60.56/~jnz1568/getInfo.php?workbook=16_08.xlsx&amp;sheet=U0&amp;row=7490&amp;col=6&amp;number=3.6&amp;sourceID=14","3.6")</f>
        <v>3.6</v>
      </c>
      <c r="G7490" s="4" t="str">
        <f>HYPERLINK("http://141.218.60.56/~jnz1568/getInfo.php?workbook=16_08.xlsx&amp;sheet=U0&amp;row=7490&amp;col=7&amp;number=0.0141&amp;sourceID=14","0.0141")</f>
        <v>0.0141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HYPERLINK("http://141.218.60.56/~jnz1568/getInfo.php?workbook=16_08.xlsx&amp;sheet=U0&amp;row=7491&amp;col=6&amp;number=3.7&amp;sourceID=14","3.7")</f>
        <v>3.7</v>
      </c>
      <c r="G7491" s="4" t="str">
        <f>HYPERLINK("http://141.218.60.56/~jnz1568/getInfo.php?workbook=16_08.xlsx&amp;sheet=U0&amp;row=7491&amp;col=7&amp;number=0.0141&amp;sourceID=14","0.0141")</f>
        <v>0.0141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HYPERLINK("http://141.218.60.56/~jnz1568/getInfo.php?workbook=16_08.xlsx&amp;sheet=U0&amp;row=7492&amp;col=6&amp;number=3.8&amp;sourceID=14","3.8")</f>
        <v>3.8</v>
      </c>
      <c r="G7492" s="4" t="str">
        <f>HYPERLINK("http://141.218.60.56/~jnz1568/getInfo.php?workbook=16_08.xlsx&amp;sheet=U0&amp;row=7492&amp;col=7&amp;number=0.0141&amp;sourceID=14","0.0141")</f>
        <v>0.0141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HYPERLINK("http://141.218.60.56/~jnz1568/getInfo.php?workbook=16_08.xlsx&amp;sheet=U0&amp;row=7493&amp;col=6&amp;number=3.9&amp;sourceID=14","3.9")</f>
        <v>3.9</v>
      </c>
      <c r="G7493" s="4" t="str">
        <f>HYPERLINK("http://141.218.60.56/~jnz1568/getInfo.php?workbook=16_08.xlsx&amp;sheet=U0&amp;row=7493&amp;col=7&amp;number=0.0141&amp;sourceID=14","0.0141")</f>
        <v>0.0141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HYPERLINK("http://141.218.60.56/~jnz1568/getInfo.php?workbook=16_08.xlsx&amp;sheet=U0&amp;row=7494&amp;col=6&amp;number=4&amp;sourceID=14","4")</f>
        <v>4</v>
      </c>
      <c r="G7494" s="4" t="str">
        <f>HYPERLINK("http://141.218.60.56/~jnz1568/getInfo.php?workbook=16_08.xlsx&amp;sheet=U0&amp;row=7494&amp;col=7&amp;number=0.0141&amp;sourceID=14","0.0141")</f>
        <v>0.0141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HYPERLINK("http://141.218.60.56/~jnz1568/getInfo.php?workbook=16_08.xlsx&amp;sheet=U0&amp;row=7495&amp;col=6&amp;number=4.1&amp;sourceID=14","4.1")</f>
        <v>4.1</v>
      </c>
      <c r="G7495" s="4" t="str">
        <f>HYPERLINK("http://141.218.60.56/~jnz1568/getInfo.php?workbook=16_08.xlsx&amp;sheet=U0&amp;row=7495&amp;col=7&amp;number=0.0141&amp;sourceID=14","0.0141")</f>
        <v>0.0141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HYPERLINK("http://141.218.60.56/~jnz1568/getInfo.php?workbook=16_08.xlsx&amp;sheet=U0&amp;row=7496&amp;col=6&amp;number=4.2&amp;sourceID=14","4.2")</f>
        <v>4.2</v>
      </c>
      <c r="G7496" s="4" t="str">
        <f>HYPERLINK("http://141.218.60.56/~jnz1568/getInfo.php?workbook=16_08.xlsx&amp;sheet=U0&amp;row=7496&amp;col=7&amp;number=0.0141&amp;sourceID=14","0.0141")</f>
        <v>0.0141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HYPERLINK("http://141.218.60.56/~jnz1568/getInfo.php?workbook=16_08.xlsx&amp;sheet=U0&amp;row=7497&amp;col=6&amp;number=4.3&amp;sourceID=14","4.3")</f>
        <v>4.3</v>
      </c>
      <c r="G7497" s="4" t="str">
        <f>HYPERLINK("http://141.218.60.56/~jnz1568/getInfo.php?workbook=16_08.xlsx&amp;sheet=U0&amp;row=7497&amp;col=7&amp;number=0.0141&amp;sourceID=14","0.0141")</f>
        <v>0.0141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HYPERLINK("http://141.218.60.56/~jnz1568/getInfo.php?workbook=16_08.xlsx&amp;sheet=U0&amp;row=7498&amp;col=6&amp;number=4.4&amp;sourceID=14","4.4")</f>
        <v>4.4</v>
      </c>
      <c r="G7498" s="4" t="str">
        <f>HYPERLINK("http://141.218.60.56/~jnz1568/getInfo.php?workbook=16_08.xlsx&amp;sheet=U0&amp;row=7498&amp;col=7&amp;number=0.014&amp;sourceID=14","0.014")</f>
        <v>0.014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HYPERLINK("http://141.218.60.56/~jnz1568/getInfo.php?workbook=16_08.xlsx&amp;sheet=U0&amp;row=7499&amp;col=6&amp;number=4.5&amp;sourceID=14","4.5")</f>
        <v>4.5</v>
      </c>
      <c r="G7499" s="4" t="str">
        <f>HYPERLINK("http://141.218.60.56/~jnz1568/getInfo.php?workbook=16_08.xlsx&amp;sheet=U0&amp;row=7499&amp;col=7&amp;number=0.014&amp;sourceID=14","0.014")</f>
        <v>0.014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HYPERLINK("http://141.218.60.56/~jnz1568/getInfo.php?workbook=16_08.xlsx&amp;sheet=U0&amp;row=7500&amp;col=6&amp;number=4.6&amp;sourceID=14","4.6")</f>
        <v>4.6</v>
      </c>
      <c r="G7500" s="4" t="str">
        <f>HYPERLINK("http://141.218.60.56/~jnz1568/getInfo.php?workbook=16_08.xlsx&amp;sheet=U0&amp;row=7500&amp;col=7&amp;number=0.014&amp;sourceID=14","0.014")</f>
        <v>0.014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HYPERLINK("http://141.218.60.56/~jnz1568/getInfo.php?workbook=16_08.xlsx&amp;sheet=U0&amp;row=7501&amp;col=6&amp;number=4.7&amp;sourceID=14","4.7")</f>
        <v>4.7</v>
      </c>
      <c r="G7501" s="4" t="str">
        <f>HYPERLINK("http://141.218.60.56/~jnz1568/getInfo.php?workbook=16_08.xlsx&amp;sheet=U0&amp;row=7501&amp;col=7&amp;number=0.0139&amp;sourceID=14","0.0139")</f>
        <v>0.0139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HYPERLINK("http://141.218.60.56/~jnz1568/getInfo.php?workbook=16_08.xlsx&amp;sheet=U0&amp;row=7502&amp;col=6&amp;number=4.8&amp;sourceID=14","4.8")</f>
        <v>4.8</v>
      </c>
      <c r="G7502" s="4" t="str">
        <f>HYPERLINK("http://141.218.60.56/~jnz1568/getInfo.php?workbook=16_08.xlsx&amp;sheet=U0&amp;row=7502&amp;col=7&amp;number=0.0138&amp;sourceID=14","0.0138")</f>
        <v>0.0138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HYPERLINK("http://141.218.60.56/~jnz1568/getInfo.php?workbook=16_08.xlsx&amp;sheet=U0&amp;row=7503&amp;col=6&amp;number=4.9&amp;sourceID=14","4.9")</f>
        <v>4.9</v>
      </c>
      <c r="G7503" s="4" t="str">
        <f>HYPERLINK("http://141.218.60.56/~jnz1568/getInfo.php?workbook=16_08.xlsx&amp;sheet=U0&amp;row=7503&amp;col=7&amp;number=0.0137&amp;sourceID=14","0.0137")</f>
        <v>0.0137</v>
      </c>
    </row>
    <row r="7504" spans="1:7">
      <c r="A7504" s="3">
        <v>16</v>
      </c>
      <c r="B7504" s="3">
        <v>8</v>
      </c>
      <c r="C7504" s="3">
        <v>5</v>
      </c>
      <c r="D7504" s="3">
        <v>47</v>
      </c>
      <c r="E7504" s="3">
        <v>1</v>
      </c>
      <c r="F7504" s="4" t="str">
        <f>HYPERLINK("http://141.218.60.56/~jnz1568/getInfo.php?workbook=16_08.xlsx&amp;sheet=U0&amp;row=7504&amp;col=6&amp;number=3&amp;sourceID=14","3")</f>
        <v>3</v>
      </c>
      <c r="G7504" s="4" t="str">
        <f>HYPERLINK("http://141.218.60.56/~jnz1568/getInfo.php?workbook=16_08.xlsx&amp;sheet=U0&amp;row=7504&amp;col=7&amp;number=0.0056&amp;sourceID=14","0.0056")</f>
        <v>0.0056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HYPERLINK("http://141.218.60.56/~jnz1568/getInfo.php?workbook=16_08.xlsx&amp;sheet=U0&amp;row=7505&amp;col=6&amp;number=3.1&amp;sourceID=14","3.1")</f>
        <v>3.1</v>
      </c>
      <c r="G7505" s="4" t="str">
        <f>HYPERLINK("http://141.218.60.56/~jnz1568/getInfo.php?workbook=16_08.xlsx&amp;sheet=U0&amp;row=7505&amp;col=7&amp;number=0.0056&amp;sourceID=14","0.0056")</f>
        <v>0.0056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HYPERLINK("http://141.218.60.56/~jnz1568/getInfo.php?workbook=16_08.xlsx&amp;sheet=U0&amp;row=7506&amp;col=6&amp;number=3.2&amp;sourceID=14","3.2")</f>
        <v>3.2</v>
      </c>
      <c r="G7506" s="4" t="str">
        <f>HYPERLINK("http://141.218.60.56/~jnz1568/getInfo.php?workbook=16_08.xlsx&amp;sheet=U0&amp;row=7506&amp;col=7&amp;number=0.0056&amp;sourceID=14","0.0056")</f>
        <v>0.0056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HYPERLINK("http://141.218.60.56/~jnz1568/getInfo.php?workbook=16_08.xlsx&amp;sheet=U0&amp;row=7507&amp;col=6&amp;number=3.3&amp;sourceID=14","3.3")</f>
        <v>3.3</v>
      </c>
      <c r="G7507" s="4" t="str">
        <f>HYPERLINK("http://141.218.60.56/~jnz1568/getInfo.php?workbook=16_08.xlsx&amp;sheet=U0&amp;row=7507&amp;col=7&amp;number=0.0056&amp;sourceID=14","0.0056")</f>
        <v>0.0056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HYPERLINK("http://141.218.60.56/~jnz1568/getInfo.php?workbook=16_08.xlsx&amp;sheet=U0&amp;row=7508&amp;col=6&amp;number=3.4&amp;sourceID=14","3.4")</f>
        <v>3.4</v>
      </c>
      <c r="G7508" s="4" t="str">
        <f>HYPERLINK("http://141.218.60.56/~jnz1568/getInfo.php?workbook=16_08.xlsx&amp;sheet=U0&amp;row=7508&amp;col=7&amp;number=0.0056&amp;sourceID=14","0.0056")</f>
        <v>0.0056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HYPERLINK("http://141.218.60.56/~jnz1568/getInfo.php?workbook=16_08.xlsx&amp;sheet=U0&amp;row=7509&amp;col=6&amp;number=3.5&amp;sourceID=14","3.5")</f>
        <v>3.5</v>
      </c>
      <c r="G7509" s="4" t="str">
        <f>HYPERLINK("http://141.218.60.56/~jnz1568/getInfo.php?workbook=16_08.xlsx&amp;sheet=U0&amp;row=7509&amp;col=7&amp;number=0.0056&amp;sourceID=14","0.0056")</f>
        <v>0.0056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HYPERLINK("http://141.218.60.56/~jnz1568/getInfo.php?workbook=16_08.xlsx&amp;sheet=U0&amp;row=7510&amp;col=6&amp;number=3.6&amp;sourceID=14","3.6")</f>
        <v>3.6</v>
      </c>
      <c r="G7510" s="4" t="str">
        <f>HYPERLINK("http://141.218.60.56/~jnz1568/getInfo.php?workbook=16_08.xlsx&amp;sheet=U0&amp;row=7510&amp;col=7&amp;number=0.0056&amp;sourceID=14","0.0056")</f>
        <v>0.0056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HYPERLINK("http://141.218.60.56/~jnz1568/getInfo.php?workbook=16_08.xlsx&amp;sheet=U0&amp;row=7511&amp;col=6&amp;number=3.7&amp;sourceID=14","3.7")</f>
        <v>3.7</v>
      </c>
      <c r="G7511" s="4" t="str">
        <f>HYPERLINK("http://141.218.60.56/~jnz1568/getInfo.php?workbook=16_08.xlsx&amp;sheet=U0&amp;row=7511&amp;col=7&amp;number=0.0056&amp;sourceID=14","0.0056")</f>
        <v>0.0056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HYPERLINK("http://141.218.60.56/~jnz1568/getInfo.php?workbook=16_08.xlsx&amp;sheet=U0&amp;row=7512&amp;col=6&amp;number=3.8&amp;sourceID=14","3.8")</f>
        <v>3.8</v>
      </c>
      <c r="G7512" s="4" t="str">
        <f>HYPERLINK("http://141.218.60.56/~jnz1568/getInfo.php?workbook=16_08.xlsx&amp;sheet=U0&amp;row=7512&amp;col=7&amp;number=0.0056&amp;sourceID=14","0.0056")</f>
        <v>0.0056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HYPERLINK("http://141.218.60.56/~jnz1568/getInfo.php?workbook=16_08.xlsx&amp;sheet=U0&amp;row=7513&amp;col=6&amp;number=3.9&amp;sourceID=14","3.9")</f>
        <v>3.9</v>
      </c>
      <c r="G7513" s="4" t="str">
        <f>HYPERLINK("http://141.218.60.56/~jnz1568/getInfo.php?workbook=16_08.xlsx&amp;sheet=U0&amp;row=7513&amp;col=7&amp;number=0.00559&amp;sourceID=14","0.00559")</f>
        <v>0.00559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HYPERLINK("http://141.218.60.56/~jnz1568/getInfo.php?workbook=16_08.xlsx&amp;sheet=U0&amp;row=7514&amp;col=6&amp;number=4&amp;sourceID=14","4")</f>
        <v>4</v>
      </c>
      <c r="G7514" s="4" t="str">
        <f>HYPERLINK("http://141.218.60.56/~jnz1568/getInfo.php?workbook=16_08.xlsx&amp;sheet=U0&amp;row=7514&amp;col=7&amp;number=0.00559&amp;sourceID=14","0.00559")</f>
        <v>0.00559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HYPERLINK("http://141.218.60.56/~jnz1568/getInfo.php?workbook=16_08.xlsx&amp;sheet=U0&amp;row=7515&amp;col=6&amp;number=4.1&amp;sourceID=14","4.1")</f>
        <v>4.1</v>
      </c>
      <c r="G7515" s="4" t="str">
        <f>HYPERLINK("http://141.218.60.56/~jnz1568/getInfo.php?workbook=16_08.xlsx&amp;sheet=U0&amp;row=7515&amp;col=7&amp;number=0.00559&amp;sourceID=14","0.00559")</f>
        <v>0.00559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HYPERLINK("http://141.218.60.56/~jnz1568/getInfo.php?workbook=16_08.xlsx&amp;sheet=U0&amp;row=7516&amp;col=6&amp;number=4.2&amp;sourceID=14","4.2")</f>
        <v>4.2</v>
      </c>
      <c r="G7516" s="4" t="str">
        <f>HYPERLINK("http://141.218.60.56/~jnz1568/getInfo.php?workbook=16_08.xlsx&amp;sheet=U0&amp;row=7516&amp;col=7&amp;number=0.00559&amp;sourceID=14","0.00559")</f>
        <v>0.00559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HYPERLINK("http://141.218.60.56/~jnz1568/getInfo.php?workbook=16_08.xlsx&amp;sheet=U0&amp;row=7517&amp;col=6&amp;number=4.3&amp;sourceID=14","4.3")</f>
        <v>4.3</v>
      </c>
      <c r="G7517" s="4" t="str">
        <f>HYPERLINK("http://141.218.60.56/~jnz1568/getInfo.php?workbook=16_08.xlsx&amp;sheet=U0&amp;row=7517&amp;col=7&amp;number=0.00559&amp;sourceID=14","0.00559")</f>
        <v>0.00559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HYPERLINK("http://141.218.60.56/~jnz1568/getInfo.php?workbook=16_08.xlsx&amp;sheet=U0&amp;row=7518&amp;col=6&amp;number=4.4&amp;sourceID=14","4.4")</f>
        <v>4.4</v>
      </c>
      <c r="G7518" s="4" t="str">
        <f>HYPERLINK("http://141.218.60.56/~jnz1568/getInfo.php?workbook=16_08.xlsx&amp;sheet=U0&amp;row=7518&amp;col=7&amp;number=0.00558&amp;sourceID=14","0.00558")</f>
        <v>0.00558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HYPERLINK("http://141.218.60.56/~jnz1568/getInfo.php?workbook=16_08.xlsx&amp;sheet=U0&amp;row=7519&amp;col=6&amp;number=4.5&amp;sourceID=14","4.5")</f>
        <v>4.5</v>
      </c>
      <c r="G7519" s="4" t="str">
        <f>HYPERLINK("http://141.218.60.56/~jnz1568/getInfo.php?workbook=16_08.xlsx&amp;sheet=U0&amp;row=7519&amp;col=7&amp;number=0.00558&amp;sourceID=14","0.00558")</f>
        <v>0.00558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HYPERLINK("http://141.218.60.56/~jnz1568/getInfo.php?workbook=16_08.xlsx&amp;sheet=U0&amp;row=7520&amp;col=6&amp;number=4.6&amp;sourceID=14","4.6")</f>
        <v>4.6</v>
      </c>
      <c r="G7520" s="4" t="str">
        <f>HYPERLINK("http://141.218.60.56/~jnz1568/getInfo.php?workbook=16_08.xlsx&amp;sheet=U0&amp;row=7520&amp;col=7&amp;number=0.00557&amp;sourceID=14","0.00557")</f>
        <v>0.00557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HYPERLINK("http://141.218.60.56/~jnz1568/getInfo.php?workbook=16_08.xlsx&amp;sheet=U0&amp;row=7521&amp;col=6&amp;number=4.7&amp;sourceID=14","4.7")</f>
        <v>4.7</v>
      </c>
      <c r="G7521" s="4" t="str">
        <f>HYPERLINK("http://141.218.60.56/~jnz1568/getInfo.php?workbook=16_08.xlsx&amp;sheet=U0&amp;row=7521&amp;col=7&amp;number=0.00556&amp;sourceID=14","0.00556")</f>
        <v>0.00556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HYPERLINK("http://141.218.60.56/~jnz1568/getInfo.php?workbook=16_08.xlsx&amp;sheet=U0&amp;row=7522&amp;col=6&amp;number=4.8&amp;sourceID=14","4.8")</f>
        <v>4.8</v>
      </c>
      <c r="G7522" s="4" t="str">
        <f>HYPERLINK("http://141.218.60.56/~jnz1568/getInfo.php?workbook=16_08.xlsx&amp;sheet=U0&amp;row=7522&amp;col=7&amp;number=0.00555&amp;sourceID=14","0.00555")</f>
        <v>0.00555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HYPERLINK("http://141.218.60.56/~jnz1568/getInfo.php?workbook=16_08.xlsx&amp;sheet=U0&amp;row=7523&amp;col=6&amp;number=4.9&amp;sourceID=14","4.9")</f>
        <v>4.9</v>
      </c>
      <c r="G7523" s="4" t="str">
        <f>HYPERLINK("http://141.218.60.56/~jnz1568/getInfo.php?workbook=16_08.xlsx&amp;sheet=U0&amp;row=7523&amp;col=7&amp;number=0.00554&amp;sourceID=14","0.00554")</f>
        <v>0.00554</v>
      </c>
    </row>
    <row r="7524" spans="1:7">
      <c r="A7524" s="3">
        <v>16</v>
      </c>
      <c r="B7524" s="3">
        <v>8</v>
      </c>
      <c r="C7524" s="3">
        <v>5</v>
      </c>
      <c r="D7524" s="3">
        <v>48</v>
      </c>
      <c r="E7524" s="3">
        <v>1</v>
      </c>
      <c r="F7524" s="4" t="str">
        <f>HYPERLINK("http://141.218.60.56/~jnz1568/getInfo.php?workbook=16_08.xlsx&amp;sheet=U0&amp;row=7524&amp;col=6&amp;number=3&amp;sourceID=14","3")</f>
        <v>3</v>
      </c>
      <c r="G7524" s="4" t="str">
        <f>HYPERLINK("http://141.218.60.56/~jnz1568/getInfo.php?workbook=16_08.xlsx&amp;sheet=U0&amp;row=7524&amp;col=7&amp;number=0.0031&amp;sourceID=14","0.0031")</f>
        <v>0.0031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HYPERLINK("http://141.218.60.56/~jnz1568/getInfo.php?workbook=16_08.xlsx&amp;sheet=U0&amp;row=7525&amp;col=6&amp;number=3.1&amp;sourceID=14","3.1")</f>
        <v>3.1</v>
      </c>
      <c r="G7525" s="4" t="str">
        <f>HYPERLINK("http://141.218.60.56/~jnz1568/getInfo.php?workbook=16_08.xlsx&amp;sheet=U0&amp;row=7525&amp;col=7&amp;number=0.0031&amp;sourceID=14","0.0031")</f>
        <v>0.0031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HYPERLINK("http://141.218.60.56/~jnz1568/getInfo.php?workbook=16_08.xlsx&amp;sheet=U0&amp;row=7526&amp;col=6&amp;number=3.2&amp;sourceID=14","3.2")</f>
        <v>3.2</v>
      </c>
      <c r="G7526" s="4" t="str">
        <f>HYPERLINK("http://141.218.60.56/~jnz1568/getInfo.php?workbook=16_08.xlsx&amp;sheet=U0&amp;row=7526&amp;col=7&amp;number=0.0031&amp;sourceID=14","0.0031")</f>
        <v>0.0031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HYPERLINK("http://141.218.60.56/~jnz1568/getInfo.php?workbook=16_08.xlsx&amp;sheet=U0&amp;row=7527&amp;col=6&amp;number=3.3&amp;sourceID=14","3.3")</f>
        <v>3.3</v>
      </c>
      <c r="G7527" s="4" t="str">
        <f>HYPERLINK("http://141.218.60.56/~jnz1568/getInfo.php?workbook=16_08.xlsx&amp;sheet=U0&amp;row=7527&amp;col=7&amp;number=0.0031&amp;sourceID=14","0.0031")</f>
        <v>0.0031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HYPERLINK("http://141.218.60.56/~jnz1568/getInfo.php?workbook=16_08.xlsx&amp;sheet=U0&amp;row=7528&amp;col=6&amp;number=3.4&amp;sourceID=14","3.4")</f>
        <v>3.4</v>
      </c>
      <c r="G7528" s="4" t="str">
        <f>HYPERLINK("http://141.218.60.56/~jnz1568/getInfo.php?workbook=16_08.xlsx&amp;sheet=U0&amp;row=7528&amp;col=7&amp;number=0.0031&amp;sourceID=14","0.0031")</f>
        <v>0.0031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HYPERLINK("http://141.218.60.56/~jnz1568/getInfo.php?workbook=16_08.xlsx&amp;sheet=U0&amp;row=7529&amp;col=6&amp;number=3.5&amp;sourceID=14","3.5")</f>
        <v>3.5</v>
      </c>
      <c r="G7529" s="4" t="str">
        <f>HYPERLINK("http://141.218.60.56/~jnz1568/getInfo.php?workbook=16_08.xlsx&amp;sheet=U0&amp;row=7529&amp;col=7&amp;number=0.0031&amp;sourceID=14","0.0031")</f>
        <v>0.0031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HYPERLINK("http://141.218.60.56/~jnz1568/getInfo.php?workbook=16_08.xlsx&amp;sheet=U0&amp;row=7530&amp;col=6&amp;number=3.6&amp;sourceID=14","3.6")</f>
        <v>3.6</v>
      </c>
      <c r="G7530" s="4" t="str">
        <f>HYPERLINK("http://141.218.60.56/~jnz1568/getInfo.php?workbook=16_08.xlsx&amp;sheet=U0&amp;row=7530&amp;col=7&amp;number=0.0031&amp;sourceID=14","0.0031")</f>
        <v>0.0031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HYPERLINK("http://141.218.60.56/~jnz1568/getInfo.php?workbook=16_08.xlsx&amp;sheet=U0&amp;row=7531&amp;col=6&amp;number=3.7&amp;sourceID=14","3.7")</f>
        <v>3.7</v>
      </c>
      <c r="G7531" s="4" t="str">
        <f>HYPERLINK("http://141.218.60.56/~jnz1568/getInfo.php?workbook=16_08.xlsx&amp;sheet=U0&amp;row=7531&amp;col=7&amp;number=0.0031&amp;sourceID=14","0.0031")</f>
        <v>0.0031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HYPERLINK("http://141.218.60.56/~jnz1568/getInfo.php?workbook=16_08.xlsx&amp;sheet=U0&amp;row=7532&amp;col=6&amp;number=3.8&amp;sourceID=14","3.8")</f>
        <v>3.8</v>
      </c>
      <c r="G7532" s="4" t="str">
        <f>HYPERLINK("http://141.218.60.56/~jnz1568/getInfo.php?workbook=16_08.xlsx&amp;sheet=U0&amp;row=7532&amp;col=7&amp;number=0.0031&amp;sourceID=14","0.0031")</f>
        <v>0.0031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HYPERLINK("http://141.218.60.56/~jnz1568/getInfo.php?workbook=16_08.xlsx&amp;sheet=U0&amp;row=7533&amp;col=6&amp;number=3.9&amp;sourceID=14","3.9")</f>
        <v>3.9</v>
      </c>
      <c r="G7533" s="4" t="str">
        <f>HYPERLINK("http://141.218.60.56/~jnz1568/getInfo.php?workbook=16_08.xlsx&amp;sheet=U0&amp;row=7533&amp;col=7&amp;number=0.0031&amp;sourceID=14","0.0031")</f>
        <v>0.0031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HYPERLINK("http://141.218.60.56/~jnz1568/getInfo.php?workbook=16_08.xlsx&amp;sheet=U0&amp;row=7534&amp;col=6&amp;number=4&amp;sourceID=14","4")</f>
        <v>4</v>
      </c>
      <c r="G7534" s="4" t="str">
        <f>HYPERLINK("http://141.218.60.56/~jnz1568/getInfo.php?workbook=16_08.xlsx&amp;sheet=U0&amp;row=7534&amp;col=7&amp;number=0.00309&amp;sourceID=14","0.00309")</f>
        <v>0.00309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HYPERLINK("http://141.218.60.56/~jnz1568/getInfo.php?workbook=16_08.xlsx&amp;sheet=U0&amp;row=7535&amp;col=6&amp;number=4.1&amp;sourceID=14","4.1")</f>
        <v>4.1</v>
      </c>
      <c r="G7535" s="4" t="str">
        <f>HYPERLINK("http://141.218.60.56/~jnz1568/getInfo.php?workbook=16_08.xlsx&amp;sheet=U0&amp;row=7535&amp;col=7&amp;number=0.00309&amp;sourceID=14","0.00309")</f>
        <v>0.00309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HYPERLINK("http://141.218.60.56/~jnz1568/getInfo.php?workbook=16_08.xlsx&amp;sheet=U0&amp;row=7536&amp;col=6&amp;number=4.2&amp;sourceID=14","4.2")</f>
        <v>4.2</v>
      </c>
      <c r="G7536" s="4" t="str">
        <f>HYPERLINK("http://141.218.60.56/~jnz1568/getInfo.php?workbook=16_08.xlsx&amp;sheet=U0&amp;row=7536&amp;col=7&amp;number=0.00309&amp;sourceID=14","0.00309")</f>
        <v>0.00309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HYPERLINK("http://141.218.60.56/~jnz1568/getInfo.php?workbook=16_08.xlsx&amp;sheet=U0&amp;row=7537&amp;col=6&amp;number=4.3&amp;sourceID=14","4.3")</f>
        <v>4.3</v>
      </c>
      <c r="G7537" s="4" t="str">
        <f>HYPERLINK("http://141.218.60.56/~jnz1568/getInfo.php?workbook=16_08.xlsx&amp;sheet=U0&amp;row=7537&amp;col=7&amp;number=0.00309&amp;sourceID=14","0.00309")</f>
        <v>0.00309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HYPERLINK("http://141.218.60.56/~jnz1568/getInfo.php?workbook=16_08.xlsx&amp;sheet=U0&amp;row=7538&amp;col=6&amp;number=4.4&amp;sourceID=14","4.4")</f>
        <v>4.4</v>
      </c>
      <c r="G7538" s="4" t="str">
        <f>HYPERLINK("http://141.218.60.56/~jnz1568/getInfo.php?workbook=16_08.xlsx&amp;sheet=U0&amp;row=7538&amp;col=7&amp;number=0.00308&amp;sourceID=14","0.00308")</f>
        <v>0.00308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HYPERLINK("http://141.218.60.56/~jnz1568/getInfo.php?workbook=16_08.xlsx&amp;sheet=U0&amp;row=7539&amp;col=6&amp;number=4.5&amp;sourceID=14","4.5")</f>
        <v>4.5</v>
      </c>
      <c r="G7539" s="4" t="str">
        <f>HYPERLINK("http://141.218.60.56/~jnz1568/getInfo.php?workbook=16_08.xlsx&amp;sheet=U0&amp;row=7539&amp;col=7&amp;number=0.00308&amp;sourceID=14","0.00308")</f>
        <v>0.00308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HYPERLINK("http://141.218.60.56/~jnz1568/getInfo.php?workbook=16_08.xlsx&amp;sheet=U0&amp;row=7540&amp;col=6&amp;number=4.6&amp;sourceID=14","4.6")</f>
        <v>4.6</v>
      </c>
      <c r="G7540" s="4" t="str">
        <f>HYPERLINK("http://141.218.60.56/~jnz1568/getInfo.php?workbook=16_08.xlsx&amp;sheet=U0&amp;row=7540&amp;col=7&amp;number=0.00308&amp;sourceID=14","0.00308")</f>
        <v>0.00308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HYPERLINK("http://141.218.60.56/~jnz1568/getInfo.php?workbook=16_08.xlsx&amp;sheet=U0&amp;row=7541&amp;col=6&amp;number=4.7&amp;sourceID=14","4.7")</f>
        <v>4.7</v>
      </c>
      <c r="G7541" s="4" t="str">
        <f>HYPERLINK("http://141.218.60.56/~jnz1568/getInfo.php?workbook=16_08.xlsx&amp;sheet=U0&amp;row=7541&amp;col=7&amp;number=0.00307&amp;sourceID=14","0.00307")</f>
        <v>0.00307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HYPERLINK("http://141.218.60.56/~jnz1568/getInfo.php?workbook=16_08.xlsx&amp;sheet=U0&amp;row=7542&amp;col=6&amp;number=4.8&amp;sourceID=14","4.8")</f>
        <v>4.8</v>
      </c>
      <c r="G7542" s="4" t="str">
        <f>HYPERLINK("http://141.218.60.56/~jnz1568/getInfo.php?workbook=16_08.xlsx&amp;sheet=U0&amp;row=7542&amp;col=7&amp;number=0.00306&amp;sourceID=14","0.00306")</f>
        <v>0.00306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HYPERLINK("http://141.218.60.56/~jnz1568/getInfo.php?workbook=16_08.xlsx&amp;sheet=U0&amp;row=7543&amp;col=6&amp;number=4.9&amp;sourceID=14","4.9")</f>
        <v>4.9</v>
      </c>
      <c r="G7543" s="4" t="str">
        <f>HYPERLINK("http://141.218.60.56/~jnz1568/getInfo.php?workbook=16_08.xlsx&amp;sheet=U0&amp;row=7543&amp;col=7&amp;number=0.00305&amp;sourceID=14","0.00305")</f>
        <v>0.00305</v>
      </c>
    </row>
    <row r="7544" spans="1:7">
      <c r="A7544" s="3">
        <v>16</v>
      </c>
      <c r="B7544" s="3">
        <v>8</v>
      </c>
      <c r="C7544" s="3">
        <v>5</v>
      </c>
      <c r="D7544" s="3">
        <v>49</v>
      </c>
      <c r="E7544" s="3">
        <v>1</v>
      </c>
      <c r="F7544" s="4" t="str">
        <f>HYPERLINK("http://141.218.60.56/~jnz1568/getInfo.php?workbook=16_08.xlsx&amp;sheet=U0&amp;row=7544&amp;col=6&amp;number=3&amp;sourceID=14","3")</f>
        <v>3</v>
      </c>
      <c r="G7544" s="4" t="str">
        <f>HYPERLINK("http://141.218.60.56/~jnz1568/getInfo.php?workbook=16_08.xlsx&amp;sheet=U0&amp;row=7544&amp;col=7&amp;number=0.000154&amp;sourceID=14","0.000154")</f>
        <v>0.000154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HYPERLINK("http://141.218.60.56/~jnz1568/getInfo.php?workbook=16_08.xlsx&amp;sheet=U0&amp;row=7545&amp;col=6&amp;number=3.1&amp;sourceID=14","3.1")</f>
        <v>3.1</v>
      </c>
      <c r="G7545" s="4" t="str">
        <f>HYPERLINK("http://141.218.60.56/~jnz1568/getInfo.php?workbook=16_08.xlsx&amp;sheet=U0&amp;row=7545&amp;col=7&amp;number=0.000154&amp;sourceID=14","0.000154")</f>
        <v>0.000154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HYPERLINK("http://141.218.60.56/~jnz1568/getInfo.php?workbook=16_08.xlsx&amp;sheet=U0&amp;row=7546&amp;col=6&amp;number=3.2&amp;sourceID=14","3.2")</f>
        <v>3.2</v>
      </c>
      <c r="G7546" s="4" t="str">
        <f>HYPERLINK("http://141.218.60.56/~jnz1568/getInfo.php?workbook=16_08.xlsx&amp;sheet=U0&amp;row=7546&amp;col=7&amp;number=0.000154&amp;sourceID=14","0.000154")</f>
        <v>0.000154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HYPERLINK("http://141.218.60.56/~jnz1568/getInfo.php?workbook=16_08.xlsx&amp;sheet=U0&amp;row=7547&amp;col=6&amp;number=3.3&amp;sourceID=14","3.3")</f>
        <v>3.3</v>
      </c>
      <c r="G7547" s="4" t="str">
        <f>HYPERLINK("http://141.218.60.56/~jnz1568/getInfo.php?workbook=16_08.xlsx&amp;sheet=U0&amp;row=7547&amp;col=7&amp;number=0.000154&amp;sourceID=14","0.000154")</f>
        <v>0.000154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HYPERLINK("http://141.218.60.56/~jnz1568/getInfo.php?workbook=16_08.xlsx&amp;sheet=U0&amp;row=7548&amp;col=6&amp;number=3.4&amp;sourceID=14","3.4")</f>
        <v>3.4</v>
      </c>
      <c r="G7548" s="4" t="str">
        <f>HYPERLINK("http://141.218.60.56/~jnz1568/getInfo.php?workbook=16_08.xlsx&amp;sheet=U0&amp;row=7548&amp;col=7&amp;number=0.000154&amp;sourceID=14","0.000154")</f>
        <v>0.000154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HYPERLINK("http://141.218.60.56/~jnz1568/getInfo.php?workbook=16_08.xlsx&amp;sheet=U0&amp;row=7549&amp;col=6&amp;number=3.5&amp;sourceID=14","3.5")</f>
        <v>3.5</v>
      </c>
      <c r="G7549" s="4" t="str">
        <f>HYPERLINK("http://141.218.60.56/~jnz1568/getInfo.php?workbook=16_08.xlsx&amp;sheet=U0&amp;row=7549&amp;col=7&amp;number=0.000154&amp;sourceID=14","0.000154")</f>
        <v>0.000154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HYPERLINK("http://141.218.60.56/~jnz1568/getInfo.php?workbook=16_08.xlsx&amp;sheet=U0&amp;row=7550&amp;col=6&amp;number=3.6&amp;sourceID=14","3.6")</f>
        <v>3.6</v>
      </c>
      <c r="G7550" s="4" t="str">
        <f>HYPERLINK("http://141.218.60.56/~jnz1568/getInfo.php?workbook=16_08.xlsx&amp;sheet=U0&amp;row=7550&amp;col=7&amp;number=0.000154&amp;sourceID=14","0.000154")</f>
        <v>0.000154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HYPERLINK("http://141.218.60.56/~jnz1568/getInfo.php?workbook=16_08.xlsx&amp;sheet=U0&amp;row=7551&amp;col=6&amp;number=3.7&amp;sourceID=14","3.7")</f>
        <v>3.7</v>
      </c>
      <c r="G7551" s="4" t="str">
        <f>HYPERLINK("http://141.218.60.56/~jnz1568/getInfo.php?workbook=16_08.xlsx&amp;sheet=U0&amp;row=7551&amp;col=7&amp;number=0.000154&amp;sourceID=14","0.000154")</f>
        <v>0.000154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HYPERLINK("http://141.218.60.56/~jnz1568/getInfo.php?workbook=16_08.xlsx&amp;sheet=U0&amp;row=7552&amp;col=6&amp;number=3.8&amp;sourceID=14","3.8")</f>
        <v>3.8</v>
      </c>
      <c r="G7552" s="4" t="str">
        <f>HYPERLINK("http://141.218.60.56/~jnz1568/getInfo.php?workbook=16_08.xlsx&amp;sheet=U0&amp;row=7552&amp;col=7&amp;number=0.000154&amp;sourceID=14","0.000154")</f>
        <v>0.000154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HYPERLINK("http://141.218.60.56/~jnz1568/getInfo.php?workbook=16_08.xlsx&amp;sheet=U0&amp;row=7553&amp;col=6&amp;number=3.9&amp;sourceID=14","3.9")</f>
        <v>3.9</v>
      </c>
      <c r="G7553" s="4" t="str">
        <f>HYPERLINK("http://141.218.60.56/~jnz1568/getInfo.php?workbook=16_08.xlsx&amp;sheet=U0&amp;row=7553&amp;col=7&amp;number=0.000154&amp;sourceID=14","0.000154")</f>
        <v>0.000154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HYPERLINK("http://141.218.60.56/~jnz1568/getInfo.php?workbook=16_08.xlsx&amp;sheet=U0&amp;row=7554&amp;col=6&amp;number=4&amp;sourceID=14","4")</f>
        <v>4</v>
      </c>
      <c r="G7554" s="4" t="str">
        <f>HYPERLINK("http://141.218.60.56/~jnz1568/getInfo.php?workbook=16_08.xlsx&amp;sheet=U0&amp;row=7554&amp;col=7&amp;number=0.000154&amp;sourceID=14","0.000154")</f>
        <v>0.000154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HYPERLINK("http://141.218.60.56/~jnz1568/getInfo.php?workbook=16_08.xlsx&amp;sheet=U0&amp;row=7555&amp;col=6&amp;number=4.1&amp;sourceID=14","4.1")</f>
        <v>4.1</v>
      </c>
      <c r="G7555" s="4" t="str">
        <f>HYPERLINK("http://141.218.60.56/~jnz1568/getInfo.php?workbook=16_08.xlsx&amp;sheet=U0&amp;row=7555&amp;col=7&amp;number=0.000153&amp;sourceID=14","0.000153")</f>
        <v>0.000153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HYPERLINK("http://141.218.60.56/~jnz1568/getInfo.php?workbook=16_08.xlsx&amp;sheet=U0&amp;row=7556&amp;col=6&amp;number=4.2&amp;sourceID=14","4.2")</f>
        <v>4.2</v>
      </c>
      <c r="G7556" s="4" t="str">
        <f>HYPERLINK("http://141.218.60.56/~jnz1568/getInfo.php?workbook=16_08.xlsx&amp;sheet=U0&amp;row=7556&amp;col=7&amp;number=0.000153&amp;sourceID=14","0.000153")</f>
        <v>0.000153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HYPERLINK("http://141.218.60.56/~jnz1568/getInfo.php?workbook=16_08.xlsx&amp;sheet=U0&amp;row=7557&amp;col=6&amp;number=4.3&amp;sourceID=14","4.3")</f>
        <v>4.3</v>
      </c>
      <c r="G7557" s="4" t="str">
        <f>HYPERLINK("http://141.218.60.56/~jnz1568/getInfo.php?workbook=16_08.xlsx&amp;sheet=U0&amp;row=7557&amp;col=7&amp;number=0.000153&amp;sourceID=14","0.000153")</f>
        <v>0.000153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HYPERLINK("http://141.218.60.56/~jnz1568/getInfo.php?workbook=16_08.xlsx&amp;sheet=U0&amp;row=7558&amp;col=6&amp;number=4.4&amp;sourceID=14","4.4")</f>
        <v>4.4</v>
      </c>
      <c r="G7558" s="4" t="str">
        <f>HYPERLINK("http://141.218.60.56/~jnz1568/getInfo.php?workbook=16_08.xlsx&amp;sheet=U0&amp;row=7558&amp;col=7&amp;number=0.000152&amp;sourceID=14","0.000152")</f>
        <v>0.000152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HYPERLINK("http://141.218.60.56/~jnz1568/getInfo.php?workbook=16_08.xlsx&amp;sheet=U0&amp;row=7559&amp;col=6&amp;number=4.5&amp;sourceID=14","4.5")</f>
        <v>4.5</v>
      </c>
      <c r="G7559" s="4" t="str">
        <f>HYPERLINK("http://141.218.60.56/~jnz1568/getInfo.php?workbook=16_08.xlsx&amp;sheet=U0&amp;row=7559&amp;col=7&amp;number=0.000151&amp;sourceID=14","0.000151")</f>
        <v>0.000151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HYPERLINK("http://141.218.60.56/~jnz1568/getInfo.php?workbook=16_08.xlsx&amp;sheet=U0&amp;row=7560&amp;col=6&amp;number=4.6&amp;sourceID=14","4.6")</f>
        <v>4.6</v>
      </c>
      <c r="G7560" s="4" t="str">
        <f>HYPERLINK("http://141.218.60.56/~jnz1568/getInfo.php?workbook=16_08.xlsx&amp;sheet=U0&amp;row=7560&amp;col=7&amp;number=0.000151&amp;sourceID=14","0.000151")</f>
        <v>0.000151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HYPERLINK("http://141.218.60.56/~jnz1568/getInfo.php?workbook=16_08.xlsx&amp;sheet=U0&amp;row=7561&amp;col=6&amp;number=4.7&amp;sourceID=14","4.7")</f>
        <v>4.7</v>
      </c>
      <c r="G7561" s="4" t="str">
        <f>HYPERLINK("http://141.218.60.56/~jnz1568/getInfo.php?workbook=16_08.xlsx&amp;sheet=U0&amp;row=7561&amp;col=7&amp;number=0.00015&amp;sourceID=14","0.00015")</f>
        <v>0.00015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HYPERLINK("http://141.218.60.56/~jnz1568/getInfo.php?workbook=16_08.xlsx&amp;sheet=U0&amp;row=7562&amp;col=6&amp;number=4.8&amp;sourceID=14","4.8")</f>
        <v>4.8</v>
      </c>
      <c r="G7562" s="4" t="str">
        <f>HYPERLINK("http://141.218.60.56/~jnz1568/getInfo.php?workbook=16_08.xlsx&amp;sheet=U0&amp;row=7562&amp;col=7&amp;number=0.000149&amp;sourceID=14","0.000149")</f>
        <v>0.000149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HYPERLINK("http://141.218.60.56/~jnz1568/getInfo.php?workbook=16_08.xlsx&amp;sheet=U0&amp;row=7563&amp;col=6&amp;number=4.9&amp;sourceID=14","4.9")</f>
        <v>4.9</v>
      </c>
      <c r="G7563" s="4" t="str">
        <f>HYPERLINK("http://141.218.60.56/~jnz1568/getInfo.php?workbook=16_08.xlsx&amp;sheet=U0&amp;row=7563&amp;col=7&amp;number=0.000147&amp;sourceID=14","0.000147")</f>
        <v>0.000147</v>
      </c>
    </row>
    <row r="7564" spans="1:7">
      <c r="A7564" s="3">
        <v>16</v>
      </c>
      <c r="B7564" s="3">
        <v>8</v>
      </c>
      <c r="C7564" s="3">
        <v>5</v>
      </c>
      <c r="D7564" s="3">
        <v>50</v>
      </c>
      <c r="E7564" s="3">
        <v>1</v>
      </c>
      <c r="F7564" s="4" t="str">
        <f>HYPERLINK("http://141.218.60.56/~jnz1568/getInfo.php?workbook=16_08.xlsx&amp;sheet=U0&amp;row=7564&amp;col=6&amp;number=3&amp;sourceID=14","3")</f>
        <v>3</v>
      </c>
      <c r="G7564" s="4" t="str">
        <f>HYPERLINK("http://141.218.60.56/~jnz1568/getInfo.php?workbook=16_08.xlsx&amp;sheet=U0&amp;row=7564&amp;col=7&amp;number=7.06e-05&amp;sourceID=14","7.06e-05")</f>
        <v>7.06e-05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HYPERLINK("http://141.218.60.56/~jnz1568/getInfo.php?workbook=16_08.xlsx&amp;sheet=U0&amp;row=7565&amp;col=6&amp;number=3.1&amp;sourceID=14","3.1")</f>
        <v>3.1</v>
      </c>
      <c r="G7565" s="4" t="str">
        <f>HYPERLINK("http://141.218.60.56/~jnz1568/getInfo.php?workbook=16_08.xlsx&amp;sheet=U0&amp;row=7565&amp;col=7&amp;number=7.06e-05&amp;sourceID=14","7.06e-05")</f>
        <v>7.06e-05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HYPERLINK("http://141.218.60.56/~jnz1568/getInfo.php?workbook=16_08.xlsx&amp;sheet=U0&amp;row=7566&amp;col=6&amp;number=3.2&amp;sourceID=14","3.2")</f>
        <v>3.2</v>
      </c>
      <c r="G7566" s="4" t="str">
        <f>HYPERLINK("http://141.218.60.56/~jnz1568/getInfo.php?workbook=16_08.xlsx&amp;sheet=U0&amp;row=7566&amp;col=7&amp;number=7.06e-05&amp;sourceID=14","7.06e-05")</f>
        <v>7.06e-05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HYPERLINK("http://141.218.60.56/~jnz1568/getInfo.php?workbook=16_08.xlsx&amp;sheet=U0&amp;row=7567&amp;col=6&amp;number=3.3&amp;sourceID=14","3.3")</f>
        <v>3.3</v>
      </c>
      <c r="G7567" s="4" t="str">
        <f>HYPERLINK("http://141.218.60.56/~jnz1568/getInfo.php?workbook=16_08.xlsx&amp;sheet=U0&amp;row=7567&amp;col=7&amp;number=7.06e-05&amp;sourceID=14","7.06e-05")</f>
        <v>7.06e-05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HYPERLINK("http://141.218.60.56/~jnz1568/getInfo.php?workbook=16_08.xlsx&amp;sheet=U0&amp;row=7568&amp;col=6&amp;number=3.4&amp;sourceID=14","3.4")</f>
        <v>3.4</v>
      </c>
      <c r="G7568" s="4" t="str">
        <f>HYPERLINK("http://141.218.60.56/~jnz1568/getInfo.php?workbook=16_08.xlsx&amp;sheet=U0&amp;row=7568&amp;col=7&amp;number=7.06e-05&amp;sourceID=14","7.06e-05")</f>
        <v>7.06e-05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HYPERLINK("http://141.218.60.56/~jnz1568/getInfo.php?workbook=16_08.xlsx&amp;sheet=U0&amp;row=7569&amp;col=6&amp;number=3.5&amp;sourceID=14","3.5")</f>
        <v>3.5</v>
      </c>
      <c r="G7569" s="4" t="str">
        <f>HYPERLINK("http://141.218.60.56/~jnz1568/getInfo.php?workbook=16_08.xlsx&amp;sheet=U0&amp;row=7569&amp;col=7&amp;number=7.06e-05&amp;sourceID=14","7.06e-05")</f>
        <v>7.06e-05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HYPERLINK("http://141.218.60.56/~jnz1568/getInfo.php?workbook=16_08.xlsx&amp;sheet=U0&amp;row=7570&amp;col=6&amp;number=3.6&amp;sourceID=14","3.6")</f>
        <v>3.6</v>
      </c>
      <c r="G7570" s="4" t="str">
        <f>HYPERLINK("http://141.218.60.56/~jnz1568/getInfo.php?workbook=16_08.xlsx&amp;sheet=U0&amp;row=7570&amp;col=7&amp;number=7.06e-05&amp;sourceID=14","7.06e-05")</f>
        <v>7.06e-05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HYPERLINK("http://141.218.60.56/~jnz1568/getInfo.php?workbook=16_08.xlsx&amp;sheet=U0&amp;row=7571&amp;col=6&amp;number=3.7&amp;sourceID=14","3.7")</f>
        <v>3.7</v>
      </c>
      <c r="G7571" s="4" t="str">
        <f>HYPERLINK("http://141.218.60.56/~jnz1568/getInfo.php?workbook=16_08.xlsx&amp;sheet=U0&amp;row=7571&amp;col=7&amp;number=7.06e-05&amp;sourceID=14","7.06e-05")</f>
        <v>7.06e-05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HYPERLINK("http://141.218.60.56/~jnz1568/getInfo.php?workbook=16_08.xlsx&amp;sheet=U0&amp;row=7572&amp;col=6&amp;number=3.8&amp;sourceID=14","3.8")</f>
        <v>3.8</v>
      </c>
      <c r="G7572" s="4" t="str">
        <f>HYPERLINK("http://141.218.60.56/~jnz1568/getInfo.php?workbook=16_08.xlsx&amp;sheet=U0&amp;row=7572&amp;col=7&amp;number=7.06e-05&amp;sourceID=14","7.06e-05")</f>
        <v>7.06e-05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HYPERLINK("http://141.218.60.56/~jnz1568/getInfo.php?workbook=16_08.xlsx&amp;sheet=U0&amp;row=7573&amp;col=6&amp;number=3.9&amp;sourceID=14","3.9")</f>
        <v>3.9</v>
      </c>
      <c r="G7573" s="4" t="str">
        <f>HYPERLINK("http://141.218.60.56/~jnz1568/getInfo.php?workbook=16_08.xlsx&amp;sheet=U0&amp;row=7573&amp;col=7&amp;number=7.06e-05&amp;sourceID=14","7.06e-05")</f>
        <v>7.06e-05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HYPERLINK("http://141.218.60.56/~jnz1568/getInfo.php?workbook=16_08.xlsx&amp;sheet=U0&amp;row=7574&amp;col=6&amp;number=4&amp;sourceID=14","4")</f>
        <v>4</v>
      </c>
      <c r="G7574" s="4" t="str">
        <f>HYPERLINK("http://141.218.60.56/~jnz1568/getInfo.php?workbook=16_08.xlsx&amp;sheet=U0&amp;row=7574&amp;col=7&amp;number=7.05e-05&amp;sourceID=14","7.05e-05")</f>
        <v>7.05e-05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HYPERLINK("http://141.218.60.56/~jnz1568/getInfo.php?workbook=16_08.xlsx&amp;sheet=U0&amp;row=7575&amp;col=6&amp;number=4.1&amp;sourceID=14","4.1")</f>
        <v>4.1</v>
      </c>
      <c r="G7575" s="4" t="str">
        <f>HYPERLINK("http://141.218.60.56/~jnz1568/getInfo.php?workbook=16_08.xlsx&amp;sheet=U0&amp;row=7575&amp;col=7&amp;number=7.05e-05&amp;sourceID=14","7.05e-05")</f>
        <v>7.05e-05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HYPERLINK("http://141.218.60.56/~jnz1568/getInfo.php?workbook=16_08.xlsx&amp;sheet=U0&amp;row=7576&amp;col=6&amp;number=4.2&amp;sourceID=14","4.2")</f>
        <v>4.2</v>
      </c>
      <c r="G7576" s="4" t="str">
        <f>HYPERLINK("http://141.218.60.56/~jnz1568/getInfo.php?workbook=16_08.xlsx&amp;sheet=U0&amp;row=7576&amp;col=7&amp;number=7.05e-05&amp;sourceID=14","7.05e-05")</f>
        <v>7.05e-05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HYPERLINK("http://141.218.60.56/~jnz1568/getInfo.php?workbook=16_08.xlsx&amp;sheet=U0&amp;row=7577&amp;col=6&amp;number=4.3&amp;sourceID=14","4.3")</f>
        <v>4.3</v>
      </c>
      <c r="G7577" s="4" t="str">
        <f>HYPERLINK("http://141.218.60.56/~jnz1568/getInfo.php?workbook=16_08.xlsx&amp;sheet=U0&amp;row=7577&amp;col=7&amp;number=7.04e-05&amp;sourceID=14","7.04e-05")</f>
        <v>7.04e-05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HYPERLINK("http://141.218.60.56/~jnz1568/getInfo.php?workbook=16_08.xlsx&amp;sheet=U0&amp;row=7578&amp;col=6&amp;number=4.4&amp;sourceID=14","4.4")</f>
        <v>4.4</v>
      </c>
      <c r="G7578" s="4" t="str">
        <f>HYPERLINK("http://141.218.60.56/~jnz1568/getInfo.php?workbook=16_08.xlsx&amp;sheet=U0&amp;row=7578&amp;col=7&amp;number=7.04e-05&amp;sourceID=14","7.04e-05")</f>
        <v>7.04e-05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HYPERLINK("http://141.218.60.56/~jnz1568/getInfo.php?workbook=16_08.xlsx&amp;sheet=U0&amp;row=7579&amp;col=6&amp;number=4.5&amp;sourceID=14","4.5")</f>
        <v>4.5</v>
      </c>
      <c r="G7579" s="4" t="str">
        <f>HYPERLINK("http://141.218.60.56/~jnz1568/getInfo.php?workbook=16_08.xlsx&amp;sheet=U0&amp;row=7579&amp;col=7&amp;number=7.03e-05&amp;sourceID=14","7.03e-05")</f>
        <v>7.03e-05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HYPERLINK("http://141.218.60.56/~jnz1568/getInfo.php?workbook=16_08.xlsx&amp;sheet=U0&amp;row=7580&amp;col=6&amp;number=4.6&amp;sourceID=14","4.6")</f>
        <v>4.6</v>
      </c>
      <c r="G7580" s="4" t="str">
        <f>HYPERLINK("http://141.218.60.56/~jnz1568/getInfo.php?workbook=16_08.xlsx&amp;sheet=U0&amp;row=7580&amp;col=7&amp;number=7.02e-05&amp;sourceID=14","7.02e-05")</f>
        <v>7.02e-05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HYPERLINK("http://141.218.60.56/~jnz1568/getInfo.php?workbook=16_08.xlsx&amp;sheet=U0&amp;row=7581&amp;col=6&amp;number=4.7&amp;sourceID=14","4.7")</f>
        <v>4.7</v>
      </c>
      <c r="G7581" s="4" t="str">
        <f>HYPERLINK("http://141.218.60.56/~jnz1568/getInfo.php?workbook=16_08.xlsx&amp;sheet=U0&amp;row=7581&amp;col=7&amp;number=7.01e-05&amp;sourceID=14","7.01e-05")</f>
        <v>7.01e-05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HYPERLINK("http://141.218.60.56/~jnz1568/getInfo.php?workbook=16_08.xlsx&amp;sheet=U0&amp;row=7582&amp;col=6&amp;number=4.8&amp;sourceID=14","4.8")</f>
        <v>4.8</v>
      </c>
      <c r="G7582" s="4" t="str">
        <f>HYPERLINK("http://141.218.60.56/~jnz1568/getInfo.php?workbook=16_08.xlsx&amp;sheet=U0&amp;row=7582&amp;col=7&amp;number=7e-05&amp;sourceID=14","7e-05")</f>
        <v>7e-05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HYPERLINK("http://141.218.60.56/~jnz1568/getInfo.php?workbook=16_08.xlsx&amp;sheet=U0&amp;row=7583&amp;col=6&amp;number=4.9&amp;sourceID=14","4.9")</f>
        <v>4.9</v>
      </c>
      <c r="G7583" s="4" t="str">
        <f>HYPERLINK("http://141.218.60.56/~jnz1568/getInfo.php?workbook=16_08.xlsx&amp;sheet=U0&amp;row=7583&amp;col=7&amp;number=6.98e-05&amp;sourceID=14","6.98e-05")</f>
        <v>6.98e-05</v>
      </c>
    </row>
    <row r="7584" spans="1:7">
      <c r="A7584" s="3">
        <v>16</v>
      </c>
      <c r="B7584" s="3">
        <v>8</v>
      </c>
      <c r="C7584" s="3">
        <v>5</v>
      </c>
      <c r="D7584" s="3">
        <v>51</v>
      </c>
      <c r="E7584" s="3">
        <v>1</v>
      </c>
      <c r="F7584" s="4" t="str">
        <f>HYPERLINK("http://141.218.60.56/~jnz1568/getInfo.php?workbook=16_08.xlsx&amp;sheet=U0&amp;row=7584&amp;col=6&amp;number=3&amp;sourceID=14","3")</f>
        <v>3</v>
      </c>
      <c r="G7584" s="4" t="str">
        <f>HYPERLINK("http://141.218.60.56/~jnz1568/getInfo.php?workbook=16_08.xlsx&amp;sheet=U0&amp;row=7584&amp;col=7&amp;number=0.000135&amp;sourceID=14","0.000135")</f>
        <v>0.000135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HYPERLINK("http://141.218.60.56/~jnz1568/getInfo.php?workbook=16_08.xlsx&amp;sheet=U0&amp;row=7585&amp;col=6&amp;number=3.1&amp;sourceID=14","3.1")</f>
        <v>3.1</v>
      </c>
      <c r="G7585" s="4" t="str">
        <f>HYPERLINK("http://141.218.60.56/~jnz1568/getInfo.php?workbook=16_08.xlsx&amp;sheet=U0&amp;row=7585&amp;col=7&amp;number=0.000135&amp;sourceID=14","0.000135")</f>
        <v>0.000135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HYPERLINK("http://141.218.60.56/~jnz1568/getInfo.php?workbook=16_08.xlsx&amp;sheet=U0&amp;row=7586&amp;col=6&amp;number=3.2&amp;sourceID=14","3.2")</f>
        <v>3.2</v>
      </c>
      <c r="G7586" s="4" t="str">
        <f>HYPERLINK("http://141.218.60.56/~jnz1568/getInfo.php?workbook=16_08.xlsx&amp;sheet=U0&amp;row=7586&amp;col=7&amp;number=0.000135&amp;sourceID=14","0.000135")</f>
        <v>0.000135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HYPERLINK("http://141.218.60.56/~jnz1568/getInfo.php?workbook=16_08.xlsx&amp;sheet=U0&amp;row=7587&amp;col=6&amp;number=3.3&amp;sourceID=14","3.3")</f>
        <v>3.3</v>
      </c>
      <c r="G7587" s="4" t="str">
        <f>HYPERLINK("http://141.218.60.56/~jnz1568/getInfo.php?workbook=16_08.xlsx&amp;sheet=U0&amp;row=7587&amp;col=7&amp;number=0.000135&amp;sourceID=14","0.000135")</f>
        <v>0.000135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HYPERLINK("http://141.218.60.56/~jnz1568/getInfo.php?workbook=16_08.xlsx&amp;sheet=U0&amp;row=7588&amp;col=6&amp;number=3.4&amp;sourceID=14","3.4")</f>
        <v>3.4</v>
      </c>
      <c r="G7588" s="4" t="str">
        <f>HYPERLINK("http://141.218.60.56/~jnz1568/getInfo.php?workbook=16_08.xlsx&amp;sheet=U0&amp;row=7588&amp;col=7&amp;number=0.000135&amp;sourceID=14","0.000135")</f>
        <v>0.000135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HYPERLINK("http://141.218.60.56/~jnz1568/getInfo.php?workbook=16_08.xlsx&amp;sheet=U0&amp;row=7589&amp;col=6&amp;number=3.5&amp;sourceID=14","3.5")</f>
        <v>3.5</v>
      </c>
      <c r="G7589" s="4" t="str">
        <f>HYPERLINK("http://141.218.60.56/~jnz1568/getInfo.php?workbook=16_08.xlsx&amp;sheet=U0&amp;row=7589&amp;col=7&amp;number=0.000135&amp;sourceID=14","0.000135")</f>
        <v>0.000135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HYPERLINK("http://141.218.60.56/~jnz1568/getInfo.php?workbook=16_08.xlsx&amp;sheet=U0&amp;row=7590&amp;col=6&amp;number=3.6&amp;sourceID=14","3.6")</f>
        <v>3.6</v>
      </c>
      <c r="G7590" s="4" t="str">
        <f>HYPERLINK("http://141.218.60.56/~jnz1568/getInfo.php?workbook=16_08.xlsx&amp;sheet=U0&amp;row=7590&amp;col=7&amp;number=0.000135&amp;sourceID=14","0.000135")</f>
        <v>0.000135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HYPERLINK("http://141.218.60.56/~jnz1568/getInfo.php?workbook=16_08.xlsx&amp;sheet=U0&amp;row=7591&amp;col=6&amp;number=3.7&amp;sourceID=14","3.7")</f>
        <v>3.7</v>
      </c>
      <c r="G7591" s="4" t="str">
        <f>HYPERLINK("http://141.218.60.56/~jnz1568/getInfo.php?workbook=16_08.xlsx&amp;sheet=U0&amp;row=7591&amp;col=7&amp;number=0.000135&amp;sourceID=14","0.000135")</f>
        <v>0.000135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HYPERLINK("http://141.218.60.56/~jnz1568/getInfo.php?workbook=16_08.xlsx&amp;sheet=U0&amp;row=7592&amp;col=6&amp;number=3.8&amp;sourceID=14","3.8")</f>
        <v>3.8</v>
      </c>
      <c r="G7592" s="4" t="str">
        <f>HYPERLINK("http://141.218.60.56/~jnz1568/getInfo.php?workbook=16_08.xlsx&amp;sheet=U0&amp;row=7592&amp;col=7&amp;number=0.000135&amp;sourceID=14","0.000135")</f>
        <v>0.000135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HYPERLINK("http://141.218.60.56/~jnz1568/getInfo.php?workbook=16_08.xlsx&amp;sheet=U0&amp;row=7593&amp;col=6&amp;number=3.9&amp;sourceID=14","3.9")</f>
        <v>3.9</v>
      </c>
      <c r="G7593" s="4" t="str">
        <f>HYPERLINK("http://141.218.60.56/~jnz1568/getInfo.php?workbook=16_08.xlsx&amp;sheet=U0&amp;row=7593&amp;col=7&amp;number=0.000135&amp;sourceID=14","0.000135")</f>
        <v>0.000135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HYPERLINK("http://141.218.60.56/~jnz1568/getInfo.php?workbook=16_08.xlsx&amp;sheet=U0&amp;row=7594&amp;col=6&amp;number=4&amp;sourceID=14","4")</f>
        <v>4</v>
      </c>
      <c r="G7594" s="4" t="str">
        <f>HYPERLINK("http://141.218.60.56/~jnz1568/getInfo.php?workbook=16_08.xlsx&amp;sheet=U0&amp;row=7594&amp;col=7&amp;number=0.000134&amp;sourceID=14","0.000134")</f>
        <v>0.000134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HYPERLINK("http://141.218.60.56/~jnz1568/getInfo.php?workbook=16_08.xlsx&amp;sheet=U0&amp;row=7595&amp;col=6&amp;number=4.1&amp;sourceID=14","4.1")</f>
        <v>4.1</v>
      </c>
      <c r="G7595" s="4" t="str">
        <f>HYPERLINK("http://141.218.60.56/~jnz1568/getInfo.php?workbook=16_08.xlsx&amp;sheet=U0&amp;row=7595&amp;col=7&amp;number=0.000134&amp;sourceID=14","0.000134")</f>
        <v>0.000134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HYPERLINK("http://141.218.60.56/~jnz1568/getInfo.php?workbook=16_08.xlsx&amp;sheet=U0&amp;row=7596&amp;col=6&amp;number=4.2&amp;sourceID=14","4.2")</f>
        <v>4.2</v>
      </c>
      <c r="G7596" s="4" t="str">
        <f>HYPERLINK("http://141.218.60.56/~jnz1568/getInfo.php?workbook=16_08.xlsx&amp;sheet=U0&amp;row=7596&amp;col=7&amp;number=0.000134&amp;sourceID=14","0.000134")</f>
        <v>0.000134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HYPERLINK("http://141.218.60.56/~jnz1568/getInfo.php?workbook=16_08.xlsx&amp;sheet=U0&amp;row=7597&amp;col=6&amp;number=4.3&amp;sourceID=14","4.3")</f>
        <v>4.3</v>
      </c>
      <c r="G7597" s="4" t="str">
        <f>HYPERLINK("http://141.218.60.56/~jnz1568/getInfo.php?workbook=16_08.xlsx&amp;sheet=U0&amp;row=7597&amp;col=7&amp;number=0.000134&amp;sourceID=14","0.000134")</f>
        <v>0.000134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HYPERLINK("http://141.218.60.56/~jnz1568/getInfo.php?workbook=16_08.xlsx&amp;sheet=U0&amp;row=7598&amp;col=6&amp;number=4.4&amp;sourceID=14","4.4")</f>
        <v>4.4</v>
      </c>
      <c r="G7598" s="4" t="str">
        <f>HYPERLINK("http://141.218.60.56/~jnz1568/getInfo.php?workbook=16_08.xlsx&amp;sheet=U0&amp;row=7598&amp;col=7&amp;number=0.000134&amp;sourceID=14","0.000134")</f>
        <v>0.000134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HYPERLINK("http://141.218.60.56/~jnz1568/getInfo.php?workbook=16_08.xlsx&amp;sheet=U0&amp;row=7599&amp;col=6&amp;number=4.5&amp;sourceID=14","4.5")</f>
        <v>4.5</v>
      </c>
      <c r="G7599" s="4" t="str">
        <f>HYPERLINK("http://141.218.60.56/~jnz1568/getInfo.php?workbook=16_08.xlsx&amp;sheet=U0&amp;row=7599&amp;col=7&amp;number=0.000134&amp;sourceID=14","0.000134")</f>
        <v>0.000134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HYPERLINK("http://141.218.60.56/~jnz1568/getInfo.php?workbook=16_08.xlsx&amp;sheet=U0&amp;row=7600&amp;col=6&amp;number=4.6&amp;sourceID=14","4.6")</f>
        <v>4.6</v>
      </c>
      <c r="G7600" s="4" t="str">
        <f>HYPERLINK("http://141.218.60.56/~jnz1568/getInfo.php?workbook=16_08.xlsx&amp;sheet=U0&amp;row=7600&amp;col=7&amp;number=0.000133&amp;sourceID=14","0.000133")</f>
        <v>0.000133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HYPERLINK("http://141.218.60.56/~jnz1568/getInfo.php?workbook=16_08.xlsx&amp;sheet=U0&amp;row=7601&amp;col=6&amp;number=4.7&amp;sourceID=14","4.7")</f>
        <v>4.7</v>
      </c>
      <c r="G7601" s="4" t="str">
        <f>HYPERLINK("http://141.218.60.56/~jnz1568/getInfo.php?workbook=16_08.xlsx&amp;sheet=U0&amp;row=7601&amp;col=7&amp;number=0.000133&amp;sourceID=14","0.000133")</f>
        <v>0.000133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HYPERLINK("http://141.218.60.56/~jnz1568/getInfo.php?workbook=16_08.xlsx&amp;sheet=U0&amp;row=7602&amp;col=6&amp;number=4.8&amp;sourceID=14","4.8")</f>
        <v>4.8</v>
      </c>
      <c r="G7602" s="4" t="str">
        <f>HYPERLINK("http://141.218.60.56/~jnz1568/getInfo.php?workbook=16_08.xlsx&amp;sheet=U0&amp;row=7602&amp;col=7&amp;number=0.000133&amp;sourceID=14","0.000133")</f>
        <v>0.000133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HYPERLINK("http://141.218.60.56/~jnz1568/getInfo.php?workbook=16_08.xlsx&amp;sheet=U0&amp;row=7603&amp;col=6&amp;number=4.9&amp;sourceID=14","4.9")</f>
        <v>4.9</v>
      </c>
      <c r="G7603" s="4" t="str">
        <f>HYPERLINK("http://141.218.60.56/~jnz1568/getInfo.php?workbook=16_08.xlsx&amp;sheet=U0&amp;row=7603&amp;col=7&amp;number=0.000132&amp;sourceID=14","0.000132")</f>
        <v>0.000132</v>
      </c>
    </row>
    <row r="7604" spans="1:7">
      <c r="A7604" s="3">
        <v>16</v>
      </c>
      <c r="B7604" s="3">
        <v>8</v>
      </c>
      <c r="C7604" s="3">
        <v>5</v>
      </c>
      <c r="D7604" s="3">
        <v>52</v>
      </c>
      <c r="E7604" s="3">
        <v>1</v>
      </c>
      <c r="F7604" s="4" t="str">
        <f>HYPERLINK("http://141.218.60.56/~jnz1568/getInfo.php?workbook=16_08.xlsx&amp;sheet=U0&amp;row=7604&amp;col=6&amp;number=3&amp;sourceID=14","3")</f>
        <v>3</v>
      </c>
      <c r="G7604" s="4" t="str">
        <f>HYPERLINK("http://141.218.60.56/~jnz1568/getInfo.php?workbook=16_08.xlsx&amp;sheet=U0&amp;row=7604&amp;col=7&amp;number=0.00496&amp;sourceID=14","0.00496")</f>
        <v>0.00496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HYPERLINK("http://141.218.60.56/~jnz1568/getInfo.php?workbook=16_08.xlsx&amp;sheet=U0&amp;row=7605&amp;col=6&amp;number=3.1&amp;sourceID=14","3.1")</f>
        <v>3.1</v>
      </c>
      <c r="G7605" s="4" t="str">
        <f>HYPERLINK("http://141.218.60.56/~jnz1568/getInfo.php?workbook=16_08.xlsx&amp;sheet=U0&amp;row=7605&amp;col=7&amp;number=0.00496&amp;sourceID=14","0.00496")</f>
        <v>0.00496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HYPERLINK("http://141.218.60.56/~jnz1568/getInfo.php?workbook=16_08.xlsx&amp;sheet=U0&amp;row=7606&amp;col=6&amp;number=3.2&amp;sourceID=14","3.2")</f>
        <v>3.2</v>
      </c>
      <c r="G7606" s="4" t="str">
        <f>HYPERLINK("http://141.218.60.56/~jnz1568/getInfo.php?workbook=16_08.xlsx&amp;sheet=U0&amp;row=7606&amp;col=7&amp;number=0.00496&amp;sourceID=14","0.00496")</f>
        <v>0.00496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HYPERLINK("http://141.218.60.56/~jnz1568/getInfo.php?workbook=16_08.xlsx&amp;sheet=U0&amp;row=7607&amp;col=6&amp;number=3.3&amp;sourceID=14","3.3")</f>
        <v>3.3</v>
      </c>
      <c r="G7607" s="4" t="str">
        <f>HYPERLINK("http://141.218.60.56/~jnz1568/getInfo.php?workbook=16_08.xlsx&amp;sheet=U0&amp;row=7607&amp;col=7&amp;number=0.00496&amp;sourceID=14","0.00496")</f>
        <v>0.00496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HYPERLINK("http://141.218.60.56/~jnz1568/getInfo.php?workbook=16_08.xlsx&amp;sheet=U0&amp;row=7608&amp;col=6&amp;number=3.4&amp;sourceID=14","3.4")</f>
        <v>3.4</v>
      </c>
      <c r="G7608" s="4" t="str">
        <f>HYPERLINK("http://141.218.60.56/~jnz1568/getInfo.php?workbook=16_08.xlsx&amp;sheet=U0&amp;row=7608&amp;col=7&amp;number=0.00495&amp;sourceID=14","0.00495")</f>
        <v>0.00495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HYPERLINK("http://141.218.60.56/~jnz1568/getInfo.php?workbook=16_08.xlsx&amp;sheet=U0&amp;row=7609&amp;col=6&amp;number=3.5&amp;sourceID=14","3.5")</f>
        <v>3.5</v>
      </c>
      <c r="G7609" s="4" t="str">
        <f>HYPERLINK("http://141.218.60.56/~jnz1568/getInfo.php?workbook=16_08.xlsx&amp;sheet=U0&amp;row=7609&amp;col=7&amp;number=0.00495&amp;sourceID=14","0.00495")</f>
        <v>0.00495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HYPERLINK("http://141.218.60.56/~jnz1568/getInfo.php?workbook=16_08.xlsx&amp;sheet=U0&amp;row=7610&amp;col=6&amp;number=3.6&amp;sourceID=14","3.6")</f>
        <v>3.6</v>
      </c>
      <c r="G7610" s="4" t="str">
        <f>HYPERLINK("http://141.218.60.56/~jnz1568/getInfo.php?workbook=16_08.xlsx&amp;sheet=U0&amp;row=7610&amp;col=7&amp;number=0.00495&amp;sourceID=14","0.00495")</f>
        <v>0.00495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HYPERLINK("http://141.218.60.56/~jnz1568/getInfo.php?workbook=16_08.xlsx&amp;sheet=U0&amp;row=7611&amp;col=6&amp;number=3.7&amp;sourceID=14","3.7")</f>
        <v>3.7</v>
      </c>
      <c r="G7611" s="4" t="str">
        <f>HYPERLINK("http://141.218.60.56/~jnz1568/getInfo.php?workbook=16_08.xlsx&amp;sheet=U0&amp;row=7611&amp;col=7&amp;number=0.00495&amp;sourceID=14","0.00495")</f>
        <v>0.00495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HYPERLINK("http://141.218.60.56/~jnz1568/getInfo.php?workbook=16_08.xlsx&amp;sheet=U0&amp;row=7612&amp;col=6&amp;number=3.8&amp;sourceID=14","3.8")</f>
        <v>3.8</v>
      </c>
      <c r="G7612" s="4" t="str">
        <f>HYPERLINK("http://141.218.60.56/~jnz1568/getInfo.php?workbook=16_08.xlsx&amp;sheet=U0&amp;row=7612&amp;col=7&amp;number=0.00495&amp;sourceID=14","0.00495")</f>
        <v>0.00495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HYPERLINK("http://141.218.60.56/~jnz1568/getInfo.php?workbook=16_08.xlsx&amp;sheet=U0&amp;row=7613&amp;col=6&amp;number=3.9&amp;sourceID=14","3.9")</f>
        <v>3.9</v>
      </c>
      <c r="G7613" s="4" t="str">
        <f>HYPERLINK("http://141.218.60.56/~jnz1568/getInfo.php?workbook=16_08.xlsx&amp;sheet=U0&amp;row=7613&amp;col=7&amp;number=0.00495&amp;sourceID=14","0.00495")</f>
        <v>0.00495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HYPERLINK("http://141.218.60.56/~jnz1568/getInfo.php?workbook=16_08.xlsx&amp;sheet=U0&amp;row=7614&amp;col=6&amp;number=4&amp;sourceID=14","4")</f>
        <v>4</v>
      </c>
      <c r="G7614" s="4" t="str">
        <f>HYPERLINK("http://141.218.60.56/~jnz1568/getInfo.php?workbook=16_08.xlsx&amp;sheet=U0&amp;row=7614&amp;col=7&amp;number=0.00495&amp;sourceID=14","0.00495")</f>
        <v>0.00495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HYPERLINK("http://141.218.60.56/~jnz1568/getInfo.php?workbook=16_08.xlsx&amp;sheet=U0&amp;row=7615&amp;col=6&amp;number=4.1&amp;sourceID=14","4.1")</f>
        <v>4.1</v>
      </c>
      <c r="G7615" s="4" t="str">
        <f>HYPERLINK("http://141.218.60.56/~jnz1568/getInfo.php?workbook=16_08.xlsx&amp;sheet=U0&amp;row=7615&amp;col=7&amp;number=0.00495&amp;sourceID=14","0.00495")</f>
        <v>0.00495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HYPERLINK("http://141.218.60.56/~jnz1568/getInfo.php?workbook=16_08.xlsx&amp;sheet=U0&amp;row=7616&amp;col=6&amp;number=4.2&amp;sourceID=14","4.2")</f>
        <v>4.2</v>
      </c>
      <c r="G7616" s="4" t="str">
        <f>HYPERLINK("http://141.218.60.56/~jnz1568/getInfo.php?workbook=16_08.xlsx&amp;sheet=U0&amp;row=7616&amp;col=7&amp;number=0.00494&amp;sourceID=14","0.00494")</f>
        <v>0.00494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HYPERLINK("http://141.218.60.56/~jnz1568/getInfo.php?workbook=16_08.xlsx&amp;sheet=U0&amp;row=7617&amp;col=6&amp;number=4.3&amp;sourceID=14","4.3")</f>
        <v>4.3</v>
      </c>
      <c r="G7617" s="4" t="str">
        <f>HYPERLINK("http://141.218.60.56/~jnz1568/getInfo.php?workbook=16_08.xlsx&amp;sheet=U0&amp;row=7617&amp;col=7&amp;number=0.00494&amp;sourceID=14","0.00494")</f>
        <v>0.00494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HYPERLINK("http://141.218.60.56/~jnz1568/getInfo.php?workbook=16_08.xlsx&amp;sheet=U0&amp;row=7618&amp;col=6&amp;number=4.4&amp;sourceID=14","4.4")</f>
        <v>4.4</v>
      </c>
      <c r="G7618" s="4" t="str">
        <f>HYPERLINK("http://141.218.60.56/~jnz1568/getInfo.php?workbook=16_08.xlsx&amp;sheet=U0&amp;row=7618&amp;col=7&amp;number=0.00493&amp;sourceID=14","0.00493")</f>
        <v>0.00493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HYPERLINK("http://141.218.60.56/~jnz1568/getInfo.php?workbook=16_08.xlsx&amp;sheet=U0&amp;row=7619&amp;col=6&amp;number=4.5&amp;sourceID=14","4.5")</f>
        <v>4.5</v>
      </c>
      <c r="G7619" s="4" t="str">
        <f>HYPERLINK("http://141.218.60.56/~jnz1568/getInfo.php?workbook=16_08.xlsx&amp;sheet=U0&amp;row=7619&amp;col=7&amp;number=0.00493&amp;sourceID=14","0.00493")</f>
        <v>0.00493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HYPERLINK("http://141.218.60.56/~jnz1568/getInfo.php?workbook=16_08.xlsx&amp;sheet=U0&amp;row=7620&amp;col=6&amp;number=4.6&amp;sourceID=14","4.6")</f>
        <v>4.6</v>
      </c>
      <c r="G7620" s="4" t="str">
        <f>HYPERLINK("http://141.218.60.56/~jnz1568/getInfo.php?workbook=16_08.xlsx&amp;sheet=U0&amp;row=7620&amp;col=7&amp;number=0.00492&amp;sourceID=14","0.00492")</f>
        <v>0.00492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HYPERLINK("http://141.218.60.56/~jnz1568/getInfo.php?workbook=16_08.xlsx&amp;sheet=U0&amp;row=7621&amp;col=6&amp;number=4.7&amp;sourceID=14","4.7")</f>
        <v>4.7</v>
      </c>
      <c r="G7621" s="4" t="str">
        <f>HYPERLINK("http://141.218.60.56/~jnz1568/getInfo.php?workbook=16_08.xlsx&amp;sheet=U0&amp;row=7621&amp;col=7&amp;number=0.00491&amp;sourceID=14","0.00491")</f>
        <v>0.00491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HYPERLINK("http://141.218.60.56/~jnz1568/getInfo.php?workbook=16_08.xlsx&amp;sheet=U0&amp;row=7622&amp;col=6&amp;number=4.8&amp;sourceID=14","4.8")</f>
        <v>4.8</v>
      </c>
      <c r="G7622" s="4" t="str">
        <f>HYPERLINK("http://141.218.60.56/~jnz1568/getInfo.php?workbook=16_08.xlsx&amp;sheet=U0&amp;row=7622&amp;col=7&amp;number=0.0049&amp;sourceID=14","0.0049")</f>
        <v>0.0049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HYPERLINK("http://141.218.60.56/~jnz1568/getInfo.php?workbook=16_08.xlsx&amp;sheet=U0&amp;row=7623&amp;col=6&amp;number=4.9&amp;sourceID=14","4.9")</f>
        <v>4.9</v>
      </c>
      <c r="G7623" s="4" t="str">
        <f>HYPERLINK("http://141.218.60.56/~jnz1568/getInfo.php?workbook=16_08.xlsx&amp;sheet=U0&amp;row=7623&amp;col=7&amp;number=0.00489&amp;sourceID=14","0.00489")</f>
        <v>0.00489</v>
      </c>
    </row>
    <row r="7624" spans="1:7">
      <c r="A7624" s="3">
        <v>16</v>
      </c>
      <c r="B7624" s="3">
        <v>8</v>
      </c>
      <c r="C7624" s="3">
        <v>5</v>
      </c>
      <c r="D7624" s="3">
        <v>53</v>
      </c>
      <c r="E7624" s="3">
        <v>1</v>
      </c>
      <c r="F7624" s="4" t="str">
        <f>HYPERLINK("http://141.218.60.56/~jnz1568/getInfo.php?workbook=16_08.xlsx&amp;sheet=U0&amp;row=7624&amp;col=6&amp;number=3&amp;sourceID=14","3")</f>
        <v>3</v>
      </c>
      <c r="G7624" s="4" t="str">
        <f>HYPERLINK("http://141.218.60.56/~jnz1568/getInfo.php?workbook=16_08.xlsx&amp;sheet=U0&amp;row=7624&amp;col=7&amp;number=0.0033&amp;sourceID=14","0.0033")</f>
        <v>0.0033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HYPERLINK("http://141.218.60.56/~jnz1568/getInfo.php?workbook=16_08.xlsx&amp;sheet=U0&amp;row=7625&amp;col=6&amp;number=3.1&amp;sourceID=14","3.1")</f>
        <v>3.1</v>
      </c>
      <c r="G7625" s="4" t="str">
        <f>HYPERLINK("http://141.218.60.56/~jnz1568/getInfo.php?workbook=16_08.xlsx&amp;sheet=U0&amp;row=7625&amp;col=7&amp;number=0.0033&amp;sourceID=14","0.0033")</f>
        <v>0.0033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HYPERLINK("http://141.218.60.56/~jnz1568/getInfo.php?workbook=16_08.xlsx&amp;sheet=U0&amp;row=7626&amp;col=6&amp;number=3.2&amp;sourceID=14","3.2")</f>
        <v>3.2</v>
      </c>
      <c r="G7626" s="4" t="str">
        <f>HYPERLINK("http://141.218.60.56/~jnz1568/getInfo.php?workbook=16_08.xlsx&amp;sheet=U0&amp;row=7626&amp;col=7&amp;number=0.0033&amp;sourceID=14","0.0033")</f>
        <v>0.0033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HYPERLINK("http://141.218.60.56/~jnz1568/getInfo.php?workbook=16_08.xlsx&amp;sheet=U0&amp;row=7627&amp;col=6&amp;number=3.3&amp;sourceID=14","3.3")</f>
        <v>3.3</v>
      </c>
      <c r="G7627" s="4" t="str">
        <f>HYPERLINK("http://141.218.60.56/~jnz1568/getInfo.php?workbook=16_08.xlsx&amp;sheet=U0&amp;row=7627&amp;col=7&amp;number=0.0033&amp;sourceID=14","0.0033")</f>
        <v>0.0033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HYPERLINK("http://141.218.60.56/~jnz1568/getInfo.php?workbook=16_08.xlsx&amp;sheet=U0&amp;row=7628&amp;col=6&amp;number=3.4&amp;sourceID=14","3.4")</f>
        <v>3.4</v>
      </c>
      <c r="G7628" s="4" t="str">
        <f>HYPERLINK("http://141.218.60.56/~jnz1568/getInfo.php?workbook=16_08.xlsx&amp;sheet=U0&amp;row=7628&amp;col=7&amp;number=0.0033&amp;sourceID=14","0.0033")</f>
        <v>0.0033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HYPERLINK("http://141.218.60.56/~jnz1568/getInfo.php?workbook=16_08.xlsx&amp;sheet=U0&amp;row=7629&amp;col=6&amp;number=3.5&amp;sourceID=14","3.5")</f>
        <v>3.5</v>
      </c>
      <c r="G7629" s="4" t="str">
        <f>HYPERLINK("http://141.218.60.56/~jnz1568/getInfo.php?workbook=16_08.xlsx&amp;sheet=U0&amp;row=7629&amp;col=7&amp;number=0.0033&amp;sourceID=14","0.0033")</f>
        <v>0.0033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HYPERLINK("http://141.218.60.56/~jnz1568/getInfo.php?workbook=16_08.xlsx&amp;sheet=U0&amp;row=7630&amp;col=6&amp;number=3.6&amp;sourceID=14","3.6")</f>
        <v>3.6</v>
      </c>
      <c r="G7630" s="4" t="str">
        <f>HYPERLINK("http://141.218.60.56/~jnz1568/getInfo.php?workbook=16_08.xlsx&amp;sheet=U0&amp;row=7630&amp;col=7&amp;number=0.0033&amp;sourceID=14","0.0033")</f>
        <v>0.0033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HYPERLINK("http://141.218.60.56/~jnz1568/getInfo.php?workbook=16_08.xlsx&amp;sheet=U0&amp;row=7631&amp;col=6&amp;number=3.7&amp;sourceID=14","3.7")</f>
        <v>3.7</v>
      </c>
      <c r="G7631" s="4" t="str">
        <f>HYPERLINK("http://141.218.60.56/~jnz1568/getInfo.php?workbook=16_08.xlsx&amp;sheet=U0&amp;row=7631&amp;col=7&amp;number=0.00329&amp;sourceID=14","0.00329")</f>
        <v>0.00329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HYPERLINK("http://141.218.60.56/~jnz1568/getInfo.php?workbook=16_08.xlsx&amp;sheet=U0&amp;row=7632&amp;col=6&amp;number=3.8&amp;sourceID=14","3.8")</f>
        <v>3.8</v>
      </c>
      <c r="G7632" s="4" t="str">
        <f>HYPERLINK("http://141.218.60.56/~jnz1568/getInfo.php?workbook=16_08.xlsx&amp;sheet=U0&amp;row=7632&amp;col=7&amp;number=0.00329&amp;sourceID=14","0.00329")</f>
        <v>0.00329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HYPERLINK("http://141.218.60.56/~jnz1568/getInfo.php?workbook=16_08.xlsx&amp;sheet=U0&amp;row=7633&amp;col=6&amp;number=3.9&amp;sourceID=14","3.9")</f>
        <v>3.9</v>
      </c>
      <c r="G7633" s="4" t="str">
        <f>HYPERLINK("http://141.218.60.56/~jnz1568/getInfo.php?workbook=16_08.xlsx&amp;sheet=U0&amp;row=7633&amp;col=7&amp;number=0.00329&amp;sourceID=14","0.00329")</f>
        <v>0.00329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HYPERLINK("http://141.218.60.56/~jnz1568/getInfo.php?workbook=16_08.xlsx&amp;sheet=U0&amp;row=7634&amp;col=6&amp;number=4&amp;sourceID=14","4")</f>
        <v>4</v>
      </c>
      <c r="G7634" s="4" t="str">
        <f>HYPERLINK("http://141.218.60.56/~jnz1568/getInfo.php?workbook=16_08.xlsx&amp;sheet=U0&amp;row=7634&amp;col=7&amp;number=0.00329&amp;sourceID=14","0.00329")</f>
        <v>0.00329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HYPERLINK("http://141.218.60.56/~jnz1568/getInfo.php?workbook=16_08.xlsx&amp;sheet=U0&amp;row=7635&amp;col=6&amp;number=4.1&amp;sourceID=14","4.1")</f>
        <v>4.1</v>
      </c>
      <c r="G7635" s="4" t="str">
        <f>HYPERLINK("http://141.218.60.56/~jnz1568/getInfo.php?workbook=16_08.xlsx&amp;sheet=U0&amp;row=7635&amp;col=7&amp;number=0.00328&amp;sourceID=14","0.00328")</f>
        <v>0.00328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HYPERLINK("http://141.218.60.56/~jnz1568/getInfo.php?workbook=16_08.xlsx&amp;sheet=U0&amp;row=7636&amp;col=6&amp;number=4.2&amp;sourceID=14","4.2")</f>
        <v>4.2</v>
      </c>
      <c r="G7636" s="4" t="str">
        <f>HYPERLINK("http://141.218.60.56/~jnz1568/getInfo.php?workbook=16_08.xlsx&amp;sheet=U0&amp;row=7636&amp;col=7&amp;number=0.00328&amp;sourceID=14","0.00328")</f>
        <v>0.00328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HYPERLINK("http://141.218.60.56/~jnz1568/getInfo.php?workbook=16_08.xlsx&amp;sheet=U0&amp;row=7637&amp;col=6&amp;number=4.3&amp;sourceID=14","4.3")</f>
        <v>4.3</v>
      </c>
      <c r="G7637" s="4" t="str">
        <f>HYPERLINK("http://141.218.60.56/~jnz1568/getInfo.php?workbook=16_08.xlsx&amp;sheet=U0&amp;row=7637&amp;col=7&amp;number=0.00327&amp;sourceID=14","0.00327")</f>
        <v>0.00327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HYPERLINK("http://141.218.60.56/~jnz1568/getInfo.php?workbook=16_08.xlsx&amp;sheet=U0&amp;row=7638&amp;col=6&amp;number=4.4&amp;sourceID=14","4.4")</f>
        <v>4.4</v>
      </c>
      <c r="G7638" s="4" t="str">
        <f>HYPERLINK("http://141.218.60.56/~jnz1568/getInfo.php?workbook=16_08.xlsx&amp;sheet=U0&amp;row=7638&amp;col=7&amp;number=0.00326&amp;sourceID=14","0.00326")</f>
        <v>0.00326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HYPERLINK("http://141.218.60.56/~jnz1568/getInfo.php?workbook=16_08.xlsx&amp;sheet=U0&amp;row=7639&amp;col=6&amp;number=4.5&amp;sourceID=14","4.5")</f>
        <v>4.5</v>
      </c>
      <c r="G7639" s="4" t="str">
        <f>HYPERLINK("http://141.218.60.56/~jnz1568/getInfo.php?workbook=16_08.xlsx&amp;sheet=U0&amp;row=7639&amp;col=7&amp;number=0.00325&amp;sourceID=14","0.00325")</f>
        <v>0.00325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HYPERLINK("http://141.218.60.56/~jnz1568/getInfo.php?workbook=16_08.xlsx&amp;sheet=U0&amp;row=7640&amp;col=6&amp;number=4.6&amp;sourceID=14","4.6")</f>
        <v>4.6</v>
      </c>
      <c r="G7640" s="4" t="str">
        <f>HYPERLINK("http://141.218.60.56/~jnz1568/getInfo.php?workbook=16_08.xlsx&amp;sheet=U0&amp;row=7640&amp;col=7&amp;number=0.00324&amp;sourceID=14","0.00324")</f>
        <v>0.00324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HYPERLINK("http://141.218.60.56/~jnz1568/getInfo.php?workbook=16_08.xlsx&amp;sheet=U0&amp;row=7641&amp;col=6&amp;number=4.7&amp;sourceID=14","4.7")</f>
        <v>4.7</v>
      </c>
      <c r="G7641" s="4" t="str">
        <f>HYPERLINK("http://141.218.60.56/~jnz1568/getInfo.php?workbook=16_08.xlsx&amp;sheet=U0&amp;row=7641&amp;col=7&amp;number=0.00323&amp;sourceID=14","0.00323")</f>
        <v>0.00323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HYPERLINK("http://141.218.60.56/~jnz1568/getInfo.php?workbook=16_08.xlsx&amp;sheet=U0&amp;row=7642&amp;col=6&amp;number=4.8&amp;sourceID=14","4.8")</f>
        <v>4.8</v>
      </c>
      <c r="G7642" s="4" t="str">
        <f>HYPERLINK("http://141.218.60.56/~jnz1568/getInfo.php?workbook=16_08.xlsx&amp;sheet=U0&amp;row=7642&amp;col=7&amp;number=0.00321&amp;sourceID=14","0.00321")</f>
        <v>0.00321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HYPERLINK("http://141.218.60.56/~jnz1568/getInfo.php?workbook=16_08.xlsx&amp;sheet=U0&amp;row=7643&amp;col=6&amp;number=4.9&amp;sourceID=14","4.9")</f>
        <v>4.9</v>
      </c>
      <c r="G7643" s="4" t="str">
        <f>HYPERLINK("http://141.218.60.56/~jnz1568/getInfo.php?workbook=16_08.xlsx&amp;sheet=U0&amp;row=7643&amp;col=7&amp;number=0.00319&amp;sourceID=14","0.00319")</f>
        <v>0.00319</v>
      </c>
    </row>
    <row r="7644" spans="1:7">
      <c r="A7644" s="3">
        <v>16</v>
      </c>
      <c r="B7644" s="3">
        <v>8</v>
      </c>
      <c r="C7644" s="3">
        <v>5</v>
      </c>
      <c r="D7644" s="3">
        <v>54</v>
      </c>
      <c r="E7644" s="3">
        <v>1</v>
      </c>
      <c r="F7644" s="4" t="str">
        <f>HYPERLINK("http://141.218.60.56/~jnz1568/getInfo.php?workbook=16_08.xlsx&amp;sheet=U0&amp;row=7644&amp;col=6&amp;number=3&amp;sourceID=14","3")</f>
        <v>3</v>
      </c>
      <c r="G7644" s="4" t="str">
        <f>HYPERLINK("http://141.218.60.56/~jnz1568/getInfo.php?workbook=16_08.xlsx&amp;sheet=U0&amp;row=7644&amp;col=7&amp;number=0.00101&amp;sourceID=14","0.00101")</f>
        <v>0.00101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HYPERLINK("http://141.218.60.56/~jnz1568/getInfo.php?workbook=16_08.xlsx&amp;sheet=U0&amp;row=7645&amp;col=6&amp;number=3.1&amp;sourceID=14","3.1")</f>
        <v>3.1</v>
      </c>
      <c r="G7645" s="4" t="str">
        <f>HYPERLINK("http://141.218.60.56/~jnz1568/getInfo.php?workbook=16_08.xlsx&amp;sheet=U0&amp;row=7645&amp;col=7&amp;number=0.00101&amp;sourceID=14","0.00101")</f>
        <v>0.00101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HYPERLINK("http://141.218.60.56/~jnz1568/getInfo.php?workbook=16_08.xlsx&amp;sheet=U0&amp;row=7646&amp;col=6&amp;number=3.2&amp;sourceID=14","3.2")</f>
        <v>3.2</v>
      </c>
      <c r="G7646" s="4" t="str">
        <f>HYPERLINK("http://141.218.60.56/~jnz1568/getInfo.php?workbook=16_08.xlsx&amp;sheet=U0&amp;row=7646&amp;col=7&amp;number=0.00101&amp;sourceID=14","0.00101")</f>
        <v>0.00101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HYPERLINK("http://141.218.60.56/~jnz1568/getInfo.php?workbook=16_08.xlsx&amp;sheet=U0&amp;row=7647&amp;col=6&amp;number=3.3&amp;sourceID=14","3.3")</f>
        <v>3.3</v>
      </c>
      <c r="G7647" s="4" t="str">
        <f>HYPERLINK("http://141.218.60.56/~jnz1568/getInfo.php?workbook=16_08.xlsx&amp;sheet=U0&amp;row=7647&amp;col=7&amp;number=0.00101&amp;sourceID=14","0.00101")</f>
        <v>0.00101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HYPERLINK("http://141.218.60.56/~jnz1568/getInfo.php?workbook=16_08.xlsx&amp;sheet=U0&amp;row=7648&amp;col=6&amp;number=3.4&amp;sourceID=14","3.4")</f>
        <v>3.4</v>
      </c>
      <c r="G7648" s="4" t="str">
        <f>HYPERLINK("http://141.218.60.56/~jnz1568/getInfo.php?workbook=16_08.xlsx&amp;sheet=U0&amp;row=7648&amp;col=7&amp;number=0.00101&amp;sourceID=14","0.00101")</f>
        <v>0.00101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HYPERLINK("http://141.218.60.56/~jnz1568/getInfo.php?workbook=16_08.xlsx&amp;sheet=U0&amp;row=7649&amp;col=6&amp;number=3.5&amp;sourceID=14","3.5")</f>
        <v>3.5</v>
      </c>
      <c r="G7649" s="4" t="str">
        <f>HYPERLINK("http://141.218.60.56/~jnz1568/getInfo.php?workbook=16_08.xlsx&amp;sheet=U0&amp;row=7649&amp;col=7&amp;number=0.00101&amp;sourceID=14","0.00101")</f>
        <v>0.00101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HYPERLINK("http://141.218.60.56/~jnz1568/getInfo.php?workbook=16_08.xlsx&amp;sheet=U0&amp;row=7650&amp;col=6&amp;number=3.6&amp;sourceID=14","3.6")</f>
        <v>3.6</v>
      </c>
      <c r="G7650" s="4" t="str">
        <f>HYPERLINK("http://141.218.60.56/~jnz1568/getInfo.php?workbook=16_08.xlsx&amp;sheet=U0&amp;row=7650&amp;col=7&amp;number=0.00101&amp;sourceID=14","0.00101")</f>
        <v>0.00101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HYPERLINK("http://141.218.60.56/~jnz1568/getInfo.php?workbook=16_08.xlsx&amp;sheet=U0&amp;row=7651&amp;col=6&amp;number=3.7&amp;sourceID=14","3.7")</f>
        <v>3.7</v>
      </c>
      <c r="G7651" s="4" t="str">
        <f>HYPERLINK("http://141.218.60.56/~jnz1568/getInfo.php?workbook=16_08.xlsx&amp;sheet=U0&amp;row=7651&amp;col=7&amp;number=0.00101&amp;sourceID=14","0.00101")</f>
        <v>0.00101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HYPERLINK("http://141.218.60.56/~jnz1568/getInfo.php?workbook=16_08.xlsx&amp;sheet=U0&amp;row=7652&amp;col=6&amp;number=3.8&amp;sourceID=14","3.8")</f>
        <v>3.8</v>
      </c>
      <c r="G7652" s="4" t="str">
        <f>HYPERLINK("http://141.218.60.56/~jnz1568/getInfo.php?workbook=16_08.xlsx&amp;sheet=U0&amp;row=7652&amp;col=7&amp;number=0.00101&amp;sourceID=14","0.00101")</f>
        <v>0.00101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HYPERLINK("http://141.218.60.56/~jnz1568/getInfo.php?workbook=16_08.xlsx&amp;sheet=U0&amp;row=7653&amp;col=6&amp;number=3.9&amp;sourceID=14","3.9")</f>
        <v>3.9</v>
      </c>
      <c r="G7653" s="4" t="str">
        <f>HYPERLINK("http://141.218.60.56/~jnz1568/getInfo.php?workbook=16_08.xlsx&amp;sheet=U0&amp;row=7653&amp;col=7&amp;number=0.00101&amp;sourceID=14","0.00101")</f>
        <v>0.00101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HYPERLINK("http://141.218.60.56/~jnz1568/getInfo.php?workbook=16_08.xlsx&amp;sheet=U0&amp;row=7654&amp;col=6&amp;number=4&amp;sourceID=14","4")</f>
        <v>4</v>
      </c>
      <c r="G7654" s="4" t="str">
        <f>HYPERLINK("http://141.218.60.56/~jnz1568/getInfo.php?workbook=16_08.xlsx&amp;sheet=U0&amp;row=7654&amp;col=7&amp;number=0.00101&amp;sourceID=14","0.00101")</f>
        <v>0.00101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HYPERLINK("http://141.218.60.56/~jnz1568/getInfo.php?workbook=16_08.xlsx&amp;sheet=U0&amp;row=7655&amp;col=6&amp;number=4.1&amp;sourceID=14","4.1")</f>
        <v>4.1</v>
      </c>
      <c r="G7655" s="4" t="str">
        <f>HYPERLINK("http://141.218.60.56/~jnz1568/getInfo.php?workbook=16_08.xlsx&amp;sheet=U0&amp;row=7655&amp;col=7&amp;number=0.00101&amp;sourceID=14","0.00101")</f>
        <v>0.00101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HYPERLINK("http://141.218.60.56/~jnz1568/getInfo.php?workbook=16_08.xlsx&amp;sheet=U0&amp;row=7656&amp;col=6&amp;number=4.2&amp;sourceID=14","4.2")</f>
        <v>4.2</v>
      </c>
      <c r="G7656" s="4" t="str">
        <f>HYPERLINK("http://141.218.60.56/~jnz1568/getInfo.php?workbook=16_08.xlsx&amp;sheet=U0&amp;row=7656&amp;col=7&amp;number=0.00101&amp;sourceID=14","0.00101")</f>
        <v>0.00101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HYPERLINK("http://141.218.60.56/~jnz1568/getInfo.php?workbook=16_08.xlsx&amp;sheet=U0&amp;row=7657&amp;col=6&amp;number=4.3&amp;sourceID=14","4.3")</f>
        <v>4.3</v>
      </c>
      <c r="G7657" s="4" t="str">
        <f>HYPERLINK("http://141.218.60.56/~jnz1568/getInfo.php?workbook=16_08.xlsx&amp;sheet=U0&amp;row=7657&amp;col=7&amp;number=0.00101&amp;sourceID=14","0.00101")</f>
        <v>0.00101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HYPERLINK("http://141.218.60.56/~jnz1568/getInfo.php?workbook=16_08.xlsx&amp;sheet=U0&amp;row=7658&amp;col=6&amp;number=4.4&amp;sourceID=14","4.4")</f>
        <v>4.4</v>
      </c>
      <c r="G7658" s="4" t="str">
        <f>HYPERLINK("http://141.218.60.56/~jnz1568/getInfo.php?workbook=16_08.xlsx&amp;sheet=U0&amp;row=7658&amp;col=7&amp;number=0.001&amp;sourceID=14","0.001")</f>
        <v>0.001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HYPERLINK("http://141.218.60.56/~jnz1568/getInfo.php?workbook=16_08.xlsx&amp;sheet=U0&amp;row=7659&amp;col=6&amp;number=4.5&amp;sourceID=14","4.5")</f>
        <v>4.5</v>
      </c>
      <c r="G7659" s="4" t="str">
        <f>HYPERLINK("http://141.218.60.56/~jnz1568/getInfo.php?workbook=16_08.xlsx&amp;sheet=U0&amp;row=7659&amp;col=7&amp;number=0.001&amp;sourceID=14","0.001")</f>
        <v>0.001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HYPERLINK("http://141.218.60.56/~jnz1568/getInfo.php?workbook=16_08.xlsx&amp;sheet=U0&amp;row=7660&amp;col=6&amp;number=4.6&amp;sourceID=14","4.6")</f>
        <v>4.6</v>
      </c>
      <c r="G7660" s="4" t="str">
        <f>HYPERLINK("http://141.218.60.56/~jnz1568/getInfo.php?workbook=16_08.xlsx&amp;sheet=U0&amp;row=7660&amp;col=7&amp;number=0.000997&amp;sourceID=14","0.000997")</f>
        <v>0.000997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HYPERLINK("http://141.218.60.56/~jnz1568/getInfo.php?workbook=16_08.xlsx&amp;sheet=U0&amp;row=7661&amp;col=6&amp;number=4.7&amp;sourceID=14","4.7")</f>
        <v>4.7</v>
      </c>
      <c r="G7661" s="4" t="str">
        <f>HYPERLINK("http://141.218.60.56/~jnz1568/getInfo.php?workbook=16_08.xlsx&amp;sheet=U0&amp;row=7661&amp;col=7&amp;number=0.000992&amp;sourceID=14","0.000992")</f>
        <v>0.000992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HYPERLINK("http://141.218.60.56/~jnz1568/getInfo.php?workbook=16_08.xlsx&amp;sheet=U0&amp;row=7662&amp;col=6&amp;number=4.8&amp;sourceID=14","4.8")</f>
        <v>4.8</v>
      </c>
      <c r="G7662" s="4" t="str">
        <f>HYPERLINK("http://141.218.60.56/~jnz1568/getInfo.php?workbook=16_08.xlsx&amp;sheet=U0&amp;row=7662&amp;col=7&amp;number=0.000987&amp;sourceID=14","0.000987")</f>
        <v>0.000987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HYPERLINK("http://141.218.60.56/~jnz1568/getInfo.php?workbook=16_08.xlsx&amp;sheet=U0&amp;row=7663&amp;col=6&amp;number=4.9&amp;sourceID=14","4.9")</f>
        <v>4.9</v>
      </c>
      <c r="G7663" s="4" t="str">
        <f>HYPERLINK("http://141.218.60.56/~jnz1568/getInfo.php?workbook=16_08.xlsx&amp;sheet=U0&amp;row=7663&amp;col=7&amp;number=0.00098&amp;sourceID=14","0.00098")</f>
        <v>0.00098</v>
      </c>
    </row>
    <row r="7664" spans="1:7">
      <c r="A7664" s="3">
        <v>16</v>
      </c>
      <c r="B7664" s="3">
        <v>8</v>
      </c>
      <c r="C7664" s="3">
        <v>5</v>
      </c>
      <c r="D7664" s="3">
        <v>55</v>
      </c>
      <c r="E7664" s="3">
        <v>1</v>
      </c>
      <c r="F7664" s="4" t="str">
        <f>HYPERLINK("http://141.218.60.56/~jnz1568/getInfo.php?workbook=16_08.xlsx&amp;sheet=U0&amp;row=7664&amp;col=6&amp;number=3&amp;sourceID=14","3")</f>
        <v>3</v>
      </c>
      <c r="G7664" s="4" t="str">
        <f>HYPERLINK("http://141.218.60.56/~jnz1568/getInfo.php?workbook=16_08.xlsx&amp;sheet=U0&amp;row=7664&amp;col=7&amp;number=0.00471&amp;sourceID=14","0.00471")</f>
        <v>0.00471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HYPERLINK("http://141.218.60.56/~jnz1568/getInfo.php?workbook=16_08.xlsx&amp;sheet=U0&amp;row=7665&amp;col=6&amp;number=3.1&amp;sourceID=14","3.1")</f>
        <v>3.1</v>
      </c>
      <c r="G7665" s="4" t="str">
        <f>HYPERLINK("http://141.218.60.56/~jnz1568/getInfo.php?workbook=16_08.xlsx&amp;sheet=U0&amp;row=7665&amp;col=7&amp;number=0.00471&amp;sourceID=14","0.00471")</f>
        <v>0.00471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HYPERLINK("http://141.218.60.56/~jnz1568/getInfo.php?workbook=16_08.xlsx&amp;sheet=U0&amp;row=7666&amp;col=6&amp;number=3.2&amp;sourceID=14","3.2")</f>
        <v>3.2</v>
      </c>
      <c r="G7666" s="4" t="str">
        <f>HYPERLINK("http://141.218.60.56/~jnz1568/getInfo.php?workbook=16_08.xlsx&amp;sheet=U0&amp;row=7666&amp;col=7&amp;number=0.00471&amp;sourceID=14","0.00471")</f>
        <v>0.00471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HYPERLINK("http://141.218.60.56/~jnz1568/getInfo.php?workbook=16_08.xlsx&amp;sheet=U0&amp;row=7667&amp;col=6&amp;number=3.3&amp;sourceID=14","3.3")</f>
        <v>3.3</v>
      </c>
      <c r="G7667" s="4" t="str">
        <f>HYPERLINK("http://141.218.60.56/~jnz1568/getInfo.php?workbook=16_08.xlsx&amp;sheet=U0&amp;row=7667&amp;col=7&amp;number=0.00471&amp;sourceID=14","0.00471")</f>
        <v>0.00471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HYPERLINK("http://141.218.60.56/~jnz1568/getInfo.php?workbook=16_08.xlsx&amp;sheet=U0&amp;row=7668&amp;col=6&amp;number=3.4&amp;sourceID=14","3.4")</f>
        <v>3.4</v>
      </c>
      <c r="G7668" s="4" t="str">
        <f>HYPERLINK("http://141.218.60.56/~jnz1568/getInfo.php?workbook=16_08.xlsx&amp;sheet=U0&amp;row=7668&amp;col=7&amp;number=0.00471&amp;sourceID=14","0.00471")</f>
        <v>0.00471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HYPERLINK("http://141.218.60.56/~jnz1568/getInfo.php?workbook=16_08.xlsx&amp;sheet=U0&amp;row=7669&amp;col=6&amp;number=3.5&amp;sourceID=14","3.5")</f>
        <v>3.5</v>
      </c>
      <c r="G7669" s="4" t="str">
        <f>HYPERLINK("http://141.218.60.56/~jnz1568/getInfo.php?workbook=16_08.xlsx&amp;sheet=U0&amp;row=7669&amp;col=7&amp;number=0.00471&amp;sourceID=14","0.00471")</f>
        <v>0.00471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HYPERLINK("http://141.218.60.56/~jnz1568/getInfo.php?workbook=16_08.xlsx&amp;sheet=U0&amp;row=7670&amp;col=6&amp;number=3.6&amp;sourceID=14","3.6")</f>
        <v>3.6</v>
      </c>
      <c r="G7670" s="4" t="str">
        <f>HYPERLINK("http://141.218.60.56/~jnz1568/getInfo.php?workbook=16_08.xlsx&amp;sheet=U0&amp;row=7670&amp;col=7&amp;number=0.00471&amp;sourceID=14","0.00471")</f>
        <v>0.00471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HYPERLINK("http://141.218.60.56/~jnz1568/getInfo.php?workbook=16_08.xlsx&amp;sheet=U0&amp;row=7671&amp;col=6&amp;number=3.7&amp;sourceID=14","3.7")</f>
        <v>3.7</v>
      </c>
      <c r="G7671" s="4" t="str">
        <f>HYPERLINK("http://141.218.60.56/~jnz1568/getInfo.php?workbook=16_08.xlsx&amp;sheet=U0&amp;row=7671&amp;col=7&amp;number=0.00471&amp;sourceID=14","0.00471")</f>
        <v>0.00471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HYPERLINK("http://141.218.60.56/~jnz1568/getInfo.php?workbook=16_08.xlsx&amp;sheet=U0&amp;row=7672&amp;col=6&amp;number=3.8&amp;sourceID=14","3.8")</f>
        <v>3.8</v>
      </c>
      <c r="G7672" s="4" t="str">
        <f>HYPERLINK("http://141.218.60.56/~jnz1568/getInfo.php?workbook=16_08.xlsx&amp;sheet=U0&amp;row=7672&amp;col=7&amp;number=0.00472&amp;sourceID=14","0.00472")</f>
        <v>0.00472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HYPERLINK("http://141.218.60.56/~jnz1568/getInfo.php?workbook=16_08.xlsx&amp;sheet=U0&amp;row=7673&amp;col=6&amp;number=3.9&amp;sourceID=14","3.9")</f>
        <v>3.9</v>
      </c>
      <c r="G7673" s="4" t="str">
        <f>HYPERLINK("http://141.218.60.56/~jnz1568/getInfo.php?workbook=16_08.xlsx&amp;sheet=U0&amp;row=7673&amp;col=7&amp;number=0.00472&amp;sourceID=14","0.00472")</f>
        <v>0.00472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HYPERLINK("http://141.218.60.56/~jnz1568/getInfo.php?workbook=16_08.xlsx&amp;sheet=U0&amp;row=7674&amp;col=6&amp;number=4&amp;sourceID=14","4")</f>
        <v>4</v>
      </c>
      <c r="G7674" s="4" t="str">
        <f>HYPERLINK("http://141.218.60.56/~jnz1568/getInfo.php?workbook=16_08.xlsx&amp;sheet=U0&amp;row=7674&amp;col=7&amp;number=0.00472&amp;sourceID=14","0.00472")</f>
        <v>0.00472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HYPERLINK("http://141.218.60.56/~jnz1568/getInfo.php?workbook=16_08.xlsx&amp;sheet=U0&amp;row=7675&amp;col=6&amp;number=4.1&amp;sourceID=14","4.1")</f>
        <v>4.1</v>
      </c>
      <c r="G7675" s="4" t="str">
        <f>HYPERLINK("http://141.218.60.56/~jnz1568/getInfo.php?workbook=16_08.xlsx&amp;sheet=U0&amp;row=7675&amp;col=7&amp;number=0.00473&amp;sourceID=14","0.00473")</f>
        <v>0.00473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HYPERLINK("http://141.218.60.56/~jnz1568/getInfo.php?workbook=16_08.xlsx&amp;sheet=U0&amp;row=7676&amp;col=6&amp;number=4.2&amp;sourceID=14","4.2")</f>
        <v>4.2</v>
      </c>
      <c r="G7676" s="4" t="str">
        <f>HYPERLINK("http://141.218.60.56/~jnz1568/getInfo.php?workbook=16_08.xlsx&amp;sheet=U0&amp;row=7676&amp;col=7&amp;number=0.00473&amp;sourceID=14","0.00473")</f>
        <v>0.00473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HYPERLINK("http://141.218.60.56/~jnz1568/getInfo.php?workbook=16_08.xlsx&amp;sheet=U0&amp;row=7677&amp;col=6&amp;number=4.3&amp;sourceID=14","4.3")</f>
        <v>4.3</v>
      </c>
      <c r="G7677" s="4" t="str">
        <f>HYPERLINK("http://141.218.60.56/~jnz1568/getInfo.php?workbook=16_08.xlsx&amp;sheet=U0&amp;row=7677&amp;col=7&amp;number=0.00474&amp;sourceID=14","0.00474")</f>
        <v>0.00474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HYPERLINK("http://141.218.60.56/~jnz1568/getInfo.php?workbook=16_08.xlsx&amp;sheet=U0&amp;row=7678&amp;col=6&amp;number=4.4&amp;sourceID=14","4.4")</f>
        <v>4.4</v>
      </c>
      <c r="G7678" s="4" t="str">
        <f>HYPERLINK("http://141.218.60.56/~jnz1568/getInfo.php?workbook=16_08.xlsx&amp;sheet=U0&amp;row=7678&amp;col=7&amp;number=0.00474&amp;sourceID=14","0.00474")</f>
        <v>0.00474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HYPERLINK("http://141.218.60.56/~jnz1568/getInfo.php?workbook=16_08.xlsx&amp;sheet=U0&amp;row=7679&amp;col=6&amp;number=4.5&amp;sourceID=14","4.5")</f>
        <v>4.5</v>
      </c>
      <c r="G7679" s="4" t="str">
        <f>HYPERLINK("http://141.218.60.56/~jnz1568/getInfo.php?workbook=16_08.xlsx&amp;sheet=U0&amp;row=7679&amp;col=7&amp;number=0.00476&amp;sourceID=14","0.00476")</f>
        <v>0.00476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HYPERLINK("http://141.218.60.56/~jnz1568/getInfo.php?workbook=16_08.xlsx&amp;sheet=U0&amp;row=7680&amp;col=6&amp;number=4.6&amp;sourceID=14","4.6")</f>
        <v>4.6</v>
      </c>
      <c r="G7680" s="4" t="str">
        <f>HYPERLINK("http://141.218.60.56/~jnz1568/getInfo.php?workbook=16_08.xlsx&amp;sheet=U0&amp;row=7680&amp;col=7&amp;number=0.00477&amp;sourceID=14","0.00477")</f>
        <v>0.00477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HYPERLINK("http://141.218.60.56/~jnz1568/getInfo.php?workbook=16_08.xlsx&amp;sheet=U0&amp;row=7681&amp;col=6&amp;number=4.7&amp;sourceID=14","4.7")</f>
        <v>4.7</v>
      </c>
      <c r="G7681" s="4" t="str">
        <f>HYPERLINK("http://141.218.60.56/~jnz1568/getInfo.php?workbook=16_08.xlsx&amp;sheet=U0&amp;row=7681&amp;col=7&amp;number=0.00478&amp;sourceID=14","0.00478")</f>
        <v>0.00478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HYPERLINK("http://141.218.60.56/~jnz1568/getInfo.php?workbook=16_08.xlsx&amp;sheet=U0&amp;row=7682&amp;col=6&amp;number=4.8&amp;sourceID=14","4.8")</f>
        <v>4.8</v>
      </c>
      <c r="G7682" s="4" t="str">
        <f>HYPERLINK("http://141.218.60.56/~jnz1568/getInfo.php?workbook=16_08.xlsx&amp;sheet=U0&amp;row=7682&amp;col=7&amp;number=0.0048&amp;sourceID=14","0.0048")</f>
        <v>0.0048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HYPERLINK("http://141.218.60.56/~jnz1568/getInfo.php?workbook=16_08.xlsx&amp;sheet=U0&amp;row=7683&amp;col=6&amp;number=4.9&amp;sourceID=14","4.9")</f>
        <v>4.9</v>
      </c>
      <c r="G7683" s="4" t="str">
        <f>HYPERLINK("http://141.218.60.56/~jnz1568/getInfo.php?workbook=16_08.xlsx&amp;sheet=U0&amp;row=7683&amp;col=7&amp;number=0.00483&amp;sourceID=14","0.00483")</f>
        <v>0.00483</v>
      </c>
    </row>
    <row r="7684" spans="1:7">
      <c r="A7684" s="3">
        <v>16</v>
      </c>
      <c r="B7684" s="3">
        <v>8</v>
      </c>
      <c r="C7684" s="3">
        <v>5</v>
      </c>
      <c r="D7684" s="3">
        <v>56</v>
      </c>
      <c r="E7684" s="3">
        <v>1</v>
      </c>
      <c r="F7684" s="4" t="str">
        <f>HYPERLINK("http://141.218.60.56/~jnz1568/getInfo.php?workbook=16_08.xlsx&amp;sheet=U0&amp;row=7684&amp;col=6&amp;number=3&amp;sourceID=14","3")</f>
        <v>3</v>
      </c>
      <c r="G7684" s="4" t="str">
        <f>HYPERLINK("http://141.218.60.56/~jnz1568/getInfo.php?workbook=16_08.xlsx&amp;sheet=U0&amp;row=7684&amp;col=7&amp;number=0.000528&amp;sourceID=14","0.000528")</f>
        <v>0.000528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HYPERLINK("http://141.218.60.56/~jnz1568/getInfo.php?workbook=16_08.xlsx&amp;sheet=U0&amp;row=7685&amp;col=6&amp;number=3.1&amp;sourceID=14","3.1")</f>
        <v>3.1</v>
      </c>
      <c r="G7685" s="4" t="str">
        <f>HYPERLINK("http://141.218.60.56/~jnz1568/getInfo.php?workbook=16_08.xlsx&amp;sheet=U0&amp;row=7685&amp;col=7&amp;number=0.000528&amp;sourceID=14","0.000528")</f>
        <v>0.000528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HYPERLINK("http://141.218.60.56/~jnz1568/getInfo.php?workbook=16_08.xlsx&amp;sheet=U0&amp;row=7686&amp;col=6&amp;number=3.2&amp;sourceID=14","3.2")</f>
        <v>3.2</v>
      </c>
      <c r="G7686" s="4" t="str">
        <f>HYPERLINK("http://141.218.60.56/~jnz1568/getInfo.php?workbook=16_08.xlsx&amp;sheet=U0&amp;row=7686&amp;col=7&amp;number=0.000528&amp;sourceID=14","0.000528")</f>
        <v>0.000528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HYPERLINK("http://141.218.60.56/~jnz1568/getInfo.php?workbook=16_08.xlsx&amp;sheet=U0&amp;row=7687&amp;col=6&amp;number=3.3&amp;sourceID=14","3.3")</f>
        <v>3.3</v>
      </c>
      <c r="G7687" s="4" t="str">
        <f>HYPERLINK("http://141.218.60.56/~jnz1568/getInfo.php?workbook=16_08.xlsx&amp;sheet=U0&amp;row=7687&amp;col=7&amp;number=0.000528&amp;sourceID=14","0.000528")</f>
        <v>0.000528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HYPERLINK("http://141.218.60.56/~jnz1568/getInfo.php?workbook=16_08.xlsx&amp;sheet=U0&amp;row=7688&amp;col=6&amp;number=3.4&amp;sourceID=14","3.4")</f>
        <v>3.4</v>
      </c>
      <c r="G7688" s="4" t="str">
        <f>HYPERLINK("http://141.218.60.56/~jnz1568/getInfo.php?workbook=16_08.xlsx&amp;sheet=U0&amp;row=7688&amp;col=7&amp;number=0.000528&amp;sourceID=14","0.000528")</f>
        <v>0.000528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HYPERLINK("http://141.218.60.56/~jnz1568/getInfo.php?workbook=16_08.xlsx&amp;sheet=U0&amp;row=7689&amp;col=6&amp;number=3.5&amp;sourceID=14","3.5")</f>
        <v>3.5</v>
      </c>
      <c r="G7689" s="4" t="str">
        <f>HYPERLINK("http://141.218.60.56/~jnz1568/getInfo.php?workbook=16_08.xlsx&amp;sheet=U0&amp;row=7689&amp;col=7&amp;number=0.000528&amp;sourceID=14","0.000528")</f>
        <v>0.000528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HYPERLINK("http://141.218.60.56/~jnz1568/getInfo.php?workbook=16_08.xlsx&amp;sheet=U0&amp;row=7690&amp;col=6&amp;number=3.6&amp;sourceID=14","3.6")</f>
        <v>3.6</v>
      </c>
      <c r="G7690" s="4" t="str">
        <f>HYPERLINK("http://141.218.60.56/~jnz1568/getInfo.php?workbook=16_08.xlsx&amp;sheet=U0&amp;row=7690&amp;col=7&amp;number=0.000527&amp;sourceID=14","0.000527")</f>
        <v>0.000527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HYPERLINK("http://141.218.60.56/~jnz1568/getInfo.php?workbook=16_08.xlsx&amp;sheet=U0&amp;row=7691&amp;col=6&amp;number=3.7&amp;sourceID=14","3.7")</f>
        <v>3.7</v>
      </c>
      <c r="G7691" s="4" t="str">
        <f>HYPERLINK("http://141.218.60.56/~jnz1568/getInfo.php?workbook=16_08.xlsx&amp;sheet=U0&amp;row=7691&amp;col=7&amp;number=0.000527&amp;sourceID=14","0.000527")</f>
        <v>0.000527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HYPERLINK("http://141.218.60.56/~jnz1568/getInfo.php?workbook=16_08.xlsx&amp;sheet=U0&amp;row=7692&amp;col=6&amp;number=3.8&amp;sourceID=14","3.8")</f>
        <v>3.8</v>
      </c>
      <c r="G7692" s="4" t="str">
        <f>HYPERLINK("http://141.218.60.56/~jnz1568/getInfo.php?workbook=16_08.xlsx&amp;sheet=U0&amp;row=7692&amp;col=7&amp;number=0.000527&amp;sourceID=14","0.000527")</f>
        <v>0.000527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HYPERLINK("http://141.218.60.56/~jnz1568/getInfo.php?workbook=16_08.xlsx&amp;sheet=U0&amp;row=7693&amp;col=6&amp;number=3.9&amp;sourceID=14","3.9")</f>
        <v>3.9</v>
      </c>
      <c r="G7693" s="4" t="str">
        <f>HYPERLINK("http://141.218.60.56/~jnz1568/getInfo.php?workbook=16_08.xlsx&amp;sheet=U0&amp;row=7693&amp;col=7&amp;number=0.000526&amp;sourceID=14","0.000526")</f>
        <v>0.000526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HYPERLINK("http://141.218.60.56/~jnz1568/getInfo.php?workbook=16_08.xlsx&amp;sheet=U0&amp;row=7694&amp;col=6&amp;number=4&amp;sourceID=14","4")</f>
        <v>4</v>
      </c>
      <c r="G7694" s="4" t="str">
        <f>HYPERLINK("http://141.218.60.56/~jnz1568/getInfo.php?workbook=16_08.xlsx&amp;sheet=U0&amp;row=7694&amp;col=7&amp;number=0.000526&amp;sourceID=14","0.000526")</f>
        <v>0.000526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HYPERLINK("http://141.218.60.56/~jnz1568/getInfo.php?workbook=16_08.xlsx&amp;sheet=U0&amp;row=7695&amp;col=6&amp;number=4.1&amp;sourceID=14","4.1")</f>
        <v>4.1</v>
      </c>
      <c r="G7695" s="4" t="str">
        <f>HYPERLINK("http://141.218.60.56/~jnz1568/getInfo.php?workbook=16_08.xlsx&amp;sheet=U0&amp;row=7695&amp;col=7&amp;number=0.000525&amp;sourceID=14","0.000525")</f>
        <v>0.000525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HYPERLINK("http://141.218.60.56/~jnz1568/getInfo.php?workbook=16_08.xlsx&amp;sheet=U0&amp;row=7696&amp;col=6&amp;number=4.2&amp;sourceID=14","4.2")</f>
        <v>4.2</v>
      </c>
      <c r="G7696" s="4" t="str">
        <f>HYPERLINK("http://141.218.60.56/~jnz1568/getInfo.php?workbook=16_08.xlsx&amp;sheet=U0&amp;row=7696&amp;col=7&amp;number=0.000524&amp;sourceID=14","0.000524")</f>
        <v>0.000524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HYPERLINK("http://141.218.60.56/~jnz1568/getInfo.php?workbook=16_08.xlsx&amp;sheet=U0&amp;row=7697&amp;col=6&amp;number=4.3&amp;sourceID=14","4.3")</f>
        <v>4.3</v>
      </c>
      <c r="G7697" s="4" t="str">
        <f>HYPERLINK("http://141.218.60.56/~jnz1568/getInfo.php?workbook=16_08.xlsx&amp;sheet=U0&amp;row=7697&amp;col=7&amp;number=0.000523&amp;sourceID=14","0.000523")</f>
        <v>0.000523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HYPERLINK("http://141.218.60.56/~jnz1568/getInfo.php?workbook=16_08.xlsx&amp;sheet=U0&amp;row=7698&amp;col=6&amp;number=4.4&amp;sourceID=14","4.4")</f>
        <v>4.4</v>
      </c>
      <c r="G7698" s="4" t="str">
        <f>HYPERLINK("http://141.218.60.56/~jnz1568/getInfo.php?workbook=16_08.xlsx&amp;sheet=U0&amp;row=7698&amp;col=7&amp;number=0.000521&amp;sourceID=14","0.000521")</f>
        <v>0.000521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HYPERLINK("http://141.218.60.56/~jnz1568/getInfo.php?workbook=16_08.xlsx&amp;sheet=U0&amp;row=7699&amp;col=6&amp;number=4.5&amp;sourceID=14","4.5")</f>
        <v>4.5</v>
      </c>
      <c r="G7699" s="4" t="str">
        <f>HYPERLINK("http://141.218.60.56/~jnz1568/getInfo.php?workbook=16_08.xlsx&amp;sheet=U0&amp;row=7699&amp;col=7&amp;number=0.000519&amp;sourceID=14","0.000519")</f>
        <v>0.000519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HYPERLINK("http://141.218.60.56/~jnz1568/getInfo.php?workbook=16_08.xlsx&amp;sheet=U0&amp;row=7700&amp;col=6&amp;number=4.6&amp;sourceID=14","4.6")</f>
        <v>4.6</v>
      </c>
      <c r="G7700" s="4" t="str">
        <f>HYPERLINK("http://141.218.60.56/~jnz1568/getInfo.php?workbook=16_08.xlsx&amp;sheet=U0&amp;row=7700&amp;col=7&amp;number=0.000517&amp;sourceID=14","0.000517")</f>
        <v>0.000517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HYPERLINK("http://141.218.60.56/~jnz1568/getInfo.php?workbook=16_08.xlsx&amp;sheet=U0&amp;row=7701&amp;col=6&amp;number=4.7&amp;sourceID=14","4.7")</f>
        <v>4.7</v>
      </c>
      <c r="G7701" s="4" t="str">
        <f>HYPERLINK("http://141.218.60.56/~jnz1568/getInfo.php?workbook=16_08.xlsx&amp;sheet=U0&amp;row=7701&amp;col=7&amp;number=0.000514&amp;sourceID=14","0.000514")</f>
        <v>0.000514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HYPERLINK("http://141.218.60.56/~jnz1568/getInfo.php?workbook=16_08.xlsx&amp;sheet=U0&amp;row=7702&amp;col=6&amp;number=4.8&amp;sourceID=14","4.8")</f>
        <v>4.8</v>
      </c>
      <c r="G7702" s="4" t="str">
        <f>HYPERLINK("http://141.218.60.56/~jnz1568/getInfo.php?workbook=16_08.xlsx&amp;sheet=U0&amp;row=7702&amp;col=7&amp;number=0.00051&amp;sourceID=14","0.00051")</f>
        <v>0.00051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HYPERLINK("http://141.218.60.56/~jnz1568/getInfo.php?workbook=16_08.xlsx&amp;sheet=U0&amp;row=7703&amp;col=6&amp;number=4.9&amp;sourceID=14","4.9")</f>
        <v>4.9</v>
      </c>
      <c r="G7703" s="4" t="str">
        <f>HYPERLINK("http://141.218.60.56/~jnz1568/getInfo.php?workbook=16_08.xlsx&amp;sheet=U0&amp;row=7703&amp;col=7&amp;number=0.000505&amp;sourceID=14","0.000505")</f>
        <v>0.000505</v>
      </c>
    </row>
    <row r="7704" spans="1:7">
      <c r="A7704" s="3">
        <v>16</v>
      </c>
      <c r="B7704" s="3">
        <v>8</v>
      </c>
      <c r="C7704" s="3">
        <v>5</v>
      </c>
      <c r="D7704" s="3">
        <v>57</v>
      </c>
      <c r="E7704" s="3">
        <v>1</v>
      </c>
      <c r="F7704" s="4" t="str">
        <f>HYPERLINK("http://141.218.60.56/~jnz1568/getInfo.php?workbook=16_08.xlsx&amp;sheet=U0&amp;row=7704&amp;col=6&amp;number=3&amp;sourceID=14","3")</f>
        <v>3</v>
      </c>
      <c r="G7704" s="4" t="str">
        <f>HYPERLINK("http://141.218.60.56/~jnz1568/getInfo.php?workbook=16_08.xlsx&amp;sheet=U0&amp;row=7704&amp;col=7&amp;number=0.000688&amp;sourceID=14","0.000688")</f>
        <v>0.000688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HYPERLINK("http://141.218.60.56/~jnz1568/getInfo.php?workbook=16_08.xlsx&amp;sheet=U0&amp;row=7705&amp;col=6&amp;number=3.1&amp;sourceID=14","3.1")</f>
        <v>3.1</v>
      </c>
      <c r="G7705" s="4" t="str">
        <f>HYPERLINK("http://141.218.60.56/~jnz1568/getInfo.php?workbook=16_08.xlsx&amp;sheet=U0&amp;row=7705&amp;col=7&amp;number=0.000688&amp;sourceID=14","0.000688")</f>
        <v>0.000688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HYPERLINK("http://141.218.60.56/~jnz1568/getInfo.php?workbook=16_08.xlsx&amp;sheet=U0&amp;row=7706&amp;col=6&amp;number=3.2&amp;sourceID=14","3.2")</f>
        <v>3.2</v>
      </c>
      <c r="G7706" s="4" t="str">
        <f>HYPERLINK("http://141.218.60.56/~jnz1568/getInfo.php?workbook=16_08.xlsx&amp;sheet=U0&amp;row=7706&amp;col=7&amp;number=0.000688&amp;sourceID=14","0.000688")</f>
        <v>0.000688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HYPERLINK("http://141.218.60.56/~jnz1568/getInfo.php?workbook=16_08.xlsx&amp;sheet=U0&amp;row=7707&amp;col=6&amp;number=3.3&amp;sourceID=14","3.3")</f>
        <v>3.3</v>
      </c>
      <c r="G7707" s="4" t="str">
        <f>HYPERLINK("http://141.218.60.56/~jnz1568/getInfo.php?workbook=16_08.xlsx&amp;sheet=U0&amp;row=7707&amp;col=7&amp;number=0.000688&amp;sourceID=14","0.000688")</f>
        <v>0.000688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HYPERLINK("http://141.218.60.56/~jnz1568/getInfo.php?workbook=16_08.xlsx&amp;sheet=U0&amp;row=7708&amp;col=6&amp;number=3.4&amp;sourceID=14","3.4")</f>
        <v>3.4</v>
      </c>
      <c r="G7708" s="4" t="str">
        <f>HYPERLINK("http://141.218.60.56/~jnz1568/getInfo.php?workbook=16_08.xlsx&amp;sheet=U0&amp;row=7708&amp;col=7&amp;number=0.000688&amp;sourceID=14","0.000688")</f>
        <v>0.000688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HYPERLINK("http://141.218.60.56/~jnz1568/getInfo.php?workbook=16_08.xlsx&amp;sheet=U0&amp;row=7709&amp;col=6&amp;number=3.5&amp;sourceID=14","3.5")</f>
        <v>3.5</v>
      </c>
      <c r="G7709" s="4" t="str">
        <f>HYPERLINK("http://141.218.60.56/~jnz1568/getInfo.php?workbook=16_08.xlsx&amp;sheet=U0&amp;row=7709&amp;col=7&amp;number=0.000687&amp;sourceID=14","0.000687")</f>
        <v>0.000687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HYPERLINK("http://141.218.60.56/~jnz1568/getInfo.php?workbook=16_08.xlsx&amp;sheet=U0&amp;row=7710&amp;col=6&amp;number=3.6&amp;sourceID=14","3.6")</f>
        <v>3.6</v>
      </c>
      <c r="G7710" s="4" t="str">
        <f>HYPERLINK("http://141.218.60.56/~jnz1568/getInfo.php?workbook=16_08.xlsx&amp;sheet=U0&amp;row=7710&amp;col=7&amp;number=0.000687&amp;sourceID=14","0.000687")</f>
        <v>0.000687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HYPERLINK("http://141.218.60.56/~jnz1568/getInfo.php?workbook=16_08.xlsx&amp;sheet=U0&amp;row=7711&amp;col=6&amp;number=3.7&amp;sourceID=14","3.7")</f>
        <v>3.7</v>
      </c>
      <c r="G7711" s="4" t="str">
        <f>HYPERLINK("http://141.218.60.56/~jnz1568/getInfo.php?workbook=16_08.xlsx&amp;sheet=U0&amp;row=7711&amp;col=7&amp;number=0.000687&amp;sourceID=14","0.000687")</f>
        <v>0.000687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HYPERLINK("http://141.218.60.56/~jnz1568/getInfo.php?workbook=16_08.xlsx&amp;sheet=U0&amp;row=7712&amp;col=6&amp;number=3.8&amp;sourceID=14","3.8")</f>
        <v>3.8</v>
      </c>
      <c r="G7712" s="4" t="str">
        <f>HYPERLINK("http://141.218.60.56/~jnz1568/getInfo.php?workbook=16_08.xlsx&amp;sheet=U0&amp;row=7712&amp;col=7&amp;number=0.000686&amp;sourceID=14","0.000686")</f>
        <v>0.000686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HYPERLINK("http://141.218.60.56/~jnz1568/getInfo.php?workbook=16_08.xlsx&amp;sheet=U0&amp;row=7713&amp;col=6&amp;number=3.9&amp;sourceID=14","3.9")</f>
        <v>3.9</v>
      </c>
      <c r="G7713" s="4" t="str">
        <f>HYPERLINK("http://141.218.60.56/~jnz1568/getInfo.php?workbook=16_08.xlsx&amp;sheet=U0&amp;row=7713&amp;col=7&amp;number=0.000685&amp;sourceID=14","0.000685")</f>
        <v>0.000685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HYPERLINK("http://141.218.60.56/~jnz1568/getInfo.php?workbook=16_08.xlsx&amp;sheet=U0&amp;row=7714&amp;col=6&amp;number=4&amp;sourceID=14","4")</f>
        <v>4</v>
      </c>
      <c r="G7714" s="4" t="str">
        <f>HYPERLINK("http://141.218.60.56/~jnz1568/getInfo.php?workbook=16_08.xlsx&amp;sheet=U0&amp;row=7714&amp;col=7&amp;number=0.000685&amp;sourceID=14","0.000685")</f>
        <v>0.000685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HYPERLINK("http://141.218.60.56/~jnz1568/getInfo.php?workbook=16_08.xlsx&amp;sheet=U0&amp;row=7715&amp;col=6&amp;number=4.1&amp;sourceID=14","4.1")</f>
        <v>4.1</v>
      </c>
      <c r="G7715" s="4" t="str">
        <f>HYPERLINK("http://141.218.60.56/~jnz1568/getInfo.php?workbook=16_08.xlsx&amp;sheet=U0&amp;row=7715&amp;col=7&amp;number=0.000684&amp;sourceID=14","0.000684")</f>
        <v>0.000684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HYPERLINK("http://141.218.60.56/~jnz1568/getInfo.php?workbook=16_08.xlsx&amp;sheet=U0&amp;row=7716&amp;col=6&amp;number=4.2&amp;sourceID=14","4.2")</f>
        <v>4.2</v>
      </c>
      <c r="G7716" s="4" t="str">
        <f>HYPERLINK("http://141.218.60.56/~jnz1568/getInfo.php?workbook=16_08.xlsx&amp;sheet=U0&amp;row=7716&amp;col=7&amp;number=0.000682&amp;sourceID=14","0.000682")</f>
        <v>0.000682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HYPERLINK("http://141.218.60.56/~jnz1568/getInfo.php?workbook=16_08.xlsx&amp;sheet=U0&amp;row=7717&amp;col=6&amp;number=4.3&amp;sourceID=14","4.3")</f>
        <v>4.3</v>
      </c>
      <c r="G7717" s="4" t="str">
        <f>HYPERLINK("http://141.218.60.56/~jnz1568/getInfo.php?workbook=16_08.xlsx&amp;sheet=U0&amp;row=7717&amp;col=7&amp;number=0.000681&amp;sourceID=14","0.000681")</f>
        <v>0.000681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HYPERLINK("http://141.218.60.56/~jnz1568/getInfo.php?workbook=16_08.xlsx&amp;sheet=U0&amp;row=7718&amp;col=6&amp;number=4.4&amp;sourceID=14","4.4")</f>
        <v>4.4</v>
      </c>
      <c r="G7718" s="4" t="str">
        <f>HYPERLINK("http://141.218.60.56/~jnz1568/getInfo.php?workbook=16_08.xlsx&amp;sheet=U0&amp;row=7718&amp;col=7&amp;number=0.000679&amp;sourceID=14","0.000679")</f>
        <v>0.000679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HYPERLINK("http://141.218.60.56/~jnz1568/getInfo.php?workbook=16_08.xlsx&amp;sheet=U0&amp;row=7719&amp;col=6&amp;number=4.5&amp;sourceID=14","4.5")</f>
        <v>4.5</v>
      </c>
      <c r="G7719" s="4" t="str">
        <f>HYPERLINK("http://141.218.60.56/~jnz1568/getInfo.php?workbook=16_08.xlsx&amp;sheet=U0&amp;row=7719&amp;col=7&amp;number=0.000676&amp;sourceID=14","0.000676")</f>
        <v>0.000676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HYPERLINK("http://141.218.60.56/~jnz1568/getInfo.php?workbook=16_08.xlsx&amp;sheet=U0&amp;row=7720&amp;col=6&amp;number=4.6&amp;sourceID=14","4.6")</f>
        <v>4.6</v>
      </c>
      <c r="G7720" s="4" t="str">
        <f>HYPERLINK("http://141.218.60.56/~jnz1568/getInfo.php?workbook=16_08.xlsx&amp;sheet=U0&amp;row=7720&amp;col=7&amp;number=0.000673&amp;sourceID=14","0.000673")</f>
        <v>0.000673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HYPERLINK("http://141.218.60.56/~jnz1568/getInfo.php?workbook=16_08.xlsx&amp;sheet=U0&amp;row=7721&amp;col=6&amp;number=4.7&amp;sourceID=14","4.7")</f>
        <v>4.7</v>
      </c>
      <c r="G7721" s="4" t="str">
        <f>HYPERLINK("http://141.218.60.56/~jnz1568/getInfo.php?workbook=16_08.xlsx&amp;sheet=U0&amp;row=7721&amp;col=7&amp;number=0.000669&amp;sourceID=14","0.000669")</f>
        <v>0.000669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HYPERLINK("http://141.218.60.56/~jnz1568/getInfo.php?workbook=16_08.xlsx&amp;sheet=U0&amp;row=7722&amp;col=6&amp;number=4.8&amp;sourceID=14","4.8")</f>
        <v>4.8</v>
      </c>
      <c r="G7722" s="4" t="str">
        <f>HYPERLINK("http://141.218.60.56/~jnz1568/getInfo.php?workbook=16_08.xlsx&amp;sheet=U0&amp;row=7722&amp;col=7&amp;number=0.000664&amp;sourceID=14","0.000664")</f>
        <v>0.000664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HYPERLINK("http://141.218.60.56/~jnz1568/getInfo.php?workbook=16_08.xlsx&amp;sheet=U0&amp;row=7723&amp;col=6&amp;number=4.9&amp;sourceID=14","4.9")</f>
        <v>4.9</v>
      </c>
      <c r="G7723" s="4" t="str">
        <f>HYPERLINK("http://141.218.60.56/~jnz1568/getInfo.php?workbook=16_08.xlsx&amp;sheet=U0&amp;row=7723&amp;col=7&amp;number=0.000658&amp;sourceID=14","0.000658")</f>
        <v>0.000658</v>
      </c>
    </row>
    <row r="7724" spans="1:7">
      <c r="A7724" s="3">
        <v>16</v>
      </c>
      <c r="B7724" s="3">
        <v>8</v>
      </c>
      <c r="C7724" s="3">
        <v>5</v>
      </c>
      <c r="D7724" s="3">
        <v>58</v>
      </c>
      <c r="E7724" s="3">
        <v>1</v>
      </c>
      <c r="F7724" s="4" t="str">
        <f>HYPERLINK("http://141.218.60.56/~jnz1568/getInfo.php?workbook=16_08.xlsx&amp;sheet=U0&amp;row=7724&amp;col=6&amp;number=3&amp;sourceID=14","3")</f>
        <v>3</v>
      </c>
      <c r="G7724" s="4" t="str">
        <f>HYPERLINK("http://141.218.60.56/~jnz1568/getInfo.php?workbook=16_08.xlsx&amp;sheet=U0&amp;row=7724&amp;col=7&amp;number=5.33e-06&amp;sourceID=14","5.33e-06")</f>
        <v>5.33e-06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HYPERLINK("http://141.218.60.56/~jnz1568/getInfo.php?workbook=16_08.xlsx&amp;sheet=U0&amp;row=7725&amp;col=6&amp;number=3.1&amp;sourceID=14","3.1")</f>
        <v>3.1</v>
      </c>
      <c r="G7725" s="4" t="str">
        <f>HYPERLINK("http://141.218.60.56/~jnz1568/getInfo.php?workbook=16_08.xlsx&amp;sheet=U0&amp;row=7725&amp;col=7&amp;number=5.33e-06&amp;sourceID=14","5.33e-06")</f>
        <v>5.33e-06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HYPERLINK("http://141.218.60.56/~jnz1568/getInfo.php?workbook=16_08.xlsx&amp;sheet=U0&amp;row=7726&amp;col=6&amp;number=3.2&amp;sourceID=14","3.2")</f>
        <v>3.2</v>
      </c>
      <c r="G7726" s="4" t="str">
        <f>HYPERLINK("http://141.218.60.56/~jnz1568/getInfo.php?workbook=16_08.xlsx&amp;sheet=U0&amp;row=7726&amp;col=7&amp;number=5.33e-06&amp;sourceID=14","5.33e-06")</f>
        <v>5.33e-06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HYPERLINK("http://141.218.60.56/~jnz1568/getInfo.php?workbook=16_08.xlsx&amp;sheet=U0&amp;row=7727&amp;col=6&amp;number=3.3&amp;sourceID=14","3.3")</f>
        <v>3.3</v>
      </c>
      <c r="G7727" s="4" t="str">
        <f>HYPERLINK("http://141.218.60.56/~jnz1568/getInfo.php?workbook=16_08.xlsx&amp;sheet=U0&amp;row=7727&amp;col=7&amp;number=5.33e-06&amp;sourceID=14","5.33e-06")</f>
        <v>5.33e-06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HYPERLINK("http://141.218.60.56/~jnz1568/getInfo.php?workbook=16_08.xlsx&amp;sheet=U0&amp;row=7728&amp;col=6&amp;number=3.4&amp;sourceID=14","3.4")</f>
        <v>3.4</v>
      </c>
      <c r="G7728" s="4" t="str">
        <f>HYPERLINK("http://141.218.60.56/~jnz1568/getInfo.php?workbook=16_08.xlsx&amp;sheet=U0&amp;row=7728&amp;col=7&amp;number=5.33e-06&amp;sourceID=14","5.33e-06")</f>
        <v>5.33e-06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HYPERLINK("http://141.218.60.56/~jnz1568/getInfo.php?workbook=16_08.xlsx&amp;sheet=U0&amp;row=7729&amp;col=6&amp;number=3.5&amp;sourceID=14","3.5")</f>
        <v>3.5</v>
      </c>
      <c r="G7729" s="4" t="str">
        <f>HYPERLINK("http://141.218.60.56/~jnz1568/getInfo.php?workbook=16_08.xlsx&amp;sheet=U0&amp;row=7729&amp;col=7&amp;number=5.33e-06&amp;sourceID=14","5.33e-06")</f>
        <v>5.33e-06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HYPERLINK("http://141.218.60.56/~jnz1568/getInfo.php?workbook=16_08.xlsx&amp;sheet=U0&amp;row=7730&amp;col=6&amp;number=3.6&amp;sourceID=14","3.6")</f>
        <v>3.6</v>
      </c>
      <c r="G7730" s="4" t="str">
        <f>HYPERLINK("http://141.218.60.56/~jnz1568/getInfo.php?workbook=16_08.xlsx&amp;sheet=U0&amp;row=7730&amp;col=7&amp;number=5.33e-06&amp;sourceID=14","5.33e-06")</f>
        <v>5.33e-06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HYPERLINK("http://141.218.60.56/~jnz1568/getInfo.php?workbook=16_08.xlsx&amp;sheet=U0&amp;row=7731&amp;col=6&amp;number=3.7&amp;sourceID=14","3.7")</f>
        <v>3.7</v>
      </c>
      <c r="G7731" s="4" t="str">
        <f>HYPERLINK("http://141.218.60.56/~jnz1568/getInfo.php?workbook=16_08.xlsx&amp;sheet=U0&amp;row=7731&amp;col=7&amp;number=5.33e-06&amp;sourceID=14","5.33e-06")</f>
        <v>5.33e-06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HYPERLINK("http://141.218.60.56/~jnz1568/getInfo.php?workbook=16_08.xlsx&amp;sheet=U0&amp;row=7732&amp;col=6&amp;number=3.8&amp;sourceID=14","3.8")</f>
        <v>3.8</v>
      </c>
      <c r="G7732" s="4" t="str">
        <f>HYPERLINK("http://141.218.60.56/~jnz1568/getInfo.php?workbook=16_08.xlsx&amp;sheet=U0&amp;row=7732&amp;col=7&amp;number=5.32e-06&amp;sourceID=14","5.32e-06")</f>
        <v>5.32e-06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HYPERLINK("http://141.218.60.56/~jnz1568/getInfo.php?workbook=16_08.xlsx&amp;sheet=U0&amp;row=7733&amp;col=6&amp;number=3.9&amp;sourceID=14","3.9")</f>
        <v>3.9</v>
      </c>
      <c r="G7733" s="4" t="str">
        <f>HYPERLINK("http://141.218.60.56/~jnz1568/getInfo.php?workbook=16_08.xlsx&amp;sheet=U0&amp;row=7733&amp;col=7&amp;number=5.32e-06&amp;sourceID=14","5.32e-06")</f>
        <v>5.32e-06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HYPERLINK("http://141.218.60.56/~jnz1568/getInfo.php?workbook=16_08.xlsx&amp;sheet=U0&amp;row=7734&amp;col=6&amp;number=4&amp;sourceID=14","4")</f>
        <v>4</v>
      </c>
      <c r="G7734" s="4" t="str">
        <f>HYPERLINK("http://141.218.60.56/~jnz1568/getInfo.php?workbook=16_08.xlsx&amp;sheet=U0&amp;row=7734&amp;col=7&amp;number=5.32e-06&amp;sourceID=14","5.32e-06")</f>
        <v>5.32e-06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HYPERLINK("http://141.218.60.56/~jnz1568/getInfo.php?workbook=16_08.xlsx&amp;sheet=U0&amp;row=7735&amp;col=6&amp;number=4.1&amp;sourceID=14","4.1")</f>
        <v>4.1</v>
      </c>
      <c r="G7735" s="4" t="str">
        <f>HYPERLINK("http://141.218.60.56/~jnz1568/getInfo.php?workbook=16_08.xlsx&amp;sheet=U0&amp;row=7735&amp;col=7&amp;number=5.32e-06&amp;sourceID=14","5.32e-06")</f>
        <v>5.32e-06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HYPERLINK("http://141.218.60.56/~jnz1568/getInfo.php?workbook=16_08.xlsx&amp;sheet=U0&amp;row=7736&amp;col=6&amp;number=4.2&amp;sourceID=14","4.2")</f>
        <v>4.2</v>
      </c>
      <c r="G7736" s="4" t="str">
        <f>HYPERLINK("http://141.218.60.56/~jnz1568/getInfo.php?workbook=16_08.xlsx&amp;sheet=U0&amp;row=7736&amp;col=7&amp;number=5.31e-06&amp;sourceID=14","5.31e-06")</f>
        <v>5.31e-06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HYPERLINK("http://141.218.60.56/~jnz1568/getInfo.php?workbook=16_08.xlsx&amp;sheet=U0&amp;row=7737&amp;col=6&amp;number=4.3&amp;sourceID=14","4.3")</f>
        <v>4.3</v>
      </c>
      <c r="G7737" s="4" t="str">
        <f>HYPERLINK("http://141.218.60.56/~jnz1568/getInfo.php?workbook=16_08.xlsx&amp;sheet=U0&amp;row=7737&amp;col=7&amp;number=5.31e-06&amp;sourceID=14","5.31e-06")</f>
        <v>5.31e-06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HYPERLINK("http://141.218.60.56/~jnz1568/getInfo.php?workbook=16_08.xlsx&amp;sheet=U0&amp;row=7738&amp;col=6&amp;number=4.4&amp;sourceID=14","4.4")</f>
        <v>4.4</v>
      </c>
      <c r="G7738" s="4" t="str">
        <f>HYPERLINK("http://141.218.60.56/~jnz1568/getInfo.php?workbook=16_08.xlsx&amp;sheet=U0&amp;row=7738&amp;col=7&amp;number=5.3e-06&amp;sourceID=14","5.3e-06")</f>
        <v>5.3e-06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HYPERLINK("http://141.218.60.56/~jnz1568/getInfo.php?workbook=16_08.xlsx&amp;sheet=U0&amp;row=7739&amp;col=6&amp;number=4.5&amp;sourceID=14","4.5")</f>
        <v>4.5</v>
      </c>
      <c r="G7739" s="4" t="str">
        <f>HYPERLINK("http://141.218.60.56/~jnz1568/getInfo.php?workbook=16_08.xlsx&amp;sheet=U0&amp;row=7739&amp;col=7&amp;number=5.29e-06&amp;sourceID=14","5.29e-06")</f>
        <v>5.29e-06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HYPERLINK("http://141.218.60.56/~jnz1568/getInfo.php?workbook=16_08.xlsx&amp;sheet=U0&amp;row=7740&amp;col=6&amp;number=4.6&amp;sourceID=14","4.6")</f>
        <v>4.6</v>
      </c>
      <c r="G7740" s="4" t="str">
        <f>HYPERLINK("http://141.218.60.56/~jnz1568/getInfo.php?workbook=16_08.xlsx&amp;sheet=U0&amp;row=7740&amp;col=7&amp;number=5.28e-06&amp;sourceID=14","5.28e-06")</f>
        <v>5.28e-06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HYPERLINK("http://141.218.60.56/~jnz1568/getInfo.php?workbook=16_08.xlsx&amp;sheet=U0&amp;row=7741&amp;col=6&amp;number=4.7&amp;sourceID=14","4.7")</f>
        <v>4.7</v>
      </c>
      <c r="G7741" s="4" t="str">
        <f>HYPERLINK("http://141.218.60.56/~jnz1568/getInfo.php?workbook=16_08.xlsx&amp;sheet=U0&amp;row=7741&amp;col=7&amp;number=5.27e-06&amp;sourceID=14","5.27e-06")</f>
        <v>5.27e-06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HYPERLINK("http://141.218.60.56/~jnz1568/getInfo.php?workbook=16_08.xlsx&amp;sheet=U0&amp;row=7742&amp;col=6&amp;number=4.8&amp;sourceID=14","4.8")</f>
        <v>4.8</v>
      </c>
      <c r="G7742" s="4" t="str">
        <f>HYPERLINK("http://141.218.60.56/~jnz1568/getInfo.php?workbook=16_08.xlsx&amp;sheet=U0&amp;row=7742&amp;col=7&amp;number=5.25e-06&amp;sourceID=14","5.25e-06")</f>
        <v>5.25e-06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HYPERLINK("http://141.218.60.56/~jnz1568/getInfo.php?workbook=16_08.xlsx&amp;sheet=U0&amp;row=7743&amp;col=6&amp;number=4.9&amp;sourceID=14","4.9")</f>
        <v>4.9</v>
      </c>
      <c r="G7743" s="4" t="str">
        <f>HYPERLINK("http://141.218.60.56/~jnz1568/getInfo.php?workbook=16_08.xlsx&amp;sheet=U0&amp;row=7743&amp;col=7&amp;number=5.23e-06&amp;sourceID=14","5.23e-06")</f>
        <v>5.23e-06</v>
      </c>
    </row>
    <row r="7744" spans="1:7">
      <c r="A7744" s="3">
        <v>16</v>
      </c>
      <c r="B7744" s="3">
        <v>8</v>
      </c>
      <c r="C7744" s="3">
        <v>5</v>
      </c>
      <c r="D7744" s="3">
        <v>59</v>
      </c>
      <c r="E7744" s="3">
        <v>1</v>
      </c>
      <c r="F7744" s="4" t="str">
        <f>HYPERLINK("http://141.218.60.56/~jnz1568/getInfo.php?workbook=16_08.xlsx&amp;sheet=U0&amp;row=7744&amp;col=6&amp;number=3&amp;sourceID=14","3")</f>
        <v>3</v>
      </c>
      <c r="G7744" s="4" t="str">
        <f>HYPERLINK("http://141.218.60.56/~jnz1568/getInfo.php?workbook=16_08.xlsx&amp;sheet=U0&amp;row=7744&amp;col=7&amp;number=0.000812&amp;sourceID=14","0.000812")</f>
        <v>0.000812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HYPERLINK("http://141.218.60.56/~jnz1568/getInfo.php?workbook=16_08.xlsx&amp;sheet=U0&amp;row=7745&amp;col=6&amp;number=3.1&amp;sourceID=14","3.1")</f>
        <v>3.1</v>
      </c>
      <c r="G7745" s="4" t="str">
        <f>HYPERLINK("http://141.218.60.56/~jnz1568/getInfo.php?workbook=16_08.xlsx&amp;sheet=U0&amp;row=7745&amp;col=7&amp;number=0.000812&amp;sourceID=14","0.000812")</f>
        <v>0.000812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HYPERLINK("http://141.218.60.56/~jnz1568/getInfo.php?workbook=16_08.xlsx&amp;sheet=U0&amp;row=7746&amp;col=6&amp;number=3.2&amp;sourceID=14","3.2")</f>
        <v>3.2</v>
      </c>
      <c r="G7746" s="4" t="str">
        <f>HYPERLINK("http://141.218.60.56/~jnz1568/getInfo.php?workbook=16_08.xlsx&amp;sheet=U0&amp;row=7746&amp;col=7&amp;number=0.000812&amp;sourceID=14","0.000812")</f>
        <v>0.000812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HYPERLINK("http://141.218.60.56/~jnz1568/getInfo.php?workbook=16_08.xlsx&amp;sheet=U0&amp;row=7747&amp;col=6&amp;number=3.3&amp;sourceID=14","3.3")</f>
        <v>3.3</v>
      </c>
      <c r="G7747" s="4" t="str">
        <f>HYPERLINK("http://141.218.60.56/~jnz1568/getInfo.php?workbook=16_08.xlsx&amp;sheet=U0&amp;row=7747&amp;col=7&amp;number=0.000811&amp;sourceID=14","0.000811")</f>
        <v>0.000811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HYPERLINK("http://141.218.60.56/~jnz1568/getInfo.php?workbook=16_08.xlsx&amp;sheet=U0&amp;row=7748&amp;col=6&amp;number=3.4&amp;sourceID=14","3.4")</f>
        <v>3.4</v>
      </c>
      <c r="G7748" s="4" t="str">
        <f>HYPERLINK("http://141.218.60.56/~jnz1568/getInfo.php?workbook=16_08.xlsx&amp;sheet=U0&amp;row=7748&amp;col=7&amp;number=0.000811&amp;sourceID=14","0.000811")</f>
        <v>0.000811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HYPERLINK("http://141.218.60.56/~jnz1568/getInfo.php?workbook=16_08.xlsx&amp;sheet=U0&amp;row=7749&amp;col=6&amp;number=3.5&amp;sourceID=14","3.5")</f>
        <v>3.5</v>
      </c>
      <c r="G7749" s="4" t="str">
        <f>HYPERLINK("http://141.218.60.56/~jnz1568/getInfo.php?workbook=16_08.xlsx&amp;sheet=U0&amp;row=7749&amp;col=7&amp;number=0.000811&amp;sourceID=14","0.000811")</f>
        <v>0.000811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HYPERLINK("http://141.218.60.56/~jnz1568/getInfo.php?workbook=16_08.xlsx&amp;sheet=U0&amp;row=7750&amp;col=6&amp;number=3.6&amp;sourceID=14","3.6")</f>
        <v>3.6</v>
      </c>
      <c r="G7750" s="4" t="str">
        <f>HYPERLINK("http://141.218.60.56/~jnz1568/getInfo.php?workbook=16_08.xlsx&amp;sheet=U0&amp;row=7750&amp;col=7&amp;number=0.000811&amp;sourceID=14","0.000811")</f>
        <v>0.000811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HYPERLINK("http://141.218.60.56/~jnz1568/getInfo.php?workbook=16_08.xlsx&amp;sheet=U0&amp;row=7751&amp;col=6&amp;number=3.7&amp;sourceID=14","3.7")</f>
        <v>3.7</v>
      </c>
      <c r="G7751" s="4" t="str">
        <f>HYPERLINK("http://141.218.60.56/~jnz1568/getInfo.php?workbook=16_08.xlsx&amp;sheet=U0&amp;row=7751&amp;col=7&amp;number=0.00081&amp;sourceID=14","0.00081")</f>
        <v>0.00081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HYPERLINK("http://141.218.60.56/~jnz1568/getInfo.php?workbook=16_08.xlsx&amp;sheet=U0&amp;row=7752&amp;col=6&amp;number=3.8&amp;sourceID=14","3.8")</f>
        <v>3.8</v>
      </c>
      <c r="G7752" s="4" t="str">
        <f>HYPERLINK("http://141.218.60.56/~jnz1568/getInfo.php?workbook=16_08.xlsx&amp;sheet=U0&amp;row=7752&amp;col=7&amp;number=0.000809&amp;sourceID=14","0.000809")</f>
        <v>0.000809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HYPERLINK("http://141.218.60.56/~jnz1568/getInfo.php?workbook=16_08.xlsx&amp;sheet=U0&amp;row=7753&amp;col=6&amp;number=3.9&amp;sourceID=14","3.9")</f>
        <v>3.9</v>
      </c>
      <c r="G7753" s="4" t="str">
        <f>HYPERLINK("http://141.218.60.56/~jnz1568/getInfo.php?workbook=16_08.xlsx&amp;sheet=U0&amp;row=7753&amp;col=7&amp;number=0.000809&amp;sourceID=14","0.000809")</f>
        <v>0.000809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HYPERLINK("http://141.218.60.56/~jnz1568/getInfo.php?workbook=16_08.xlsx&amp;sheet=U0&amp;row=7754&amp;col=6&amp;number=4&amp;sourceID=14","4")</f>
        <v>4</v>
      </c>
      <c r="G7754" s="4" t="str">
        <f>HYPERLINK("http://141.218.60.56/~jnz1568/getInfo.php?workbook=16_08.xlsx&amp;sheet=U0&amp;row=7754&amp;col=7&amp;number=0.000808&amp;sourceID=14","0.000808")</f>
        <v>0.000808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HYPERLINK("http://141.218.60.56/~jnz1568/getInfo.php?workbook=16_08.xlsx&amp;sheet=U0&amp;row=7755&amp;col=6&amp;number=4.1&amp;sourceID=14","4.1")</f>
        <v>4.1</v>
      </c>
      <c r="G7755" s="4" t="str">
        <f>HYPERLINK("http://141.218.60.56/~jnz1568/getInfo.php?workbook=16_08.xlsx&amp;sheet=U0&amp;row=7755&amp;col=7&amp;number=0.000807&amp;sourceID=14","0.000807")</f>
        <v>0.000807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HYPERLINK("http://141.218.60.56/~jnz1568/getInfo.php?workbook=16_08.xlsx&amp;sheet=U0&amp;row=7756&amp;col=6&amp;number=4.2&amp;sourceID=14","4.2")</f>
        <v>4.2</v>
      </c>
      <c r="G7756" s="4" t="str">
        <f>HYPERLINK("http://141.218.60.56/~jnz1568/getInfo.php?workbook=16_08.xlsx&amp;sheet=U0&amp;row=7756&amp;col=7&amp;number=0.000805&amp;sourceID=14","0.000805")</f>
        <v>0.000805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HYPERLINK("http://141.218.60.56/~jnz1568/getInfo.php?workbook=16_08.xlsx&amp;sheet=U0&amp;row=7757&amp;col=6&amp;number=4.3&amp;sourceID=14","4.3")</f>
        <v>4.3</v>
      </c>
      <c r="G7757" s="4" t="str">
        <f>HYPERLINK("http://141.218.60.56/~jnz1568/getInfo.php?workbook=16_08.xlsx&amp;sheet=U0&amp;row=7757&amp;col=7&amp;number=0.000803&amp;sourceID=14","0.000803")</f>
        <v>0.000803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HYPERLINK("http://141.218.60.56/~jnz1568/getInfo.php?workbook=16_08.xlsx&amp;sheet=U0&amp;row=7758&amp;col=6&amp;number=4.4&amp;sourceID=14","4.4")</f>
        <v>4.4</v>
      </c>
      <c r="G7758" s="4" t="str">
        <f>HYPERLINK("http://141.218.60.56/~jnz1568/getInfo.php?workbook=16_08.xlsx&amp;sheet=U0&amp;row=7758&amp;col=7&amp;number=0.000801&amp;sourceID=14","0.000801")</f>
        <v>0.000801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HYPERLINK("http://141.218.60.56/~jnz1568/getInfo.php?workbook=16_08.xlsx&amp;sheet=U0&amp;row=7759&amp;col=6&amp;number=4.5&amp;sourceID=14","4.5")</f>
        <v>4.5</v>
      </c>
      <c r="G7759" s="4" t="str">
        <f>HYPERLINK("http://141.218.60.56/~jnz1568/getInfo.php?workbook=16_08.xlsx&amp;sheet=U0&amp;row=7759&amp;col=7&amp;number=0.000798&amp;sourceID=14","0.000798")</f>
        <v>0.000798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HYPERLINK("http://141.218.60.56/~jnz1568/getInfo.php?workbook=16_08.xlsx&amp;sheet=U0&amp;row=7760&amp;col=6&amp;number=4.6&amp;sourceID=14","4.6")</f>
        <v>4.6</v>
      </c>
      <c r="G7760" s="4" t="str">
        <f>HYPERLINK("http://141.218.60.56/~jnz1568/getInfo.php?workbook=16_08.xlsx&amp;sheet=U0&amp;row=7760&amp;col=7&amp;number=0.000794&amp;sourceID=14","0.000794")</f>
        <v>0.000794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HYPERLINK("http://141.218.60.56/~jnz1568/getInfo.php?workbook=16_08.xlsx&amp;sheet=U0&amp;row=7761&amp;col=6&amp;number=4.7&amp;sourceID=14","4.7")</f>
        <v>4.7</v>
      </c>
      <c r="G7761" s="4" t="str">
        <f>HYPERLINK("http://141.218.60.56/~jnz1568/getInfo.php?workbook=16_08.xlsx&amp;sheet=U0&amp;row=7761&amp;col=7&amp;number=0.00079&amp;sourceID=14","0.00079")</f>
        <v>0.00079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HYPERLINK("http://141.218.60.56/~jnz1568/getInfo.php?workbook=16_08.xlsx&amp;sheet=U0&amp;row=7762&amp;col=6&amp;number=4.8&amp;sourceID=14","4.8")</f>
        <v>4.8</v>
      </c>
      <c r="G7762" s="4" t="str">
        <f>HYPERLINK("http://141.218.60.56/~jnz1568/getInfo.php?workbook=16_08.xlsx&amp;sheet=U0&amp;row=7762&amp;col=7&amp;number=0.000784&amp;sourceID=14","0.000784")</f>
        <v>0.000784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HYPERLINK("http://141.218.60.56/~jnz1568/getInfo.php?workbook=16_08.xlsx&amp;sheet=U0&amp;row=7763&amp;col=6&amp;number=4.9&amp;sourceID=14","4.9")</f>
        <v>4.9</v>
      </c>
      <c r="G7763" s="4" t="str">
        <f>HYPERLINK("http://141.218.60.56/~jnz1568/getInfo.php?workbook=16_08.xlsx&amp;sheet=U0&amp;row=7763&amp;col=7&amp;number=0.000777&amp;sourceID=14","0.000777")</f>
        <v>0.000777</v>
      </c>
    </row>
    <row r="7764" spans="1:7">
      <c r="A7764" s="3">
        <v>16</v>
      </c>
      <c r="B7764" s="3">
        <v>8</v>
      </c>
      <c r="C7764" s="3">
        <v>5</v>
      </c>
      <c r="D7764" s="3">
        <v>60</v>
      </c>
      <c r="E7764" s="3">
        <v>1</v>
      </c>
      <c r="F7764" s="4" t="str">
        <f>HYPERLINK("http://141.218.60.56/~jnz1568/getInfo.php?workbook=16_08.xlsx&amp;sheet=U0&amp;row=7764&amp;col=6&amp;number=3&amp;sourceID=14","3")</f>
        <v>3</v>
      </c>
      <c r="G7764" s="4" t="str">
        <f>HYPERLINK("http://141.218.60.56/~jnz1568/getInfo.php?workbook=16_08.xlsx&amp;sheet=U0&amp;row=7764&amp;col=7&amp;number=1.98e-05&amp;sourceID=14","1.98e-05")</f>
        <v>1.98e-05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HYPERLINK("http://141.218.60.56/~jnz1568/getInfo.php?workbook=16_08.xlsx&amp;sheet=U0&amp;row=7765&amp;col=6&amp;number=3.1&amp;sourceID=14","3.1")</f>
        <v>3.1</v>
      </c>
      <c r="G7765" s="4" t="str">
        <f>HYPERLINK("http://141.218.60.56/~jnz1568/getInfo.php?workbook=16_08.xlsx&amp;sheet=U0&amp;row=7765&amp;col=7&amp;number=1.98e-05&amp;sourceID=14","1.98e-05")</f>
        <v>1.98e-05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HYPERLINK("http://141.218.60.56/~jnz1568/getInfo.php?workbook=16_08.xlsx&amp;sheet=U0&amp;row=7766&amp;col=6&amp;number=3.2&amp;sourceID=14","3.2")</f>
        <v>3.2</v>
      </c>
      <c r="G7766" s="4" t="str">
        <f>HYPERLINK("http://141.218.60.56/~jnz1568/getInfo.php?workbook=16_08.xlsx&amp;sheet=U0&amp;row=7766&amp;col=7&amp;number=1.98e-05&amp;sourceID=14","1.98e-05")</f>
        <v>1.98e-05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HYPERLINK("http://141.218.60.56/~jnz1568/getInfo.php?workbook=16_08.xlsx&amp;sheet=U0&amp;row=7767&amp;col=6&amp;number=3.3&amp;sourceID=14","3.3")</f>
        <v>3.3</v>
      </c>
      <c r="G7767" s="4" t="str">
        <f>HYPERLINK("http://141.218.60.56/~jnz1568/getInfo.php?workbook=16_08.xlsx&amp;sheet=U0&amp;row=7767&amp;col=7&amp;number=1.98e-05&amp;sourceID=14","1.98e-05")</f>
        <v>1.98e-05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HYPERLINK("http://141.218.60.56/~jnz1568/getInfo.php?workbook=16_08.xlsx&amp;sheet=U0&amp;row=7768&amp;col=6&amp;number=3.4&amp;sourceID=14","3.4")</f>
        <v>3.4</v>
      </c>
      <c r="G7768" s="4" t="str">
        <f>HYPERLINK("http://141.218.60.56/~jnz1568/getInfo.php?workbook=16_08.xlsx&amp;sheet=U0&amp;row=7768&amp;col=7&amp;number=1.98e-05&amp;sourceID=14","1.98e-05")</f>
        <v>1.98e-05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HYPERLINK("http://141.218.60.56/~jnz1568/getInfo.php?workbook=16_08.xlsx&amp;sheet=U0&amp;row=7769&amp;col=6&amp;number=3.5&amp;sourceID=14","3.5")</f>
        <v>3.5</v>
      </c>
      <c r="G7769" s="4" t="str">
        <f>HYPERLINK("http://141.218.60.56/~jnz1568/getInfo.php?workbook=16_08.xlsx&amp;sheet=U0&amp;row=7769&amp;col=7&amp;number=1.98e-05&amp;sourceID=14","1.98e-05")</f>
        <v>1.98e-05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HYPERLINK("http://141.218.60.56/~jnz1568/getInfo.php?workbook=16_08.xlsx&amp;sheet=U0&amp;row=7770&amp;col=6&amp;number=3.6&amp;sourceID=14","3.6")</f>
        <v>3.6</v>
      </c>
      <c r="G7770" s="4" t="str">
        <f>HYPERLINK("http://141.218.60.56/~jnz1568/getInfo.php?workbook=16_08.xlsx&amp;sheet=U0&amp;row=7770&amp;col=7&amp;number=1.98e-05&amp;sourceID=14","1.98e-05")</f>
        <v>1.98e-05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HYPERLINK("http://141.218.60.56/~jnz1568/getInfo.php?workbook=16_08.xlsx&amp;sheet=U0&amp;row=7771&amp;col=6&amp;number=3.7&amp;sourceID=14","3.7")</f>
        <v>3.7</v>
      </c>
      <c r="G7771" s="4" t="str">
        <f>HYPERLINK("http://141.218.60.56/~jnz1568/getInfo.php?workbook=16_08.xlsx&amp;sheet=U0&amp;row=7771&amp;col=7&amp;number=1.98e-05&amp;sourceID=14","1.98e-05")</f>
        <v>1.98e-05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HYPERLINK("http://141.218.60.56/~jnz1568/getInfo.php?workbook=16_08.xlsx&amp;sheet=U0&amp;row=7772&amp;col=6&amp;number=3.8&amp;sourceID=14","3.8")</f>
        <v>3.8</v>
      </c>
      <c r="G7772" s="4" t="str">
        <f>HYPERLINK("http://141.218.60.56/~jnz1568/getInfo.php?workbook=16_08.xlsx&amp;sheet=U0&amp;row=7772&amp;col=7&amp;number=1.98e-05&amp;sourceID=14","1.98e-05")</f>
        <v>1.98e-05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HYPERLINK("http://141.218.60.56/~jnz1568/getInfo.php?workbook=16_08.xlsx&amp;sheet=U0&amp;row=7773&amp;col=6&amp;number=3.9&amp;sourceID=14","3.9")</f>
        <v>3.9</v>
      </c>
      <c r="G7773" s="4" t="str">
        <f>HYPERLINK("http://141.218.60.56/~jnz1568/getInfo.php?workbook=16_08.xlsx&amp;sheet=U0&amp;row=7773&amp;col=7&amp;number=1.98e-05&amp;sourceID=14","1.98e-05")</f>
        <v>1.98e-05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HYPERLINK("http://141.218.60.56/~jnz1568/getInfo.php?workbook=16_08.xlsx&amp;sheet=U0&amp;row=7774&amp;col=6&amp;number=4&amp;sourceID=14","4")</f>
        <v>4</v>
      </c>
      <c r="G7774" s="4" t="str">
        <f>HYPERLINK("http://141.218.60.56/~jnz1568/getInfo.php?workbook=16_08.xlsx&amp;sheet=U0&amp;row=7774&amp;col=7&amp;number=1.98e-05&amp;sourceID=14","1.98e-05")</f>
        <v>1.98e-05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HYPERLINK("http://141.218.60.56/~jnz1568/getInfo.php?workbook=16_08.xlsx&amp;sheet=U0&amp;row=7775&amp;col=6&amp;number=4.1&amp;sourceID=14","4.1")</f>
        <v>4.1</v>
      </c>
      <c r="G7775" s="4" t="str">
        <f>HYPERLINK("http://141.218.60.56/~jnz1568/getInfo.php?workbook=16_08.xlsx&amp;sheet=U0&amp;row=7775&amp;col=7&amp;number=1.98e-05&amp;sourceID=14","1.98e-05")</f>
        <v>1.98e-05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HYPERLINK("http://141.218.60.56/~jnz1568/getInfo.php?workbook=16_08.xlsx&amp;sheet=U0&amp;row=7776&amp;col=6&amp;number=4.2&amp;sourceID=14","4.2")</f>
        <v>4.2</v>
      </c>
      <c r="G7776" s="4" t="str">
        <f>HYPERLINK("http://141.218.60.56/~jnz1568/getInfo.php?workbook=16_08.xlsx&amp;sheet=U0&amp;row=7776&amp;col=7&amp;number=1.98e-05&amp;sourceID=14","1.98e-05")</f>
        <v>1.98e-05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HYPERLINK("http://141.218.60.56/~jnz1568/getInfo.php?workbook=16_08.xlsx&amp;sheet=U0&amp;row=7777&amp;col=6&amp;number=4.3&amp;sourceID=14","4.3")</f>
        <v>4.3</v>
      </c>
      <c r="G7777" s="4" t="str">
        <f>HYPERLINK("http://141.218.60.56/~jnz1568/getInfo.php?workbook=16_08.xlsx&amp;sheet=U0&amp;row=7777&amp;col=7&amp;number=1.98e-05&amp;sourceID=14","1.98e-05")</f>
        <v>1.98e-05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HYPERLINK("http://141.218.60.56/~jnz1568/getInfo.php?workbook=16_08.xlsx&amp;sheet=U0&amp;row=7778&amp;col=6&amp;number=4.4&amp;sourceID=14","4.4")</f>
        <v>4.4</v>
      </c>
      <c r="G7778" s="4" t="str">
        <f>HYPERLINK("http://141.218.60.56/~jnz1568/getInfo.php?workbook=16_08.xlsx&amp;sheet=U0&amp;row=7778&amp;col=7&amp;number=1.97e-05&amp;sourceID=14","1.97e-05")</f>
        <v>1.97e-05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HYPERLINK("http://141.218.60.56/~jnz1568/getInfo.php?workbook=16_08.xlsx&amp;sheet=U0&amp;row=7779&amp;col=6&amp;number=4.5&amp;sourceID=14","4.5")</f>
        <v>4.5</v>
      </c>
      <c r="G7779" s="4" t="str">
        <f>HYPERLINK("http://141.218.60.56/~jnz1568/getInfo.php?workbook=16_08.xlsx&amp;sheet=U0&amp;row=7779&amp;col=7&amp;number=1.97e-05&amp;sourceID=14","1.97e-05")</f>
        <v>1.97e-05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HYPERLINK("http://141.218.60.56/~jnz1568/getInfo.php?workbook=16_08.xlsx&amp;sheet=U0&amp;row=7780&amp;col=6&amp;number=4.6&amp;sourceID=14","4.6")</f>
        <v>4.6</v>
      </c>
      <c r="G7780" s="4" t="str">
        <f>HYPERLINK("http://141.218.60.56/~jnz1568/getInfo.php?workbook=16_08.xlsx&amp;sheet=U0&amp;row=7780&amp;col=7&amp;number=1.97e-05&amp;sourceID=14","1.97e-05")</f>
        <v>1.97e-05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HYPERLINK("http://141.218.60.56/~jnz1568/getInfo.php?workbook=16_08.xlsx&amp;sheet=U0&amp;row=7781&amp;col=6&amp;number=4.7&amp;sourceID=14","4.7")</f>
        <v>4.7</v>
      </c>
      <c r="G7781" s="4" t="str">
        <f>HYPERLINK("http://141.218.60.56/~jnz1568/getInfo.php?workbook=16_08.xlsx&amp;sheet=U0&amp;row=7781&amp;col=7&amp;number=1.97e-05&amp;sourceID=14","1.97e-05")</f>
        <v>1.97e-05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HYPERLINK("http://141.218.60.56/~jnz1568/getInfo.php?workbook=16_08.xlsx&amp;sheet=U0&amp;row=7782&amp;col=6&amp;number=4.8&amp;sourceID=14","4.8")</f>
        <v>4.8</v>
      </c>
      <c r="G7782" s="4" t="str">
        <f>HYPERLINK("http://141.218.60.56/~jnz1568/getInfo.php?workbook=16_08.xlsx&amp;sheet=U0&amp;row=7782&amp;col=7&amp;number=1.96e-05&amp;sourceID=14","1.96e-05")</f>
        <v>1.96e-05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HYPERLINK("http://141.218.60.56/~jnz1568/getInfo.php?workbook=16_08.xlsx&amp;sheet=U0&amp;row=7783&amp;col=6&amp;number=4.9&amp;sourceID=14","4.9")</f>
        <v>4.9</v>
      </c>
      <c r="G7783" s="4" t="str">
        <f>HYPERLINK("http://141.218.60.56/~jnz1568/getInfo.php?workbook=16_08.xlsx&amp;sheet=U0&amp;row=7783&amp;col=7&amp;number=1.96e-05&amp;sourceID=14","1.96e-05")</f>
        <v>1.96e-05</v>
      </c>
    </row>
    <row r="7784" spans="1:7">
      <c r="A7784" s="3">
        <v>16</v>
      </c>
      <c r="B7784" s="3">
        <v>8</v>
      </c>
      <c r="C7784" s="3">
        <v>5</v>
      </c>
      <c r="D7784" s="3">
        <v>61</v>
      </c>
      <c r="E7784" s="3">
        <v>1</v>
      </c>
      <c r="F7784" s="4" t="str">
        <f>HYPERLINK("http://141.218.60.56/~jnz1568/getInfo.php?workbook=16_08.xlsx&amp;sheet=U0&amp;row=7784&amp;col=6&amp;number=3&amp;sourceID=14","3")</f>
        <v>3</v>
      </c>
      <c r="G7784" s="4" t="str">
        <f>HYPERLINK("http://141.218.60.56/~jnz1568/getInfo.php?workbook=16_08.xlsx&amp;sheet=U0&amp;row=7784&amp;col=7&amp;number=3.18e-05&amp;sourceID=14","3.18e-05")</f>
        <v>3.18e-05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HYPERLINK("http://141.218.60.56/~jnz1568/getInfo.php?workbook=16_08.xlsx&amp;sheet=U0&amp;row=7785&amp;col=6&amp;number=3.1&amp;sourceID=14","3.1")</f>
        <v>3.1</v>
      </c>
      <c r="G7785" s="4" t="str">
        <f>HYPERLINK("http://141.218.60.56/~jnz1568/getInfo.php?workbook=16_08.xlsx&amp;sheet=U0&amp;row=7785&amp;col=7&amp;number=3.18e-05&amp;sourceID=14","3.18e-05")</f>
        <v>3.18e-05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HYPERLINK("http://141.218.60.56/~jnz1568/getInfo.php?workbook=16_08.xlsx&amp;sheet=U0&amp;row=7786&amp;col=6&amp;number=3.2&amp;sourceID=14","3.2")</f>
        <v>3.2</v>
      </c>
      <c r="G7786" s="4" t="str">
        <f>HYPERLINK("http://141.218.60.56/~jnz1568/getInfo.php?workbook=16_08.xlsx&amp;sheet=U0&amp;row=7786&amp;col=7&amp;number=3.18e-05&amp;sourceID=14","3.18e-05")</f>
        <v>3.18e-05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HYPERLINK("http://141.218.60.56/~jnz1568/getInfo.php?workbook=16_08.xlsx&amp;sheet=U0&amp;row=7787&amp;col=6&amp;number=3.3&amp;sourceID=14","3.3")</f>
        <v>3.3</v>
      </c>
      <c r="G7787" s="4" t="str">
        <f>HYPERLINK("http://141.218.60.56/~jnz1568/getInfo.php?workbook=16_08.xlsx&amp;sheet=U0&amp;row=7787&amp;col=7&amp;number=3.18e-05&amp;sourceID=14","3.18e-05")</f>
        <v>3.18e-05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HYPERLINK("http://141.218.60.56/~jnz1568/getInfo.php?workbook=16_08.xlsx&amp;sheet=U0&amp;row=7788&amp;col=6&amp;number=3.4&amp;sourceID=14","3.4")</f>
        <v>3.4</v>
      </c>
      <c r="G7788" s="4" t="str">
        <f>HYPERLINK("http://141.218.60.56/~jnz1568/getInfo.php?workbook=16_08.xlsx&amp;sheet=U0&amp;row=7788&amp;col=7&amp;number=3.18e-05&amp;sourceID=14","3.18e-05")</f>
        <v>3.18e-05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HYPERLINK("http://141.218.60.56/~jnz1568/getInfo.php?workbook=16_08.xlsx&amp;sheet=U0&amp;row=7789&amp;col=6&amp;number=3.5&amp;sourceID=14","3.5")</f>
        <v>3.5</v>
      </c>
      <c r="G7789" s="4" t="str">
        <f>HYPERLINK("http://141.218.60.56/~jnz1568/getInfo.php?workbook=16_08.xlsx&amp;sheet=U0&amp;row=7789&amp;col=7&amp;number=3.18e-05&amp;sourceID=14","3.18e-05")</f>
        <v>3.18e-05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HYPERLINK("http://141.218.60.56/~jnz1568/getInfo.php?workbook=16_08.xlsx&amp;sheet=U0&amp;row=7790&amp;col=6&amp;number=3.6&amp;sourceID=14","3.6")</f>
        <v>3.6</v>
      </c>
      <c r="G7790" s="4" t="str">
        <f>HYPERLINK("http://141.218.60.56/~jnz1568/getInfo.php?workbook=16_08.xlsx&amp;sheet=U0&amp;row=7790&amp;col=7&amp;number=3.18e-05&amp;sourceID=14","3.18e-05")</f>
        <v>3.18e-05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HYPERLINK("http://141.218.60.56/~jnz1568/getInfo.php?workbook=16_08.xlsx&amp;sheet=U0&amp;row=7791&amp;col=6&amp;number=3.7&amp;sourceID=14","3.7")</f>
        <v>3.7</v>
      </c>
      <c r="G7791" s="4" t="str">
        <f>HYPERLINK("http://141.218.60.56/~jnz1568/getInfo.php?workbook=16_08.xlsx&amp;sheet=U0&amp;row=7791&amp;col=7&amp;number=3.17e-05&amp;sourceID=14","3.17e-05")</f>
        <v>3.17e-05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HYPERLINK("http://141.218.60.56/~jnz1568/getInfo.php?workbook=16_08.xlsx&amp;sheet=U0&amp;row=7792&amp;col=6&amp;number=3.8&amp;sourceID=14","3.8")</f>
        <v>3.8</v>
      </c>
      <c r="G7792" s="4" t="str">
        <f>HYPERLINK("http://141.218.60.56/~jnz1568/getInfo.php?workbook=16_08.xlsx&amp;sheet=U0&amp;row=7792&amp;col=7&amp;number=3.17e-05&amp;sourceID=14","3.17e-05")</f>
        <v>3.17e-05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HYPERLINK("http://141.218.60.56/~jnz1568/getInfo.php?workbook=16_08.xlsx&amp;sheet=U0&amp;row=7793&amp;col=6&amp;number=3.9&amp;sourceID=14","3.9")</f>
        <v>3.9</v>
      </c>
      <c r="G7793" s="4" t="str">
        <f>HYPERLINK("http://141.218.60.56/~jnz1568/getInfo.php?workbook=16_08.xlsx&amp;sheet=U0&amp;row=7793&amp;col=7&amp;number=3.17e-05&amp;sourceID=14","3.17e-05")</f>
        <v>3.17e-05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HYPERLINK("http://141.218.60.56/~jnz1568/getInfo.php?workbook=16_08.xlsx&amp;sheet=U0&amp;row=7794&amp;col=6&amp;number=4&amp;sourceID=14","4")</f>
        <v>4</v>
      </c>
      <c r="G7794" s="4" t="str">
        <f>HYPERLINK("http://141.218.60.56/~jnz1568/getInfo.php?workbook=16_08.xlsx&amp;sheet=U0&amp;row=7794&amp;col=7&amp;number=3.16e-05&amp;sourceID=14","3.16e-05")</f>
        <v>3.16e-05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HYPERLINK("http://141.218.60.56/~jnz1568/getInfo.php?workbook=16_08.xlsx&amp;sheet=U0&amp;row=7795&amp;col=6&amp;number=4.1&amp;sourceID=14","4.1")</f>
        <v>4.1</v>
      </c>
      <c r="G7795" s="4" t="str">
        <f>HYPERLINK("http://141.218.60.56/~jnz1568/getInfo.php?workbook=16_08.xlsx&amp;sheet=U0&amp;row=7795&amp;col=7&amp;number=3.16e-05&amp;sourceID=14","3.16e-05")</f>
        <v>3.16e-05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HYPERLINK("http://141.218.60.56/~jnz1568/getInfo.php?workbook=16_08.xlsx&amp;sheet=U0&amp;row=7796&amp;col=6&amp;number=4.2&amp;sourceID=14","4.2")</f>
        <v>4.2</v>
      </c>
      <c r="G7796" s="4" t="str">
        <f>HYPERLINK("http://141.218.60.56/~jnz1568/getInfo.php?workbook=16_08.xlsx&amp;sheet=U0&amp;row=7796&amp;col=7&amp;number=3.15e-05&amp;sourceID=14","3.15e-05")</f>
        <v>3.15e-05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HYPERLINK("http://141.218.60.56/~jnz1568/getInfo.php?workbook=16_08.xlsx&amp;sheet=U0&amp;row=7797&amp;col=6&amp;number=4.3&amp;sourceID=14","4.3")</f>
        <v>4.3</v>
      </c>
      <c r="G7797" s="4" t="str">
        <f>HYPERLINK("http://141.218.60.56/~jnz1568/getInfo.php?workbook=16_08.xlsx&amp;sheet=U0&amp;row=7797&amp;col=7&amp;number=3.14e-05&amp;sourceID=14","3.14e-05")</f>
        <v>3.14e-05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HYPERLINK("http://141.218.60.56/~jnz1568/getInfo.php?workbook=16_08.xlsx&amp;sheet=U0&amp;row=7798&amp;col=6&amp;number=4.4&amp;sourceID=14","4.4")</f>
        <v>4.4</v>
      </c>
      <c r="G7798" s="4" t="str">
        <f>HYPERLINK("http://141.218.60.56/~jnz1568/getInfo.php?workbook=16_08.xlsx&amp;sheet=U0&amp;row=7798&amp;col=7&amp;number=3.13e-05&amp;sourceID=14","3.13e-05")</f>
        <v>3.13e-05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HYPERLINK("http://141.218.60.56/~jnz1568/getInfo.php?workbook=16_08.xlsx&amp;sheet=U0&amp;row=7799&amp;col=6&amp;number=4.5&amp;sourceID=14","4.5")</f>
        <v>4.5</v>
      </c>
      <c r="G7799" s="4" t="str">
        <f>HYPERLINK("http://141.218.60.56/~jnz1568/getInfo.php?workbook=16_08.xlsx&amp;sheet=U0&amp;row=7799&amp;col=7&amp;number=3.11e-05&amp;sourceID=14","3.11e-05")</f>
        <v>3.11e-05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HYPERLINK("http://141.218.60.56/~jnz1568/getInfo.php?workbook=16_08.xlsx&amp;sheet=U0&amp;row=7800&amp;col=6&amp;number=4.6&amp;sourceID=14","4.6")</f>
        <v>4.6</v>
      </c>
      <c r="G7800" s="4" t="str">
        <f>HYPERLINK("http://141.218.60.56/~jnz1568/getInfo.php?workbook=16_08.xlsx&amp;sheet=U0&amp;row=7800&amp;col=7&amp;number=3.09e-05&amp;sourceID=14","3.09e-05")</f>
        <v>3.09e-05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HYPERLINK("http://141.218.60.56/~jnz1568/getInfo.php?workbook=16_08.xlsx&amp;sheet=U0&amp;row=7801&amp;col=6&amp;number=4.7&amp;sourceID=14","4.7")</f>
        <v>4.7</v>
      </c>
      <c r="G7801" s="4" t="str">
        <f>HYPERLINK("http://141.218.60.56/~jnz1568/getInfo.php?workbook=16_08.xlsx&amp;sheet=U0&amp;row=7801&amp;col=7&amp;number=3.07e-05&amp;sourceID=14","3.07e-05")</f>
        <v>3.07e-05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HYPERLINK("http://141.218.60.56/~jnz1568/getInfo.php?workbook=16_08.xlsx&amp;sheet=U0&amp;row=7802&amp;col=6&amp;number=4.8&amp;sourceID=14","4.8")</f>
        <v>4.8</v>
      </c>
      <c r="G7802" s="4" t="str">
        <f>HYPERLINK("http://141.218.60.56/~jnz1568/getInfo.php?workbook=16_08.xlsx&amp;sheet=U0&amp;row=7802&amp;col=7&amp;number=3.04e-05&amp;sourceID=14","3.04e-05")</f>
        <v>3.04e-05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HYPERLINK("http://141.218.60.56/~jnz1568/getInfo.php?workbook=16_08.xlsx&amp;sheet=U0&amp;row=7803&amp;col=6&amp;number=4.9&amp;sourceID=14","4.9")</f>
        <v>4.9</v>
      </c>
      <c r="G7803" s="4" t="str">
        <f>HYPERLINK("http://141.218.60.56/~jnz1568/getInfo.php?workbook=16_08.xlsx&amp;sheet=U0&amp;row=7803&amp;col=7&amp;number=3e-05&amp;sourceID=14","3e-05")</f>
        <v>3e-05</v>
      </c>
    </row>
    <row r="7804" spans="1:7">
      <c r="A7804" s="3">
        <v>16</v>
      </c>
      <c r="B7804" s="3">
        <v>8</v>
      </c>
      <c r="C7804" s="3">
        <v>5</v>
      </c>
      <c r="D7804" s="3">
        <v>62</v>
      </c>
      <c r="E7804" s="3">
        <v>1</v>
      </c>
      <c r="F7804" s="4" t="str">
        <f>HYPERLINK("http://141.218.60.56/~jnz1568/getInfo.php?workbook=16_08.xlsx&amp;sheet=U0&amp;row=7804&amp;col=6&amp;number=3&amp;sourceID=14","3")</f>
        <v>3</v>
      </c>
      <c r="G7804" s="4" t="str">
        <f>HYPERLINK("http://141.218.60.56/~jnz1568/getInfo.php?workbook=16_08.xlsx&amp;sheet=U0&amp;row=7804&amp;col=7&amp;number=3.47e-05&amp;sourceID=14","3.47e-05")</f>
        <v>3.47e-05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HYPERLINK("http://141.218.60.56/~jnz1568/getInfo.php?workbook=16_08.xlsx&amp;sheet=U0&amp;row=7805&amp;col=6&amp;number=3.1&amp;sourceID=14","3.1")</f>
        <v>3.1</v>
      </c>
      <c r="G7805" s="4" t="str">
        <f>HYPERLINK("http://141.218.60.56/~jnz1568/getInfo.php?workbook=16_08.xlsx&amp;sheet=U0&amp;row=7805&amp;col=7&amp;number=3.47e-05&amp;sourceID=14","3.47e-05")</f>
        <v>3.47e-05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HYPERLINK("http://141.218.60.56/~jnz1568/getInfo.php?workbook=16_08.xlsx&amp;sheet=U0&amp;row=7806&amp;col=6&amp;number=3.2&amp;sourceID=14","3.2")</f>
        <v>3.2</v>
      </c>
      <c r="G7806" s="4" t="str">
        <f>HYPERLINK("http://141.218.60.56/~jnz1568/getInfo.php?workbook=16_08.xlsx&amp;sheet=U0&amp;row=7806&amp;col=7&amp;number=3.47e-05&amp;sourceID=14","3.47e-05")</f>
        <v>3.47e-05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HYPERLINK("http://141.218.60.56/~jnz1568/getInfo.php?workbook=16_08.xlsx&amp;sheet=U0&amp;row=7807&amp;col=6&amp;number=3.3&amp;sourceID=14","3.3")</f>
        <v>3.3</v>
      </c>
      <c r="G7807" s="4" t="str">
        <f>HYPERLINK("http://141.218.60.56/~jnz1568/getInfo.php?workbook=16_08.xlsx&amp;sheet=U0&amp;row=7807&amp;col=7&amp;number=3.47e-05&amp;sourceID=14","3.47e-05")</f>
        <v>3.47e-05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HYPERLINK("http://141.218.60.56/~jnz1568/getInfo.php?workbook=16_08.xlsx&amp;sheet=U0&amp;row=7808&amp;col=6&amp;number=3.4&amp;sourceID=14","3.4")</f>
        <v>3.4</v>
      </c>
      <c r="G7808" s="4" t="str">
        <f>HYPERLINK("http://141.218.60.56/~jnz1568/getInfo.php?workbook=16_08.xlsx&amp;sheet=U0&amp;row=7808&amp;col=7&amp;number=3.47e-05&amp;sourceID=14","3.47e-05")</f>
        <v>3.47e-05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HYPERLINK("http://141.218.60.56/~jnz1568/getInfo.php?workbook=16_08.xlsx&amp;sheet=U0&amp;row=7809&amp;col=6&amp;number=3.5&amp;sourceID=14","3.5")</f>
        <v>3.5</v>
      </c>
      <c r="G7809" s="4" t="str">
        <f>HYPERLINK("http://141.218.60.56/~jnz1568/getInfo.php?workbook=16_08.xlsx&amp;sheet=U0&amp;row=7809&amp;col=7&amp;number=3.47e-05&amp;sourceID=14","3.47e-05")</f>
        <v>3.47e-05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HYPERLINK("http://141.218.60.56/~jnz1568/getInfo.php?workbook=16_08.xlsx&amp;sheet=U0&amp;row=7810&amp;col=6&amp;number=3.6&amp;sourceID=14","3.6")</f>
        <v>3.6</v>
      </c>
      <c r="G7810" s="4" t="str">
        <f>HYPERLINK("http://141.218.60.56/~jnz1568/getInfo.php?workbook=16_08.xlsx&amp;sheet=U0&amp;row=7810&amp;col=7&amp;number=3.46e-05&amp;sourceID=14","3.46e-05")</f>
        <v>3.46e-05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HYPERLINK("http://141.218.60.56/~jnz1568/getInfo.php?workbook=16_08.xlsx&amp;sheet=U0&amp;row=7811&amp;col=6&amp;number=3.7&amp;sourceID=14","3.7")</f>
        <v>3.7</v>
      </c>
      <c r="G7811" s="4" t="str">
        <f>HYPERLINK("http://141.218.60.56/~jnz1568/getInfo.php?workbook=16_08.xlsx&amp;sheet=U0&amp;row=7811&amp;col=7&amp;number=3.46e-05&amp;sourceID=14","3.46e-05")</f>
        <v>3.46e-05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HYPERLINK("http://141.218.60.56/~jnz1568/getInfo.php?workbook=16_08.xlsx&amp;sheet=U0&amp;row=7812&amp;col=6&amp;number=3.8&amp;sourceID=14","3.8")</f>
        <v>3.8</v>
      </c>
      <c r="G7812" s="4" t="str">
        <f>HYPERLINK("http://141.218.60.56/~jnz1568/getInfo.php?workbook=16_08.xlsx&amp;sheet=U0&amp;row=7812&amp;col=7&amp;number=3.46e-05&amp;sourceID=14","3.46e-05")</f>
        <v>3.46e-05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HYPERLINK("http://141.218.60.56/~jnz1568/getInfo.php?workbook=16_08.xlsx&amp;sheet=U0&amp;row=7813&amp;col=6&amp;number=3.9&amp;sourceID=14","3.9")</f>
        <v>3.9</v>
      </c>
      <c r="G7813" s="4" t="str">
        <f>HYPERLINK("http://141.218.60.56/~jnz1568/getInfo.php?workbook=16_08.xlsx&amp;sheet=U0&amp;row=7813&amp;col=7&amp;number=3.45e-05&amp;sourceID=14","3.45e-05")</f>
        <v>3.45e-05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HYPERLINK("http://141.218.60.56/~jnz1568/getInfo.php?workbook=16_08.xlsx&amp;sheet=U0&amp;row=7814&amp;col=6&amp;number=4&amp;sourceID=14","4")</f>
        <v>4</v>
      </c>
      <c r="G7814" s="4" t="str">
        <f>HYPERLINK("http://141.218.60.56/~jnz1568/getInfo.php?workbook=16_08.xlsx&amp;sheet=U0&amp;row=7814&amp;col=7&amp;number=3.45e-05&amp;sourceID=14","3.45e-05")</f>
        <v>3.45e-05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HYPERLINK("http://141.218.60.56/~jnz1568/getInfo.php?workbook=16_08.xlsx&amp;sheet=U0&amp;row=7815&amp;col=6&amp;number=4.1&amp;sourceID=14","4.1")</f>
        <v>4.1</v>
      </c>
      <c r="G7815" s="4" t="str">
        <f>HYPERLINK("http://141.218.60.56/~jnz1568/getInfo.php?workbook=16_08.xlsx&amp;sheet=U0&amp;row=7815&amp;col=7&amp;number=3.44e-05&amp;sourceID=14","3.44e-05")</f>
        <v>3.44e-05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HYPERLINK("http://141.218.60.56/~jnz1568/getInfo.php?workbook=16_08.xlsx&amp;sheet=U0&amp;row=7816&amp;col=6&amp;number=4.2&amp;sourceID=14","4.2")</f>
        <v>4.2</v>
      </c>
      <c r="G7816" s="4" t="str">
        <f>HYPERLINK("http://141.218.60.56/~jnz1568/getInfo.php?workbook=16_08.xlsx&amp;sheet=U0&amp;row=7816&amp;col=7&amp;number=3.43e-05&amp;sourceID=14","3.43e-05")</f>
        <v>3.43e-05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HYPERLINK("http://141.218.60.56/~jnz1568/getInfo.php?workbook=16_08.xlsx&amp;sheet=U0&amp;row=7817&amp;col=6&amp;number=4.3&amp;sourceID=14","4.3")</f>
        <v>4.3</v>
      </c>
      <c r="G7817" s="4" t="str">
        <f>HYPERLINK("http://141.218.60.56/~jnz1568/getInfo.php?workbook=16_08.xlsx&amp;sheet=U0&amp;row=7817&amp;col=7&amp;number=3.42e-05&amp;sourceID=14","3.42e-05")</f>
        <v>3.42e-05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HYPERLINK("http://141.218.60.56/~jnz1568/getInfo.php?workbook=16_08.xlsx&amp;sheet=U0&amp;row=7818&amp;col=6&amp;number=4.4&amp;sourceID=14","4.4")</f>
        <v>4.4</v>
      </c>
      <c r="G7818" s="4" t="str">
        <f>HYPERLINK("http://141.218.60.56/~jnz1568/getInfo.php?workbook=16_08.xlsx&amp;sheet=U0&amp;row=7818&amp;col=7&amp;number=3.41e-05&amp;sourceID=14","3.41e-05")</f>
        <v>3.41e-05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HYPERLINK("http://141.218.60.56/~jnz1568/getInfo.php?workbook=16_08.xlsx&amp;sheet=U0&amp;row=7819&amp;col=6&amp;number=4.5&amp;sourceID=14","4.5")</f>
        <v>4.5</v>
      </c>
      <c r="G7819" s="4" t="str">
        <f>HYPERLINK("http://141.218.60.56/~jnz1568/getInfo.php?workbook=16_08.xlsx&amp;sheet=U0&amp;row=7819&amp;col=7&amp;number=3.39e-05&amp;sourceID=14","3.39e-05")</f>
        <v>3.39e-05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HYPERLINK("http://141.218.60.56/~jnz1568/getInfo.php?workbook=16_08.xlsx&amp;sheet=U0&amp;row=7820&amp;col=6&amp;number=4.6&amp;sourceID=14","4.6")</f>
        <v>4.6</v>
      </c>
      <c r="G7820" s="4" t="str">
        <f>HYPERLINK("http://141.218.60.56/~jnz1568/getInfo.php?workbook=16_08.xlsx&amp;sheet=U0&amp;row=7820&amp;col=7&amp;number=3.37e-05&amp;sourceID=14","3.37e-05")</f>
        <v>3.37e-05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HYPERLINK("http://141.218.60.56/~jnz1568/getInfo.php?workbook=16_08.xlsx&amp;sheet=U0&amp;row=7821&amp;col=6&amp;number=4.7&amp;sourceID=14","4.7")</f>
        <v>4.7</v>
      </c>
      <c r="G7821" s="4" t="str">
        <f>HYPERLINK("http://141.218.60.56/~jnz1568/getInfo.php?workbook=16_08.xlsx&amp;sheet=U0&amp;row=7821&amp;col=7&amp;number=3.35e-05&amp;sourceID=14","3.35e-05")</f>
        <v>3.35e-05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HYPERLINK("http://141.218.60.56/~jnz1568/getInfo.php?workbook=16_08.xlsx&amp;sheet=U0&amp;row=7822&amp;col=6&amp;number=4.8&amp;sourceID=14","4.8")</f>
        <v>4.8</v>
      </c>
      <c r="G7822" s="4" t="str">
        <f>HYPERLINK("http://141.218.60.56/~jnz1568/getInfo.php?workbook=16_08.xlsx&amp;sheet=U0&amp;row=7822&amp;col=7&amp;number=3.31e-05&amp;sourceID=14","3.31e-05")</f>
        <v>3.31e-05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HYPERLINK("http://141.218.60.56/~jnz1568/getInfo.php?workbook=16_08.xlsx&amp;sheet=U0&amp;row=7823&amp;col=6&amp;number=4.9&amp;sourceID=14","4.9")</f>
        <v>4.9</v>
      </c>
      <c r="G7823" s="4" t="str">
        <f>HYPERLINK("http://141.218.60.56/~jnz1568/getInfo.php?workbook=16_08.xlsx&amp;sheet=U0&amp;row=7823&amp;col=7&amp;number=3.27e-05&amp;sourceID=14","3.27e-05")</f>
        <v>3.27e-05</v>
      </c>
    </row>
    <row r="7824" spans="1:7">
      <c r="A7824" s="3">
        <v>16</v>
      </c>
      <c r="B7824" s="3">
        <v>8</v>
      </c>
      <c r="C7824" s="3">
        <v>5</v>
      </c>
      <c r="D7824" s="3">
        <v>63</v>
      </c>
      <c r="E7824" s="3">
        <v>1</v>
      </c>
      <c r="F7824" s="4" t="str">
        <f>HYPERLINK("http://141.218.60.56/~jnz1568/getInfo.php?workbook=16_08.xlsx&amp;sheet=U0&amp;row=7824&amp;col=6&amp;number=3&amp;sourceID=14","3")</f>
        <v>3</v>
      </c>
      <c r="G7824" s="4" t="str">
        <f>HYPERLINK("http://141.218.60.56/~jnz1568/getInfo.php?workbook=16_08.xlsx&amp;sheet=U0&amp;row=7824&amp;col=7&amp;number=6.32e-05&amp;sourceID=14","6.32e-05")</f>
        <v>6.32e-05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HYPERLINK("http://141.218.60.56/~jnz1568/getInfo.php?workbook=16_08.xlsx&amp;sheet=U0&amp;row=7825&amp;col=6&amp;number=3.1&amp;sourceID=14","3.1")</f>
        <v>3.1</v>
      </c>
      <c r="G7825" s="4" t="str">
        <f>HYPERLINK("http://141.218.60.56/~jnz1568/getInfo.php?workbook=16_08.xlsx&amp;sheet=U0&amp;row=7825&amp;col=7&amp;number=6.32e-05&amp;sourceID=14","6.32e-05")</f>
        <v>6.32e-05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HYPERLINK("http://141.218.60.56/~jnz1568/getInfo.php?workbook=16_08.xlsx&amp;sheet=U0&amp;row=7826&amp;col=6&amp;number=3.2&amp;sourceID=14","3.2")</f>
        <v>3.2</v>
      </c>
      <c r="G7826" s="4" t="str">
        <f>HYPERLINK("http://141.218.60.56/~jnz1568/getInfo.php?workbook=16_08.xlsx&amp;sheet=U0&amp;row=7826&amp;col=7&amp;number=6.32e-05&amp;sourceID=14","6.32e-05")</f>
        <v>6.32e-05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HYPERLINK("http://141.218.60.56/~jnz1568/getInfo.php?workbook=16_08.xlsx&amp;sheet=U0&amp;row=7827&amp;col=6&amp;number=3.3&amp;sourceID=14","3.3")</f>
        <v>3.3</v>
      </c>
      <c r="G7827" s="4" t="str">
        <f>HYPERLINK("http://141.218.60.56/~jnz1568/getInfo.php?workbook=16_08.xlsx&amp;sheet=U0&amp;row=7827&amp;col=7&amp;number=6.32e-05&amp;sourceID=14","6.32e-05")</f>
        <v>6.32e-05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HYPERLINK("http://141.218.60.56/~jnz1568/getInfo.php?workbook=16_08.xlsx&amp;sheet=U0&amp;row=7828&amp;col=6&amp;number=3.4&amp;sourceID=14","3.4")</f>
        <v>3.4</v>
      </c>
      <c r="G7828" s="4" t="str">
        <f>HYPERLINK("http://141.218.60.56/~jnz1568/getInfo.php?workbook=16_08.xlsx&amp;sheet=U0&amp;row=7828&amp;col=7&amp;number=6.31e-05&amp;sourceID=14","6.31e-05")</f>
        <v>6.31e-05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HYPERLINK("http://141.218.60.56/~jnz1568/getInfo.php?workbook=16_08.xlsx&amp;sheet=U0&amp;row=7829&amp;col=6&amp;number=3.5&amp;sourceID=14","3.5")</f>
        <v>3.5</v>
      </c>
      <c r="G7829" s="4" t="str">
        <f>HYPERLINK("http://141.218.60.56/~jnz1568/getInfo.php?workbook=16_08.xlsx&amp;sheet=U0&amp;row=7829&amp;col=7&amp;number=6.31e-05&amp;sourceID=14","6.31e-05")</f>
        <v>6.31e-05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HYPERLINK("http://141.218.60.56/~jnz1568/getInfo.php?workbook=16_08.xlsx&amp;sheet=U0&amp;row=7830&amp;col=6&amp;number=3.6&amp;sourceID=14","3.6")</f>
        <v>3.6</v>
      </c>
      <c r="G7830" s="4" t="str">
        <f>HYPERLINK("http://141.218.60.56/~jnz1568/getInfo.php?workbook=16_08.xlsx&amp;sheet=U0&amp;row=7830&amp;col=7&amp;number=6.31e-05&amp;sourceID=14","6.31e-05")</f>
        <v>6.31e-05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HYPERLINK("http://141.218.60.56/~jnz1568/getInfo.php?workbook=16_08.xlsx&amp;sheet=U0&amp;row=7831&amp;col=6&amp;number=3.7&amp;sourceID=14","3.7")</f>
        <v>3.7</v>
      </c>
      <c r="G7831" s="4" t="str">
        <f>HYPERLINK("http://141.218.60.56/~jnz1568/getInfo.php?workbook=16_08.xlsx&amp;sheet=U0&amp;row=7831&amp;col=7&amp;number=6.31e-05&amp;sourceID=14","6.31e-05")</f>
        <v>6.31e-05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HYPERLINK("http://141.218.60.56/~jnz1568/getInfo.php?workbook=16_08.xlsx&amp;sheet=U0&amp;row=7832&amp;col=6&amp;number=3.8&amp;sourceID=14","3.8")</f>
        <v>3.8</v>
      </c>
      <c r="G7832" s="4" t="str">
        <f>HYPERLINK("http://141.218.60.56/~jnz1568/getInfo.php?workbook=16_08.xlsx&amp;sheet=U0&amp;row=7832&amp;col=7&amp;number=6.31e-05&amp;sourceID=14","6.31e-05")</f>
        <v>6.31e-05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HYPERLINK("http://141.218.60.56/~jnz1568/getInfo.php?workbook=16_08.xlsx&amp;sheet=U0&amp;row=7833&amp;col=6&amp;number=3.9&amp;sourceID=14","3.9")</f>
        <v>3.9</v>
      </c>
      <c r="G7833" s="4" t="str">
        <f>HYPERLINK("http://141.218.60.56/~jnz1568/getInfo.php?workbook=16_08.xlsx&amp;sheet=U0&amp;row=7833&amp;col=7&amp;number=6.3e-05&amp;sourceID=14","6.3e-05")</f>
        <v>6.3e-05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HYPERLINK("http://141.218.60.56/~jnz1568/getInfo.php?workbook=16_08.xlsx&amp;sheet=U0&amp;row=7834&amp;col=6&amp;number=4&amp;sourceID=14","4")</f>
        <v>4</v>
      </c>
      <c r="G7834" s="4" t="str">
        <f>HYPERLINK("http://141.218.60.56/~jnz1568/getInfo.php?workbook=16_08.xlsx&amp;sheet=U0&amp;row=7834&amp;col=7&amp;number=6.3e-05&amp;sourceID=14","6.3e-05")</f>
        <v>6.3e-05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HYPERLINK("http://141.218.60.56/~jnz1568/getInfo.php?workbook=16_08.xlsx&amp;sheet=U0&amp;row=7835&amp;col=6&amp;number=4.1&amp;sourceID=14","4.1")</f>
        <v>4.1</v>
      </c>
      <c r="G7835" s="4" t="str">
        <f>HYPERLINK("http://141.218.60.56/~jnz1568/getInfo.php?workbook=16_08.xlsx&amp;sheet=U0&amp;row=7835&amp;col=7&amp;number=6.3e-05&amp;sourceID=14","6.3e-05")</f>
        <v>6.3e-05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HYPERLINK("http://141.218.60.56/~jnz1568/getInfo.php?workbook=16_08.xlsx&amp;sheet=U0&amp;row=7836&amp;col=6&amp;number=4.2&amp;sourceID=14","4.2")</f>
        <v>4.2</v>
      </c>
      <c r="G7836" s="4" t="str">
        <f>HYPERLINK("http://141.218.60.56/~jnz1568/getInfo.php?workbook=16_08.xlsx&amp;sheet=U0&amp;row=7836&amp;col=7&amp;number=6.29e-05&amp;sourceID=14","6.29e-05")</f>
        <v>6.29e-05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HYPERLINK("http://141.218.60.56/~jnz1568/getInfo.php?workbook=16_08.xlsx&amp;sheet=U0&amp;row=7837&amp;col=6&amp;number=4.3&amp;sourceID=14","4.3")</f>
        <v>4.3</v>
      </c>
      <c r="G7837" s="4" t="str">
        <f>HYPERLINK("http://141.218.60.56/~jnz1568/getInfo.php?workbook=16_08.xlsx&amp;sheet=U0&amp;row=7837&amp;col=7&amp;number=6.28e-05&amp;sourceID=14","6.28e-05")</f>
        <v>6.28e-05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HYPERLINK("http://141.218.60.56/~jnz1568/getInfo.php?workbook=16_08.xlsx&amp;sheet=U0&amp;row=7838&amp;col=6&amp;number=4.4&amp;sourceID=14","4.4")</f>
        <v>4.4</v>
      </c>
      <c r="G7838" s="4" t="str">
        <f>HYPERLINK("http://141.218.60.56/~jnz1568/getInfo.php?workbook=16_08.xlsx&amp;sheet=U0&amp;row=7838&amp;col=7&amp;number=6.27e-05&amp;sourceID=14","6.27e-05")</f>
        <v>6.27e-05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HYPERLINK("http://141.218.60.56/~jnz1568/getInfo.php?workbook=16_08.xlsx&amp;sheet=U0&amp;row=7839&amp;col=6&amp;number=4.5&amp;sourceID=14","4.5")</f>
        <v>4.5</v>
      </c>
      <c r="G7839" s="4" t="str">
        <f>HYPERLINK("http://141.218.60.56/~jnz1568/getInfo.php?workbook=16_08.xlsx&amp;sheet=U0&amp;row=7839&amp;col=7&amp;number=6.26e-05&amp;sourceID=14","6.26e-05")</f>
        <v>6.26e-05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HYPERLINK("http://141.218.60.56/~jnz1568/getInfo.php?workbook=16_08.xlsx&amp;sheet=U0&amp;row=7840&amp;col=6&amp;number=4.6&amp;sourceID=14","4.6")</f>
        <v>4.6</v>
      </c>
      <c r="G7840" s="4" t="str">
        <f>HYPERLINK("http://141.218.60.56/~jnz1568/getInfo.php?workbook=16_08.xlsx&amp;sheet=U0&amp;row=7840&amp;col=7&amp;number=6.25e-05&amp;sourceID=14","6.25e-05")</f>
        <v>6.25e-05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HYPERLINK("http://141.218.60.56/~jnz1568/getInfo.php?workbook=16_08.xlsx&amp;sheet=U0&amp;row=7841&amp;col=6&amp;number=4.7&amp;sourceID=14","4.7")</f>
        <v>4.7</v>
      </c>
      <c r="G7841" s="4" t="str">
        <f>HYPERLINK("http://141.218.60.56/~jnz1568/getInfo.php?workbook=16_08.xlsx&amp;sheet=U0&amp;row=7841&amp;col=7&amp;number=6.23e-05&amp;sourceID=14","6.23e-05")</f>
        <v>6.23e-05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HYPERLINK("http://141.218.60.56/~jnz1568/getInfo.php?workbook=16_08.xlsx&amp;sheet=U0&amp;row=7842&amp;col=6&amp;number=4.8&amp;sourceID=14","4.8")</f>
        <v>4.8</v>
      </c>
      <c r="G7842" s="4" t="str">
        <f>HYPERLINK("http://141.218.60.56/~jnz1568/getInfo.php?workbook=16_08.xlsx&amp;sheet=U0&amp;row=7842&amp;col=7&amp;number=6.21e-05&amp;sourceID=14","6.21e-05")</f>
        <v>6.21e-05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HYPERLINK("http://141.218.60.56/~jnz1568/getInfo.php?workbook=16_08.xlsx&amp;sheet=U0&amp;row=7843&amp;col=6&amp;number=4.9&amp;sourceID=14","4.9")</f>
        <v>4.9</v>
      </c>
      <c r="G7843" s="4" t="str">
        <f>HYPERLINK("http://141.218.60.56/~jnz1568/getInfo.php?workbook=16_08.xlsx&amp;sheet=U0&amp;row=7843&amp;col=7&amp;number=6.18e-05&amp;sourceID=14","6.18e-05")</f>
        <v>6.18e-05</v>
      </c>
    </row>
    <row r="7844" spans="1:7">
      <c r="A7844" s="3">
        <v>16</v>
      </c>
      <c r="B7844" s="3">
        <v>8</v>
      </c>
      <c r="C7844" s="3">
        <v>5</v>
      </c>
      <c r="D7844" s="3">
        <v>64</v>
      </c>
      <c r="E7844" s="3">
        <v>1</v>
      </c>
      <c r="F7844" s="4" t="str">
        <f>HYPERLINK("http://141.218.60.56/~jnz1568/getInfo.php?workbook=16_08.xlsx&amp;sheet=U0&amp;row=7844&amp;col=6&amp;number=3&amp;sourceID=14","3")</f>
        <v>3</v>
      </c>
      <c r="G7844" s="4" t="str">
        <f>HYPERLINK("http://141.218.60.56/~jnz1568/getInfo.php?workbook=16_08.xlsx&amp;sheet=U0&amp;row=7844&amp;col=7&amp;number=0.00292&amp;sourceID=14","0.00292")</f>
        <v>0.00292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HYPERLINK("http://141.218.60.56/~jnz1568/getInfo.php?workbook=16_08.xlsx&amp;sheet=U0&amp;row=7845&amp;col=6&amp;number=3.1&amp;sourceID=14","3.1")</f>
        <v>3.1</v>
      </c>
      <c r="G7845" s="4" t="str">
        <f>HYPERLINK("http://141.218.60.56/~jnz1568/getInfo.php?workbook=16_08.xlsx&amp;sheet=U0&amp;row=7845&amp;col=7&amp;number=0.00293&amp;sourceID=14","0.00293")</f>
        <v>0.00293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HYPERLINK("http://141.218.60.56/~jnz1568/getInfo.php?workbook=16_08.xlsx&amp;sheet=U0&amp;row=7846&amp;col=6&amp;number=3.2&amp;sourceID=14","3.2")</f>
        <v>3.2</v>
      </c>
      <c r="G7846" s="4" t="str">
        <f>HYPERLINK("http://141.218.60.56/~jnz1568/getInfo.php?workbook=16_08.xlsx&amp;sheet=U0&amp;row=7846&amp;col=7&amp;number=0.00293&amp;sourceID=14","0.00293")</f>
        <v>0.00293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HYPERLINK("http://141.218.60.56/~jnz1568/getInfo.php?workbook=16_08.xlsx&amp;sheet=U0&amp;row=7847&amp;col=6&amp;number=3.3&amp;sourceID=14","3.3")</f>
        <v>3.3</v>
      </c>
      <c r="G7847" s="4" t="str">
        <f>HYPERLINK("http://141.218.60.56/~jnz1568/getInfo.php?workbook=16_08.xlsx&amp;sheet=U0&amp;row=7847&amp;col=7&amp;number=0.00293&amp;sourceID=14","0.00293")</f>
        <v>0.00293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HYPERLINK("http://141.218.60.56/~jnz1568/getInfo.php?workbook=16_08.xlsx&amp;sheet=U0&amp;row=7848&amp;col=6&amp;number=3.4&amp;sourceID=14","3.4")</f>
        <v>3.4</v>
      </c>
      <c r="G7848" s="4" t="str">
        <f>HYPERLINK("http://141.218.60.56/~jnz1568/getInfo.php?workbook=16_08.xlsx&amp;sheet=U0&amp;row=7848&amp;col=7&amp;number=0.00293&amp;sourceID=14","0.00293")</f>
        <v>0.00293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HYPERLINK("http://141.218.60.56/~jnz1568/getInfo.php?workbook=16_08.xlsx&amp;sheet=U0&amp;row=7849&amp;col=6&amp;number=3.5&amp;sourceID=14","3.5")</f>
        <v>3.5</v>
      </c>
      <c r="G7849" s="4" t="str">
        <f>HYPERLINK("http://141.218.60.56/~jnz1568/getInfo.php?workbook=16_08.xlsx&amp;sheet=U0&amp;row=7849&amp;col=7&amp;number=0.00293&amp;sourceID=14","0.00293")</f>
        <v>0.00293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HYPERLINK("http://141.218.60.56/~jnz1568/getInfo.php?workbook=16_08.xlsx&amp;sheet=U0&amp;row=7850&amp;col=6&amp;number=3.6&amp;sourceID=14","3.6")</f>
        <v>3.6</v>
      </c>
      <c r="G7850" s="4" t="str">
        <f>HYPERLINK("http://141.218.60.56/~jnz1568/getInfo.php?workbook=16_08.xlsx&amp;sheet=U0&amp;row=7850&amp;col=7&amp;number=0.00293&amp;sourceID=14","0.00293")</f>
        <v>0.00293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HYPERLINK("http://141.218.60.56/~jnz1568/getInfo.php?workbook=16_08.xlsx&amp;sheet=U0&amp;row=7851&amp;col=6&amp;number=3.7&amp;sourceID=14","3.7")</f>
        <v>3.7</v>
      </c>
      <c r="G7851" s="4" t="str">
        <f>HYPERLINK("http://141.218.60.56/~jnz1568/getInfo.php?workbook=16_08.xlsx&amp;sheet=U0&amp;row=7851&amp;col=7&amp;number=0.00293&amp;sourceID=14","0.00293")</f>
        <v>0.00293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HYPERLINK("http://141.218.60.56/~jnz1568/getInfo.php?workbook=16_08.xlsx&amp;sheet=U0&amp;row=7852&amp;col=6&amp;number=3.8&amp;sourceID=14","3.8")</f>
        <v>3.8</v>
      </c>
      <c r="G7852" s="4" t="str">
        <f>HYPERLINK("http://141.218.60.56/~jnz1568/getInfo.php?workbook=16_08.xlsx&amp;sheet=U0&amp;row=7852&amp;col=7&amp;number=0.00293&amp;sourceID=14","0.00293")</f>
        <v>0.00293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HYPERLINK("http://141.218.60.56/~jnz1568/getInfo.php?workbook=16_08.xlsx&amp;sheet=U0&amp;row=7853&amp;col=6&amp;number=3.9&amp;sourceID=14","3.9")</f>
        <v>3.9</v>
      </c>
      <c r="G7853" s="4" t="str">
        <f>HYPERLINK("http://141.218.60.56/~jnz1568/getInfo.php?workbook=16_08.xlsx&amp;sheet=U0&amp;row=7853&amp;col=7&amp;number=0.00294&amp;sourceID=14","0.00294")</f>
        <v>0.00294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HYPERLINK("http://141.218.60.56/~jnz1568/getInfo.php?workbook=16_08.xlsx&amp;sheet=U0&amp;row=7854&amp;col=6&amp;number=4&amp;sourceID=14","4")</f>
        <v>4</v>
      </c>
      <c r="G7854" s="4" t="str">
        <f>HYPERLINK("http://141.218.60.56/~jnz1568/getInfo.php?workbook=16_08.xlsx&amp;sheet=U0&amp;row=7854&amp;col=7&amp;number=0.00294&amp;sourceID=14","0.00294")</f>
        <v>0.00294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HYPERLINK("http://141.218.60.56/~jnz1568/getInfo.php?workbook=16_08.xlsx&amp;sheet=U0&amp;row=7855&amp;col=6&amp;number=4.1&amp;sourceID=14","4.1")</f>
        <v>4.1</v>
      </c>
      <c r="G7855" s="4" t="str">
        <f>HYPERLINK("http://141.218.60.56/~jnz1568/getInfo.php?workbook=16_08.xlsx&amp;sheet=U0&amp;row=7855&amp;col=7&amp;number=0.00294&amp;sourceID=14","0.00294")</f>
        <v>0.00294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HYPERLINK("http://141.218.60.56/~jnz1568/getInfo.php?workbook=16_08.xlsx&amp;sheet=U0&amp;row=7856&amp;col=6&amp;number=4.2&amp;sourceID=14","4.2")</f>
        <v>4.2</v>
      </c>
      <c r="G7856" s="4" t="str">
        <f>HYPERLINK("http://141.218.60.56/~jnz1568/getInfo.php?workbook=16_08.xlsx&amp;sheet=U0&amp;row=7856&amp;col=7&amp;number=0.00295&amp;sourceID=14","0.00295")</f>
        <v>0.00295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HYPERLINK("http://141.218.60.56/~jnz1568/getInfo.php?workbook=16_08.xlsx&amp;sheet=U0&amp;row=7857&amp;col=6&amp;number=4.3&amp;sourceID=14","4.3")</f>
        <v>4.3</v>
      </c>
      <c r="G7857" s="4" t="str">
        <f>HYPERLINK("http://141.218.60.56/~jnz1568/getInfo.php?workbook=16_08.xlsx&amp;sheet=U0&amp;row=7857&amp;col=7&amp;number=0.00295&amp;sourceID=14","0.00295")</f>
        <v>0.00295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HYPERLINK("http://141.218.60.56/~jnz1568/getInfo.php?workbook=16_08.xlsx&amp;sheet=U0&amp;row=7858&amp;col=6&amp;number=4.4&amp;sourceID=14","4.4")</f>
        <v>4.4</v>
      </c>
      <c r="G7858" s="4" t="str">
        <f>HYPERLINK("http://141.218.60.56/~jnz1568/getInfo.php?workbook=16_08.xlsx&amp;sheet=U0&amp;row=7858&amp;col=7&amp;number=0.00296&amp;sourceID=14","0.00296")</f>
        <v>0.00296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HYPERLINK("http://141.218.60.56/~jnz1568/getInfo.php?workbook=16_08.xlsx&amp;sheet=U0&amp;row=7859&amp;col=6&amp;number=4.5&amp;sourceID=14","4.5")</f>
        <v>4.5</v>
      </c>
      <c r="G7859" s="4" t="str">
        <f>HYPERLINK("http://141.218.60.56/~jnz1568/getInfo.php?workbook=16_08.xlsx&amp;sheet=U0&amp;row=7859&amp;col=7&amp;number=0.00297&amp;sourceID=14","0.00297")</f>
        <v>0.00297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HYPERLINK("http://141.218.60.56/~jnz1568/getInfo.php?workbook=16_08.xlsx&amp;sheet=U0&amp;row=7860&amp;col=6&amp;number=4.6&amp;sourceID=14","4.6")</f>
        <v>4.6</v>
      </c>
      <c r="G7860" s="4" t="str">
        <f>HYPERLINK("http://141.218.60.56/~jnz1568/getInfo.php?workbook=16_08.xlsx&amp;sheet=U0&amp;row=7860&amp;col=7&amp;number=0.00299&amp;sourceID=14","0.00299")</f>
        <v>0.00299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HYPERLINK("http://141.218.60.56/~jnz1568/getInfo.php?workbook=16_08.xlsx&amp;sheet=U0&amp;row=7861&amp;col=6&amp;number=4.7&amp;sourceID=14","4.7")</f>
        <v>4.7</v>
      </c>
      <c r="G7861" s="4" t="str">
        <f>HYPERLINK("http://141.218.60.56/~jnz1568/getInfo.php?workbook=16_08.xlsx&amp;sheet=U0&amp;row=7861&amp;col=7&amp;number=0.003&amp;sourceID=14","0.003")</f>
        <v>0.003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HYPERLINK("http://141.218.60.56/~jnz1568/getInfo.php?workbook=16_08.xlsx&amp;sheet=U0&amp;row=7862&amp;col=6&amp;number=4.8&amp;sourceID=14","4.8")</f>
        <v>4.8</v>
      </c>
      <c r="G7862" s="4" t="str">
        <f>HYPERLINK("http://141.218.60.56/~jnz1568/getInfo.php?workbook=16_08.xlsx&amp;sheet=U0&amp;row=7862&amp;col=7&amp;number=0.00302&amp;sourceID=14","0.00302")</f>
        <v>0.00302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HYPERLINK("http://141.218.60.56/~jnz1568/getInfo.php?workbook=16_08.xlsx&amp;sheet=U0&amp;row=7863&amp;col=6&amp;number=4.9&amp;sourceID=14","4.9")</f>
        <v>4.9</v>
      </c>
      <c r="G7863" s="4" t="str">
        <f>HYPERLINK("http://141.218.60.56/~jnz1568/getInfo.php?workbook=16_08.xlsx&amp;sheet=U0&amp;row=7863&amp;col=7&amp;number=0.00305&amp;sourceID=14","0.00305")</f>
        <v>0.00305</v>
      </c>
    </row>
    <row r="7864" spans="1:7">
      <c r="A7864" s="3">
        <v>16</v>
      </c>
      <c r="B7864" s="3">
        <v>8</v>
      </c>
      <c r="C7864" s="3">
        <v>5</v>
      </c>
      <c r="D7864" s="3">
        <v>65</v>
      </c>
      <c r="E7864" s="3">
        <v>1</v>
      </c>
      <c r="F7864" s="4" t="str">
        <f>HYPERLINK("http://141.218.60.56/~jnz1568/getInfo.php?workbook=16_08.xlsx&amp;sheet=U0&amp;row=7864&amp;col=6&amp;number=3&amp;sourceID=14","3")</f>
        <v>3</v>
      </c>
      <c r="G7864" s="4" t="str">
        <f>HYPERLINK("http://141.218.60.56/~jnz1568/getInfo.php?workbook=16_08.xlsx&amp;sheet=U0&amp;row=7864&amp;col=7&amp;number=0.000122&amp;sourceID=14","0.000122")</f>
        <v>0.000122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HYPERLINK("http://141.218.60.56/~jnz1568/getInfo.php?workbook=16_08.xlsx&amp;sheet=U0&amp;row=7865&amp;col=6&amp;number=3.1&amp;sourceID=14","3.1")</f>
        <v>3.1</v>
      </c>
      <c r="G7865" s="4" t="str">
        <f>HYPERLINK("http://141.218.60.56/~jnz1568/getInfo.php?workbook=16_08.xlsx&amp;sheet=U0&amp;row=7865&amp;col=7&amp;number=0.000122&amp;sourceID=14","0.000122")</f>
        <v>0.000122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HYPERLINK("http://141.218.60.56/~jnz1568/getInfo.php?workbook=16_08.xlsx&amp;sheet=U0&amp;row=7866&amp;col=6&amp;number=3.2&amp;sourceID=14","3.2")</f>
        <v>3.2</v>
      </c>
      <c r="G7866" s="4" t="str">
        <f>HYPERLINK("http://141.218.60.56/~jnz1568/getInfo.php?workbook=16_08.xlsx&amp;sheet=U0&amp;row=7866&amp;col=7&amp;number=0.000122&amp;sourceID=14","0.000122")</f>
        <v>0.000122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HYPERLINK("http://141.218.60.56/~jnz1568/getInfo.php?workbook=16_08.xlsx&amp;sheet=U0&amp;row=7867&amp;col=6&amp;number=3.3&amp;sourceID=14","3.3")</f>
        <v>3.3</v>
      </c>
      <c r="G7867" s="4" t="str">
        <f>HYPERLINK("http://141.218.60.56/~jnz1568/getInfo.php?workbook=16_08.xlsx&amp;sheet=U0&amp;row=7867&amp;col=7&amp;number=0.000122&amp;sourceID=14","0.000122")</f>
        <v>0.000122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HYPERLINK("http://141.218.60.56/~jnz1568/getInfo.php?workbook=16_08.xlsx&amp;sheet=U0&amp;row=7868&amp;col=6&amp;number=3.4&amp;sourceID=14","3.4")</f>
        <v>3.4</v>
      </c>
      <c r="G7868" s="4" t="str">
        <f>HYPERLINK("http://141.218.60.56/~jnz1568/getInfo.php?workbook=16_08.xlsx&amp;sheet=U0&amp;row=7868&amp;col=7&amp;number=0.000122&amp;sourceID=14","0.000122")</f>
        <v>0.000122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HYPERLINK("http://141.218.60.56/~jnz1568/getInfo.php?workbook=16_08.xlsx&amp;sheet=U0&amp;row=7869&amp;col=6&amp;number=3.5&amp;sourceID=14","3.5")</f>
        <v>3.5</v>
      </c>
      <c r="G7869" s="4" t="str">
        <f>HYPERLINK("http://141.218.60.56/~jnz1568/getInfo.php?workbook=16_08.xlsx&amp;sheet=U0&amp;row=7869&amp;col=7&amp;number=0.000122&amp;sourceID=14","0.000122")</f>
        <v>0.000122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HYPERLINK("http://141.218.60.56/~jnz1568/getInfo.php?workbook=16_08.xlsx&amp;sheet=U0&amp;row=7870&amp;col=6&amp;number=3.6&amp;sourceID=14","3.6")</f>
        <v>3.6</v>
      </c>
      <c r="G7870" s="4" t="str">
        <f>HYPERLINK("http://141.218.60.56/~jnz1568/getInfo.php?workbook=16_08.xlsx&amp;sheet=U0&amp;row=7870&amp;col=7&amp;number=0.000122&amp;sourceID=14","0.000122")</f>
        <v>0.000122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HYPERLINK("http://141.218.60.56/~jnz1568/getInfo.php?workbook=16_08.xlsx&amp;sheet=U0&amp;row=7871&amp;col=6&amp;number=3.7&amp;sourceID=14","3.7")</f>
        <v>3.7</v>
      </c>
      <c r="G7871" s="4" t="str">
        <f>HYPERLINK("http://141.218.60.56/~jnz1568/getInfo.php?workbook=16_08.xlsx&amp;sheet=U0&amp;row=7871&amp;col=7&amp;number=0.000121&amp;sourceID=14","0.000121")</f>
        <v>0.000121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HYPERLINK("http://141.218.60.56/~jnz1568/getInfo.php?workbook=16_08.xlsx&amp;sheet=U0&amp;row=7872&amp;col=6&amp;number=3.8&amp;sourceID=14","3.8")</f>
        <v>3.8</v>
      </c>
      <c r="G7872" s="4" t="str">
        <f>HYPERLINK("http://141.218.60.56/~jnz1568/getInfo.php?workbook=16_08.xlsx&amp;sheet=U0&amp;row=7872&amp;col=7&amp;number=0.000121&amp;sourceID=14","0.000121")</f>
        <v>0.000121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HYPERLINK("http://141.218.60.56/~jnz1568/getInfo.php?workbook=16_08.xlsx&amp;sheet=U0&amp;row=7873&amp;col=6&amp;number=3.9&amp;sourceID=14","3.9")</f>
        <v>3.9</v>
      </c>
      <c r="G7873" s="4" t="str">
        <f>HYPERLINK("http://141.218.60.56/~jnz1568/getInfo.php?workbook=16_08.xlsx&amp;sheet=U0&amp;row=7873&amp;col=7&amp;number=0.000121&amp;sourceID=14","0.000121")</f>
        <v>0.000121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HYPERLINK("http://141.218.60.56/~jnz1568/getInfo.php?workbook=16_08.xlsx&amp;sheet=U0&amp;row=7874&amp;col=6&amp;number=4&amp;sourceID=14","4")</f>
        <v>4</v>
      </c>
      <c r="G7874" s="4" t="str">
        <f>HYPERLINK("http://141.218.60.56/~jnz1568/getInfo.php?workbook=16_08.xlsx&amp;sheet=U0&amp;row=7874&amp;col=7&amp;number=0.000121&amp;sourceID=14","0.000121")</f>
        <v>0.000121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HYPERLINK("http://141.218.60.56/~jnz1568/getInfo.php?workbook=16_08.xlsx&amp;sheet=U0&amp;row=7875&amp;col=6&amp;number=4.1&amp;sourceID=14","4.1")</f>
        <v>4.1</v>
      </c>
      <c r="G7875" s="4" t="str">
        <f>HYPERLINK("http://141.218.60.56/~jnz1568/getInfo.php?workbook=16_08.xlsx&amp;sheet=U0&amp;row=7875&amp;col=7&amp;number=0.000121&amp;sourceID=14","0.000121")</f>
        <v>0.000121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HYPERLINK("http://141.218.60.56/~jnz1568/getInfo.php?workbook=16_08.xlsx&amp;sheet=U0&amp;row=7876&amp;col=6&amp;number=4.2&amp;sourceID=14","4.2")</f>
        <v>4.2</v>
      </c>
      <c r="G7876" s="4" t="str">
        <f>HYPERLINK("http://141.218.60.56/~jnz1568/getInfo.php?workbook=16_08.xlsx&amp;sheet=U0&amp;row=7876&amp;col=7&amp;number=0.000121&amp;sourceID=14","0.000121")</f>
        <v>0.000121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HYPERLINK("http://141.218.60.56/~jnz1568/getInfo.php?workbook=16_08.xlsx&amp;sheet=U0&amp;row=7877&amp;col=6&amp;number=4.3&amp;sourceID=14","4.3")</f>
        <v>4.3</v>
      </c>
      <c r="G7877" s="4" t="str">
        <f>HYPERLINK("http://141.218.60.56/~jnz1568/getInfo.php?workbook=16_08.xlsx&amp;sheet=U0&amp;row=7877&amp;col=7&amp;number=0.00012&amp;sourceID=14","0.00012")</f>
        <v>0.00012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HYPERLINK("http://141.218.60.56/~jnz1568/getInfo.php?workbook=16_08.xlsx&amp;sheet=U0&amp;row=7878&amp;col=6&amp;number=4.4&amp;sourceID=14","4.4")</f>
        <v>4.4</v>
      </c>
      <c r="G7878" s="4" t="str">
        <f>HYPERLINK("http://141.218.60.56/~jnz1568/getInfo.php?workbook=16_08.xlsx&amp;sheet=U0&amp;row=7878&amp;col=7&amp;number=0.00012&amp;sourceID=14","0.00012")</f>
        <v>0.00012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HYPERLINK("http://141.218.60.56/~jnz1568/getInfo.php?workbook=16_08.xlsx&amp;sheet=U0&amp;row=7879&amp;col=6&amp;number=4.5&amp;sourceID=14","4.5")</f>
        <v>4.5</v>
      </c>
      <c r="G7879" s="4" t="str">
        <f>HYPERLINK("http://141.218.60.56/~jnz1568/getInfo.php?workbook=16_08.xlsx&amp;sheet=U0&amp;row=7879&amp;col=7&amp;number=0.00012&amp;sourceID=14","0.00012")</f>
        <v>0.00012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HYPERLINK("http://141.218.60.56/~jnz1568/getInfo.php?workbook=16_08.xlsx&amp;sheet=U0&amp;row=7880&amp;col=6&amp;number=4.6&amp;sourceID=14","4.6")</f>
        <v>4.6</v>
      </c>
      <c r="G7880" s="4" t="str">
        <f>HYPERLINK("http://141.218.60.56/~jnz1568/getInfo.php?workbook=16_08.xlsx&amp;sheet=U0&amp;row=7880&amp;col=7&amp;number=0.000119&amp;sourceID=14","0.000119")</f>
        <v>0.000119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HYPERLINK("http://141.218.60.56/~jnz1568/getInfo.php?workbook=16_08.xlsx&amp;sheet=U0&amp;row=7881&amp;col=6&amp;number=4.7&amp;sourceID=14","4.7")</f>
        <v>4.7</v>
      </c>
      <c r="G7881" s="4" t="str">
        <f>HYPERLINK("http://141.218.60.56/~jnz1568/getInfo.php?workbook=16_08.xlsx&amp;sheet=U0&amp;row=7881&amp;col=7&amp;number=0.000118&amp;sourceID=14","0.000118")</f>
        <v>0.000118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HYPERLINK("http://141.218.60.56/~jnz1568/getInfo.php?workbook=16_08.xlsx&amp;sheet=U0&amp;row=7882&amp;col=6&amp;number=4.8&amp;sourceID=14","4.8")</f>
        <v>4.8</v>
      </c>
      <c r="G7882" s="4" t="str">
        <f>HYPERLINK("http://141.218.60.56/~jnz1568/getInfo.php?workbook=16_08.xlsx&amp;sheet=U0&amp;row=7882&amp;col=7&amp;number=0.000118&amp;sourceID=14","0.000118")</f>
        <v>0.000118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HYPERLINK("http://141.218.60.56/~jnz1568/getInfo.php?workbook=16_08.xlsx&amp;sheet=U0&amp;row=7883&amp;col=6&amp;number=4.9&amp;sourceID=14","4.9")</f>
        <v>4.9</v>
      </c>
      <c r="G7883" s="4" t="str">
        <f>HYPERLINK("http://141.218.60.56/~jnz1568/getInfo.php?workbook=16_08.xlsx&amp;sheet=U0&amp;row=7883&amp;col=7&amp;number=0.000117&amp;sourceID=14","0.000117")</f>
        <v>0.000117</v>
      </c>
    </row>
    <row r="7884" spans="1:7">
      <c r="A7884" s="3">
        <v>16</v>
      </c>
      <c r="B7884" s="3">
        <v>8</v>
      </c>
      <c r="C7884" s="3">
        <v>5</v>
      </c>
      <c r="D7884" s="3">
        <v>66</v>
      </c>
      <c r="E7884" s="3">
        <v>1</v>
      </c>
      <c r="F7884" s="4" t="str">
        <f>HYPERLINK("http://141.218.60.56/~jnz1568/getInfo.php?workbook=16_08.xlsx&amp;sheet=U0&amp;row=7884&amp;col=6&amp;number=3&amp;sourceID=14","3")</f>
        <v>3</v>
      </c>
      <c r="G7884" s="4" t="str">
        <f>HYPERLINK("http://141.218.60.56/~jnz1568/getInfo.php?workbook=16_08.xlsx&amp;sheet=U0&amp;row=7884&amp;col=7&amp;number=0.11&amp;sourceID=14","0.11")</f>
        <v>0.11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HYPERLINK("http://141.218.60.56/~jnz1568/getInfo.php?workbook=16_08.xlsx&amp;sheet=U0&amp;row=7885&amp;col=6&amp;number=3.1&amp;sourceID=14","3.1")</f>
        <v>3.1</v>
      </c>
      <c r="G7885" s="4" t="str">
        <f>HYPERLINK("http://141.218.60.56/~jnz1568/getInfo.php?workbook=16_08.xlsx&amp;sheet=U0&amp;row=7885&amp;col=7&amp;number=0.11&amp;sourceID=14","0.11")</f>
        <v>0.11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HYPERLINK("http://141.218.60.56/~jnz1568/getInfo.php?workbook=16_08.xlsx&amp;sheet=U0&amp;row=7886&amp;col=6&amp;number=3.2&amp;sourceID=14","3.2")</f>
        <v>3.2</v>
      </c>
      <c r="G7886" s="4" t="str">
        <f>HYPERLINK("http://141.218.60.56/~jnz1568/getInfo.php?workbook=16_08.xlsx&amp;sheet=U0&amp;row=7886&amp;col=7&amp;number=0.11&amp;sourceID=14","0.11")</f>
        <v>0.11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HYPERLINK("http://141.218.60.56/~jnz1568/getInfo.php?workbook=16_08.xlsx&amp;sheet=U0&amp;row=7887&amp;col=6&amp;number=3.3&amp;sourceID=14","3.3")</f>
        <v>3.3</v>
      </c>
      <c r="G7887" s="4" t="str">
        <f>HYPERLINK("http://141.218.60.56/~jnz1568/getInfo.php?workbook=16_08.xlsx&amp;sheet=U0&amp;row=7887&amp;col=7&amp;number=0.11&amp;sourceID=14","0.11")</f>
        <v>0.11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HYPERLINK("http://141.218.60.56/~jnz1568/getInfo.php?workbook=16_08.xlsx&amp;sheet=U0&amp;row=7888&amp;col=6&amp;number=3.4&amp;sourceID=14","3.4")</f>
        <v>3.4</v>
      </c>
      <c r="G7888" s="4" t="str">
        <f>HYPERLINK("http://141.218.60.56/~jnz1568/getInfo.php?workbook=16_08.xlsx&amp;sheet=U0&amp;row=7888&amp;col=7&amp;number=0.11&amp;sourceID=14","0.11")</f>
        <v>0.11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HYPERLINK("http://141.218.60.56/~jnz1568/getInfo.php?workbook=16_08.xlsx&amp;sheet=U0&amp;row=7889&amp;col=6&amp;number=3.5&amp;sourceID=14","3.5")</f>
        <v>3.5</v>
      </c>
      <c r="G7889" s="4" t="str">
        <f>HYPERLINK("http://141.218.60.56/~jnz1568/getInfo.php?workbook=16_08.xlsx&amp;sheet=U0&amp;row=7889&amp;col=7&amp;number=0.11&amp;sourceID=14","0.11")</f>
        <v>0.11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HYPERLINK("http://141.218.60.56/~jnz1568/getInfo.php?workbook=16_08.xlsx&amp;sheet=U0&amp;row=7890&amp;col=6&amp;number=3.6&amp;sourceID=14","3.6")</f>
        <v>3.6</v>
      </c>
      <c r="G7890" s="4" t="str">
        <f>HYPERLINK("http://141.218.60.56/~jnz1568/getInfo.php?workbook=16_08.xlsx&amp;sheet=U0&amp;row=7890&amp;col=7&amp;number=0.11&amp;sourceID=14","0.11")</f>
        <v>0.11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HYPERLINK("http://141.218.60.56/~jnz1568/getInfo.php?workbook=16_08.xlsx&amp;sheet=U0&amp;row=7891&amp;col=6&amp;number=3.7&amp;sourceID=14","3.7")</f>
        <v>3.7</v>
      </c>
      <c r="G7891" s="4" t="str">
        <f>HYPERLINK("http://141.218.60.56/~jnz1568/getInfo.php?workbook=16_08.xlsx&amp;sheet=U0&amp;row=7891&amp;col=7&amp;number=0.11&amp;sourceID=14","0.11")</f>
        <v>0.11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HYPERLINK("http://141.218.60.56/~jnz1568/getInfo.php?workbook=16_08.xlsx&amp;sheet=U0&amp;row=7892&amp;col=6&amp;number=3.8&amp;sourceID=14","3.8")</f>
        <v>3.8</v>
      </c>
      <c r="G7892" s="4" t="str">
        <f>HYPERLINK("http://141.218.60.56/~jnz1568/getInfo.php?workbook=16_08.xlsx&amp;sheet=U0&amp;row=7892&amp;col=7&amp;number=0.11&amp;sourceID=14","0.11")</f>
        <v>0.11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HYPERLINK("http://141.218.60.56/~jnz1568/getInfo.php?workbook=16_08.xlsx&amp;sheet=U0&amp;row=7893&amp;col=6&amp;number=3.9&amp;sourceID=14","3.9")</f>
        <v>3.9</v>
      </c>
      <c r="G7893" s="4" t="str">
        <f>HYPERLINK("http://141.218.60.56/~jnz1568/getInfo.php?workbook=16_08.xlsx&amp;sheet=U0&amp;row=7893&amp;col=7&amp;number=0.11&amp;sourceID=14","0.11")</f>
        <v>0.11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HYPERLINK("http://141.218.60.56/~jnz1568/getInfo.php?workbook=16_08.xlsx&amp;sheet=U0&amp;row=7894&amp;col=6&amp;number=4&amp;sourceID=14","4")</f>
        <v>4</v>
      </c>
      <c r="G7894" s="4" t="str">
        <f>HYPERLINK("http://141.218.60.56/~jnz1568/getInfo.php?workbook=16_08.xlsx&amp;sheet=U0&amp;row=7894&amp;col=7&amp;number=0.11&amp;sourceID=14","0.11")</f>
        <v>0.11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HYPERLINK("http://141.218.60.56/~jnz1568/getInfo.php?workbook=16_08.xlsx&amp;sheet=U0&amp;row=7895&amp;col=6&amp;number=4.1&amp;sourceID=14","4.1")</f>
        <v>4.1</v>
      </c>
      <c r="G7895" s="4" t="str">
        <f>HYPERLINK("http://141.218.60.56/~jnz1568/getInfo.php?workbook=16_08.xlsx&amp;sheet=U0&amp;row=7895&amp;col=7&amp;number=0.11&amp;sourceID=14","0.11")</f>
        <v>0.11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HYPERLINK("http://141.218.60.56/~jnz1568/getInfo.php?workbook=16_08.xlsx&amp;sheet=U0&amp;row=7896&amp;col=6&amp;number=4.2&amp;sourceID=14","4.2")</f>
        <v>4.2</v>
      </c>
      <c r="G7896" s="4" t="str">
        <f>HYPERLINK("http://141.218.60.56/~jnz1568/getInfo.php?workbook=16_08.xlsx&amp;sheet=U0&amp;row=7896&amp;col=7&amp;number=0.11&amp;sourceID=14","0.11")</f>
        <v>0.11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HYPERLINK("http://141.218.60.56/~jnz1568/getInfo.php?workbook=16_08.xlsx&amp;sheet=U0&amp;row=7897&amp;col=6&amp;number=4.3&amp;sourceID=14","4.3")</f>
        <v>4.3</v>
      </c>
      <c r="G7897" s="4" t="str">
        <f>HYPERLINK("http://141.218.60.56/~jnz1568/getInfo.php?workbook=16_08.xlsx&amp;sheet=U0&amp;row=7897&amp;col=7&amp;number=0.11&amp;sourceID=14","0.11")</f>
        <v>0.11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HYPERLINK("http://141.218.60.56/~jnz1568/getInfo.php?workbook=16_08.xlsx&amp;sheet=U0&amp;row=7898&amp;col=6&amp;number=4.4&amp;sourceID=14","4.4")</f>
        <v>4.4</v>
      </c>
      <c r="G7898" s="4" t="str">
        <f>HYPERLINK("http://141.218.60.56/~jnz1568/getInfo.php?workbook=16_08.xlsx&amp;sheet=U0&amp;row=7898&amp;col=7&amp;number=0.11&amp;sourceID=14","0.11")</f>
        <v>0.11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HYPERLINK("http://141.218.60.56/~jnz1568/getInfo.php?workbook=16_08.xlsx&amp;sheet=U0&amp;row=7899&amp;col=6&amp;number=4.5&amp;sourceID=14","4.5")</f>
        <v>4.5</v>
      </c>
      <c r="G7899" s="4" t="str">
        <f>HYPERLINK("http://141.218.60.56/~jnz1568/getInfo.php?workbook=16_08.xlsx&amp;sheet=U0&amp;row=7899&amp;col=7&amp;number=0.11&amp;sourceID=14","0.11")</f>
        <v>0.11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HYPERLINK("http://141.218.60.56/~jnz1568/getInfo.php?workbook=16_08.xlsx&amp;sheet=U0&amp;row=7900&amp;col=6&amp;number=4.6&amp;sourceID=14","4.6")</f>
        <v>4.6</v>
      </c>
      <c r="G7900" s="4" t="str">
        <f>HYPERLINK("http://141.218.60.56/~jnz1568/getInfo.php?workbook=16_08.xlsx&amp;sheet=U0&amp;row=7900&amp;col=7&amp;number=0.11&amp;sourceID=14","0.11")</f>
        <v>0.11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HYPERLINK("http://141.218.60.56/~jnz1568/getInfo.php?workbook=16_08.xlsx&amp;sheet=U0&amp;row=7901&amp;col=6&amp;number=4.7&amp;sourceID=14","4.7")</f>
        <v>4.7</v>
      </c>
      <c r="G7901" s="4" t="str">
        <f>HYPERLINK("http://141.218.60.56/~jnz1568/getInfo.php?workbook=16_08.xlsx&amp;sheet=U0&amp;row=7901&amp;col=7&amp;number=0.11&amp;sourceID=14","0.11")</f>
        <v>0.11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HYPERLINK("http://141.218.60.56/~jnz1568/getInfo.php?workbook=16_08.xlsx&amp;sheet=U0&amp;row=7902&amp;col=6&amp;number=4.8&amp;sourceID=14","4.8")</f>
        <v>4.8</v>
      </c>
      <c r="G7902" s="4" t="str">
        <f>HYPERLINK("http://141.218.60.56/~jnz1568/getInfo.php?workbook=16_08.xlsx&amp;sheet=U0&amp;row=7902&amp;col=7&amp;number=0.11&amp;sourceID=14","0.11")</f>
        <v>0.11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HYPERLINK("http://141.218.60.56/~jnz1568/getInfo.php?workbook=16_08.xlsx&amp;sheet=U0&amp;row=7903&amp;col=6&amp;number=4.9&amp;sourceID=14","4.9")</f>
        <v>4.9</v>
      </c>
      <c r="G7903" s="4" t="str">
        <f>HYPERLINK("http://141.218.60.56/~jnz1568/getInfo.php?workbook=16_08.xlsx&amp;sheet=U0&amp;row=7903&amp;col=7&amp;number=0.11&amp;sourceID=14","0.11")</f>
        <v>0.11</v>
      </c>
    </row>
    <row r="7904" spans="1:7">
      <c r="A7904" s="3">
        <v>16</v>
      </c>
      <c r="B7904" s="3">
        <v>8</v>
      </c>
      <c r="C7904" s="3">
        <v>5</v>
      </c>
      <c r="D7904" s="3">
        <v>67</v>
      </c>
      <c r="E7904" s="3">
        <v>1</v>
      </c>
      <c r="F7904" s="4" t="str">
        <f>HYPERLINK("http://141.218.60.56/~jnz1568/getInfo.php?workbook=16_08.xlsx&amp;sheet=U0&amp;row=7904&amp;col=6&amp;number=3&amp;sourceID=14","3")</f>
        <v>3</v>
      </c>
      <c r="G7904" s="4" t="str">
        <f>HYPERLINK("http://141.218.60.56/~jnz1568/getInfo.php?workbook=16_08.xlsx&amp;sheet=U0&amp;row=7904&amp;col=7&amp;number=2.58e-05&amp;sourceID=14","2.58e-05")</f>
        <v>2.58e-05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HYPERLINK("http://141.218.60.56/~jnz1568/getInfo.php?workbook=16_08.xlsx&amp;sheet=U0&amp;row=7905&amp;col=6&amp;number=3.1&amp;sourceID=14","3.1")</f>
        <v>3.1</v>
      </c>
      <c r="G7905" s="4" t="str">
        <f>HYPERLINK("http://141.218.60.56/~jnz1568/getInfo.php?workbook=16_08.xlsx&amp;sheet=U0&amp;row=7905&amp;col=7&amp;number=2.58e-05&amp;sourceID=14","2.58e-05")</f>
        <v>2.58e-05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HYPERLINK("http://141.218.60.56/~jnz1568/getInfo.php?workbook=16_08.xlsx&amp;sheet=U0&amp;row=7906&amp;col=6&amp;number=3.2&amp;sourceID=14","3.2")</f>
        <v>3.2</v>
      </c>
      <c r="G7906" s="4" t="str">
        <f>HYPERLINK("http://141.218.60.56/~jnz1568/getInfo.php?workbook=16_08.xlsx&amp;sheet=U0&amp;row=7906&amp;col=7&amp;number=2.58e-05&amp;sourceID=14","2.58e-05")</f>
        <v>2.58e-05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HYPERLINK("http://141.218.60.56/~jnz1568/getInfo.php?workbook=16_08.xlsx&amp;sheet=U0&amp;row=7907&amp;col=6&amp;number=3.3&amp;sourceID=14","3.3")</f>
        <v>3.3</v>
      </c>
      <c r="G7907" s="4" t="str">
        <f>HYPERLINK("http://141.218.60.56/~jnz1568/getInfo.php?workbook=16_08.xlsx&amp;sheet=U0&amp;row=7907&amp;col=7&amp;number=2.58e-05&amp;sourceID=14","2.58e-05")</f>
        <v>2.58e-05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HYPERLINK("http://141.218.60.56/~jnz1568/getInfo.php?workbook=16_08.xlsx&amp;sheet=U0&amp;row=7908&amp;col=6&amp;number=3.4&amp;sourceID=14","3.4")</f>
        <v>3.4</v>
      </c>
      <c r="G7908" s="4" t="str">
        <f>HYPERLINK("http://141.218.60.56/~jnz1568/getInfo.php?workbook=16_08.xlsx&amp;sheet=U0&amp;row=7908&amp;col=7&amp;number=2.58e-05&amp;sourceID=14","2.58e-05")</f>
        <v>2.58e-05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HYPERLINK("http://141.218.60.56/~jnz1568/getInfo.php?workbook=16_08.xlsx&amp;sheet=U0&amp;row=7909&amp;col=6&amp;number=3.5&amp;sourceID=14","3.5")</f>
        <v>3.5</v>
      </c>
      <c r="G7909" s="4" t="str">
        <f>HYPERLINK("http://141.218.60.56/~jnz1568/getInfo.php?workbook=16_08.xlsx&amp;sheet=U0&amp;row=7909&amp;col=7&amp;number=2.58e-05&amp;sourceID=14","2.58e-05")</f>
        <v>2.58e-05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HYPERLINK("http://141.218.60.56/~jnz1568/getInfo.php?workbook=16_08.xlsx&amp;sheet=U0&amp;row=7910&amp;col=6&amp;number=3.6&amp;sourceID=14","3.6")</f>
        <v>3.6</v>
      </c>
      <c r="G7910" s="4" t="str">
        <f>HYPERLINK("http://141.218.60.56/~jnz1568/getInfo.php?workbook=16_08.xlsx&amp;sheet=U0&amp;row=7910&amp;col=7&amp;number=2.58e-05&amp;sourceID=14","2.58e-05")</f>
        <v>2.58e-05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HYPERLINK("http://141.218.60.56/~jnz1568/getInfo.php?workbook=16_08.xlsx&amp;sheet=U0&amp;row=7911&amp;col=6&amp;number=3.7&amp;sourceID=14","3.7")</f>
        <v>3.7</v>
      </c>
      <c r="G7911" s="4" t="str">
        <f>HYPERLINK("http://141.218.60.56/~jnz1568/getInfo.php?workbook=16_08.xlsx&amp;sheet=U0&amp;row=7911&amp;col=7&amp;number=2.58e-05&amp;sourceID=14","2.58e-05")</f>
        <v>2.58e-05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HYPERLINK("http://141.218.60.56/~jnz1568/getInfo.php?workbook=16_08.xlsx&amp;sheet=U0&amp;row=7912&amp;col=6&amp;number=3.8&amp;sourceID=14","3.8")</f>
        <v>3.8</v>
      </c>
      <c r="G7912" s="4" t="str">
        <f>HYPERLINK("http://141.218.60.56/~jnz1568/getInfo.php?workbook=16_08.xlsx&amp;sheet=U0&amp;row=7912&amp;col=7&amp;number=2.58e-05&amp;sourceID=14","2.58e-05")</f>
        <v>2.58e-05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HYPERLINK("http://141.218.60.56/~jnz1568/getInfo.php?workbook=16_08.xlsx&amp;sheet=U0&amp;row=7913&amp;col=6&amp;number=3.9&amp;sourceID=14","3.9")</f>
        <v>3.9</v>
      </c>
      <c r="G7913" s="4" t="str">
        <f>HYPERLINK("http://141.218.60.56/~jnz1568/getInfo.php?workbook=16_08.xlsx&amp;sheet=U0&amp;row=7913&amp;col=7&amp;number=2.58e-05&amp;sourceID=14","2.58e-05")</f>
        <v>2.58e-05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HYPERLINK("http://141.218.60.56/~jnz1568/getInfo.php?workbook=16_08.xlsx&amp;sheet=U0&amp;row=7914&amp;col=6&amp;number=4&amp;sourceID=14","4")</f>
        <v>4</v>
      </c>
      <c r="G7914" s="4" t="str">
        <f>HYPERLINK("http://141.218.60.56/~jnz1568/getInfo.php?workbook=16_08.xlsx&amp;sheet=U0&amp;row=7914&amp;col=7&amp;number=2.58e-05&amp;sourceID=14","2.58e-05")</f>
        <v>2.58e-05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HYPERLINK("http://141.218.60.56/~jnz1568/getInfo.php?workbook=16_08.xlsx&amp;sheet=U0&amp;row=7915&amp;col=6&amp;number=4.1&amp;sourceID=14","4.1")</f>
        <v>4.1</v>
      </c>
      <c r="G7915" s="4" t="str">
        <f>HYPERLINK("http://141.218.60.56/~jnz1568/getInfo.php?workbook=16_08.xlsx&amp;sheet=U0&amp;row=7915&amp;col=7&amp;number=2.58e-05&amp;sourceID=14","2.58e-05")</f>
        <v>2.58e-05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HYPERLINK("http://141.218.60.56/~jnz1568/getInfo.php?workbook=16_08.xlsx&amp;sheet=U0&amp;row=7916&amp;col=6&amp;number=4.2&amp;sourceID=14","4.2")</f>
        <v>4.2</v>
      </c>
      <c r="G7916" s="4" t="str">
        <f>HYPERLINK("http://141.218.60.56/~jnz1568/getInfo.php?workbook=16_08.xlsx&amp;sheet=U0&amp;row=7916&amp;col=7&amp;number=2.58e-05&amp;sourceID=14","2.58e-05")</f>
        <v>2.58e-05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HYPERLINK("http://141.218.60.56/~jnz1568/getInfo.php?workbook=16_08.xlsx&amp;sheet=U0&amp;row=7917&amp;col=6&amp;number=4.3&amp;sourceID=14","4.3")</f>
        <v>4.3</v>
      </c>
      <c r="G7917" s="4" t="str">
        <f>HYPERLINK("http://141.218.60.56/~jnz1568/getInfo.php?workbook=16_08.xlsx&amp;sheet=U0&amp;row=7917&amp;col=7&amp;number=2.57e-05&amp;sourceID=14","2.57e-05")</f>
        <v>2.57e-05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HYPERLINK("http://141.218.60.56/~jnz1568/getInfo.php?workbook=16_08.xlsx&amp;sheet=U0&amp;row=7918&amp;col=6&amp;number=4.4&amp;sourceID=14","4.4")</f>
        <v>4.4</v>
      </c>
      <c r="G7918" s="4" t="str">
        <f>HYPERLINK("http://141.218.60.56/~jnz1568/getInfo.php?workbook=16_08.xlsx&amp;sheet=U0&amp;row=7918&amp;col=7&amp;number=2.57e-05&amp;sourceID=14","2.57e-05")</f>
        <v>2.57e-05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HYPERLINK("http://141.218.60.56/~jnz1568/getInfo.php?workbook=16_08.xlsx&amp;sheet=U0&amp;row=7919&amp;col=6&amp;number=4.5&amp;sourceID=14","4.5")</f>
        <v>4.5</v>
      </c>
      <c r="G7919" s="4" t="str">
        <f>HYPERLINK("http://141.218.60.56/~jnz1568/getInfo.php?workbook=16_08.xlsx&amp;sheet=U0&amp;row=7919&amp;col=7&amp;number=2.57e-05&amp;sourceID=14","2.57e-05")</f>
        <v>2.57e-05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HYPERLINK("http://141.218.60.56/~jnz1568/getInfo.php?workbook=16_08.xlsx&amp;sheet=U0&amp;row=7920&amp;col=6&amp;number=4.6&amp;sourceID=14","4.6")</f>
        <v>4.6</v>
      </c>
      <c r="G7920" s="4" t="str">
        <f>HYPERLINK("http://141.218.60.56/~jnz1568/getInfo.php?workbook=16_08.xlsx&amp;sheet=U0&amp;row=7920&amp;col=7&amp;number=2.56e-05&amp;sourceID=14","2.56e-05")</f>
        <v>2.56e-05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HYPERLINK("http://141.218.60.56/~jnz1568/getInfo.php?workbook=16_08.xlsx&amp;sheet=U0&amp;row=7921&amp;col=6&amp;number=4.7&amp;sourceID=14","4.7")</f>
        <v>4.7</v>
      </c>
      <c r="G7921" s="4" t="str">
        <f>HYPERLINK("http://141.218.60.56/~jnz1568/getInfo.php?workbook=16_08.xlsx&amp;sheet=U0&amp;row=7921&amp;col=7&amp;number=2.56e-05&amp;sourceID=14","2.56e-05")</f>
        <v>2.56e-05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HYPERLINK("http://141.218.60.56/~jnz1568/getInfo.php?workbook=16_08.xlsx&amp;sheet=U0&amp;row=7922&amp;col=6&amp;number=4.8&amp;sourceID=14","4.8")</f>
        <v>4.8</v>
      </c>
      <c r="G7922" s="4" t="str">
        <f>HYPERLINK("http://141.218.60.56/~jnz1568/getInfo.php?workbook=16_08.xlsx&amp;sheet=U0&amp;row=7922&amp;col=7&amp;number=2.55e-05&amp;sourceID=14","2.55e-05")</f>
        <v>2.55e-05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HYPERLINK("http://141.218.60.56/~jnz1568/getInfo.php?workbook=16_08.xlsx&amp;sheet=U0&amp;row=7923&amp;col=6&amp;number=4.9&amp;sourceID=14","4.9")</f>
        <v>4.9</v>
      </c>
      <c r="G7923" s="4" t="str">
        <f>HYPERLINK("http://141.218.60.56/~jnz1568/getInfo.php?workbook=16_08.xlsx&amp;sheet=U0&amp;row=7923&amp;col=7&amp;number=2.54e-05&amp;sourceID=14","2.54e-05")</f>
        <v>2.54e-05</v>
      </c>
    </row>
    <row r="7924" spans="1:7">
      <c r="A7924" s="3">
        <v>16</v>
      </c>
      <c r="B7924" s="3">
        <v>8</v>
      </c>
      <c r="C7924" s="3">
        <v>5</v>
      </c>
      <c r="D7924" s="3">
        <v>68</v>
      </c>
      <c r="E7924" s="3">
        <v>1</v>
      </c>
      <c r="F7924" s="4" t="str">
        <f>HYPERLINK("http://141.218.60.56/~jnz1568/getInfo.php?workbook=16_08.xlsx&amp;sheet=U0&amp;row=7924&amp;col=6&amp;number=3&amp;sourceID=14","3")</f>
        <v>3</v>
      </c>
      <c r="G7924" s="4" t="str">
        <f>HYPERLINK("http://141.218.60.56/~jnz1568/getInfo.php?workbook=16_08.xlsx&amp;sheet=U0&amp;row=7924&amp;col=7&amp;number=0.00426&amp;sourceID=14","0.00426")</f>
        <v>0.00426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HYPERLINK("http://141.218.60.56/~jnz1568/getInfo.php?workbook=16_08.xlsx&amp;sheet=U0&amp;row=7925&amp;col=6&amp;number=3.1&amp;sourceID=14","3.1")</f>
        <v>3.1</v>
      </c>
      <c r="G7925" s="4" t="str">
        <f>HYPERLINK("http://141.218.60.56/~jnz1568/getInfo.php?workbook=16_08.xlsx&amp;sheet=U0&amp;row=7925&amp;col=7&amp;number=0.00426&amp;sourceID=14","0.00426")</f>
        <v>0.00426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HYPERLINK("http://141.218.60.56/~jnz1568/getInfo.php?workbook=16_08.xlsx&amp;sheet=U0&amp;row=7926&amp;col=6&amp;number=3.2&amp;sourceID=14","3.2")</f>
        <v>3.2</v>
      </c>
      <c r="G7926" s="4" t="str">
        <f>HYPERLINK("http://141.218.60.56/~jnz1568/getInfo.php?workbook=16_08.xlsx&amp;sheet=U0&amp;row=7926&amp;col=7&amp;number=0.00426&amp;sourceID=14","0.00426")</f>
        <v>0.00426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HYPERLINK("http://141.218.60.56/~jnz1568/getInfo.php?workbook=16_08.xlsx&amp;sheet=U0&amp;row=7927&amp;col=6&amp;number=3.3&amp;sourceID=14","3.3")</f>
        <v>3.3</v>
      </c>
      <c r="G7927" s="4" t="str">
        <f>HYPERLINK("http://141.218.60.56/~jnz1568/getInfo.php?workbook=16_08.xlsx&amp;sheet=U0&amp;row=7927&amp;col=7&amp;number=0.00427&amp;sourceID=14","0.00427")</f>
        <v>0.00427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HYPERLINK("http://141.218.60.56/~jnz1568/getInfo.php?workbook=16_08.xlsx&amp;sheet=U0&amp;row=7928&amp;col=6&amp;number=3.4&amp;sourceID=14","3.4")</f>
        <v>3.4</v>
      </c>
      <c r="G7928" s="4" t="str">
        <f>HYPERLINK("http://141.218.60.56/~jnz1568/getInfo.php?workbook=16_08.xlsx&amp;sheet=U0&amp;row=7928&amp;col=7&amp;number=0.00427&amp;sourceID=14","0.00427")</f>
        <v>0.00427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HYPERLINK("http://141.218.60.56/~jnz1568/getInfo.php?workbook=16_08.xlsx&amp;sheet=U0&amp;row=7929&amp;col=6&amp;number=3.5&amp;sourceID=14","3.5")</f>
        <v>3.5</v>
      </c>
      <c r="G7929" s="4" t="str">
        <f>HYPERLINK("http://141.218.60.56/~jnz1568/getInfo.php?workbook=16_08.xlsx&amp;sheet=U0&amp;row=7929&amp;col=7&amp;number=0.00427&amp;sourceID=14","0.00427")</f>
        <v>0.00427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HYPERLINK("http://141.218.60.56/~jnz1568/getInfo.php?workbook=16_08.xlsx&amp;sheet=U0&amp;row=7930&amp;col=6&amp;number=3.6&amp;sourceID=14","3.6")</f>
        <v>3.6</v>
      </c>
      <c r="G7930" s="4" t="str">
        <f>HYPERLINK("http://141.218.60.56/~jnz1568/getInfo.php?workbook=16_08.xlsx&amp;sheet=U0&amp;row=7930&amp;col=7&amp;number=0.00427&amp;sourceID=14","0.00427")</f>
        <v>0.00427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HYPERLINK("http://141.218.60.56/~jnz1568/getInfo.php?workbook=16_08.xlsx&amp;sheet=U0&amp;row=7931&amp;col=6&amp;number=3.7&amp;sourceID=14","3.7")</f>
        <v>3.7</v>
      </c>
      <c r="G7931" s="4" t="str">
        <f>HYPERLINK("http://141.218.60.56/~jnz1568/getInfo.php?workbook=16_08.xlsx&amp;sheet=U0&amp;row=7931&amp;col=7&amp;number=0.00427&amp;sourceID=14","0.00427")</f>
        <v>0.00427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HYPERLINK("http://141.218.60.56/~jnz1568/getInfo.php?workbook=16_08.xlsx&amp;sheet=U0&amp;row=7932&amp;col=6&amp;number=3.8&amp;sourceID=14","3.8")</f>
        <v>3.8</v>
      </c>
      <c r="G7932" s="4" t="str">
        <f>HYPERLINK("http://141.218.60.56/~jnz1568/getInfo.php?workbook=16_08.xlsx&amp;sheet=U0&amp;row=7932&amp;col=7&amp;number=0.00427&amp;sourceID=14","0.00427")</f>
        <v>0.00427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HYPERLINK("http://141.218.60.56/~jnz1568/getInfo.php?workbook=16_08.xlsx&amp;sheet=U0&amp;row=7933&amp;col=6&amp;number=3.9&amp;sourceID=14","3.9")</f>
        <v>3.9</v>
      </c>
      <c r="G7933" s="4" t="str">
        <f>HYPERLINK("http://141.218.60.56/~jnz1568/getInfo.php?workbook=16_08.xlsx&amp;sheet=U0&amp;row=7933&amp;col=7&amp;number=0.00428&amp;sourceID=14","0.00428")</f>
        <v>0.00428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HYPERLINK("http://141.218.60.56/~jnz1568/getInfo.php?workbook=16_08.xlsx&amp;sheet=U0&amp;row=7934&amp;col=6&amp;number=4&amp;sourceID=14","4")</f>
        <v>4</v>
      </c>
      <c r="G7934" s="4" t="str">
        <f>HYPERLINK("http://141.218.60.56/~jnz1568/getInfo.php?workbook=16_08.xlsx&amp;sheet=U0&amp;row=7934&amp;col=7&amp;number=0.00428&amp;sourceID=14","0.00428")</f>
        <v>0.00428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HYPERLINK("http://141.218.60.56/~jnz1568/getInfo.php?workbook=16_08.xlsx&amp;sheet=U0&amp;row=7935&amp;col=6&amp;number=4.1&amp;sourceID=14","4.1")</f>
        <v>4.1</v>
      </c>
      <c r="G7935" s="4" t="str">
        <f>HYPERLINK("http://141.218.60.56/~jnz1568/getInfo.php?workbook=16_08.xlsx&amp;sheet=U0&amp;row=7935&amp;col=7&amp;number=0.00429&amp;sourceID=14","0.00429")</f>
        <v>0.00429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HYPERLINK("http://141.218.60.56/~jnz1568/getInfo.php?workbook=16_08.xlsx&amp;sheet=U0&amp;row=7936&amp;col=6&amp;number=4.2&amp;sourceID=14","4.2")</f>
        <v>4.2</v>
      </c>
      <c r="G7936" s="4" t="str">
        <f>HYPERLINK("http://141.218.60.56/~jnz1568/getInfo.php?workbook=16_08.xlsx&amp;sheet=U0&amp;row=7936&amp;col=7&amp;number=0.0043&amp;sourceID=14","0.0043")</f>
        <v>0.0043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HYPERLINK("http://141.218.60.56/~jnz1568/getInfo.php?workbook=16_08.xlsx&amp;sheet=U0&amp;row=7937&amp;col=6&amp;number=4.3&amp;sourceID=14","4.3")</f>
        <v>4.3</v>
      </c>
      <c r="G7937" s="4" t="str">
        <f>HYPERLINK("http://141.218.60.56/~jnz1568/getInfo.php?workbook=16_08.xlsx&amp;sheet=U0&amp;row=7937&amp;col=7&amp;number=0.00431&amp;sourceID=14","0.00431")</f>
        <v>0.00431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HYPERLINK("http://141.218.60.56/~jnz1568/getInfo.php?workbook=16_08.xlsx&amp;sheet=U0&amp;row=7938&amp;col=6&amp;number=4.4&amp;sourceID=14","4.4")</f>
        <v>4.4</v>
      </c>
      <c r="G7938" s="4" t="str">
        <f>HYPERLINK("http://141.218.60.56/~jnz1568/getInfo.php?workbook=16_08.xlsx&amp;sheet=U0&amp;row=7938&amp;col=7&amp;number=0.00432&amp;sourceID=14","0.00432")</f>
        <v>0.00432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HYPERLINK("http://141.218.60.56/~jnz1568/getInfo.php?workbook=16_08.xlsx&amp;sheet=U0&amp;row=7939&amp;col=6&amp;number=4.5&amp;sourceID=14","4.5")</f>
        <v>4.5</v>
      </c>
      <c r="G7939" s="4" t="str">
        <f>HYPERLINK("http://141.218.60.56/~jnz1568/getInfo.php?workbook=16_08.xlsx&amp;sheet=U0&amp;row=7939&amp;col=7&amp;number=0.00433&amp;sourceID=14","0.00433")</f>
        <v>0.00433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HYPERLINK("http://141.218.60.56/~jnz1568/getInfo.php?workbook=16_08.xlsx&amp;sheet=U0&amp;row=7940&amp;col=6&amp;number=4.6&amp;sourceID=14","4.6")</f>
        <v>4.6</v>
      </c>
      <c r="G7940" s="4" t="str">
        <f>HYPERLINK("http://141.218.60.56/~jnz1568/getInfo.php?workbook=16_08.xlsx&amp;sheet=U0&amp;row=7940&amp;col=7&amp;number=0.00435&amp;sourceID=14","0.00435")</f>
        <v>0.00435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HYPERLINK("http://141.218.60.56/~jnz1568/getInfo.php?workbook=16_08.xlsx&amp;sheet=U0&amp;row=7941&amp;col=6&amp;number=4.7&amp;sourceID=14","4.7")</f>
        <v>4.7</v>
      </c>
      <c r="G7941" s="4" t="str">
        <f>HYPERLINK("http://141.218.60.56/~jnz1568/getInfo.php?workbook=16_08.xlsx&amp;sheet=U0&amp;row=7941&amp;col=7&amp;number=0.00437&amp;sourceID=14","0.00437")</f>
        <v>0.00437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HYPERLINK("http://141.218.60.56/~jnz1568/getInfo.php?workbook=16_08.xlsx&amp;sheet=U0&amp;row=7942&amp;col=6&amp;number=4.8&amp;sourceID=14","4.8")</f>
        <v>4.8</v>
      </c>
      <c r="G7942" s="4" t="str">
        <f>HYPERLINK("http://141.218.60.56/~jnz1568/getInfo.php?workbook=16_08.xlsx&amp;sheet=U0&amp;row=7942&amp;col=7&amp;number=0.0044&amp;sourceID=14","0.0044")</f>
        <v>0.0044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HYPERLINK("http://141.218.60.56/~jnz1568/getInfo.php?workbook=16_08.xlsx&amp;sheet=U0&amp;row=7943&amp;col=6&amp;number=4.9&amp;sourceID=14","4.9")</f>
        <v>4.9</v>
      </c>
      <c r="G7943" s="4" t="str">
        <f>HYPERLINK("http://141.218.60.56/~jnz1568/getInfo.php?workbook=16_08.xlsx&amp;sheet=U0&amp;row=7943&amp;col=7&amp;number=0.00444&amp;sourceID=14","0.00444")</f>
        <v>0.00444</v>
      </c>
    </row>
    <row r="7944" spans="1:7">
      <c r="A7944" s="3">
        <v>16</v>
      </c>
      <c r="B7944" s="3">
        <v>8</v>
      </c>
      <c r="C7944" s="3">
        <v>5</v>
      </c>
      <c r="D7944" s="3">
        <v>69</v>
      </c>
      <c r="E7944" s="3">
        <v>1</v>
      </c>
      <c r="F7944" s="4" t="str">
        <f>HYPERLINK("http://141.218.60.56/~jnz1568/getInfo.php?workbook=16_08.xlsx&amp;sheet=U0&amp;row=7944&amp;col=6&amp;number=3&amp;sourceID=14","3")</f>
        <v>3</v>
      </c>
      <c r="G7944" s="4" t="str">
        <f>HYPERLINK("http://141.218.60.56/~jnz1568/getInfo.php?workbook=16_08.xlsx&amp;sheet=U0&amp;row=7944&amp;col=7&amp;number=0.000836&amp;sourceID=14","0.000836")</f>
        <v>0.000836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HYPERLINK("http://141.218.60.56/~jnz1568/getInfo.php?workbook=16_08.xlsx&amp;sheet=U0&amp;row=7945&amp;col=6&amp;number=3.1&amp;sourceID=14","3.1")</f>
        <v>3.1</v>
      </c>
      <c r="G7945" s="4" t="str">
        <f>HYPERLINK("http://141.218.60.56/~jnz1568/getInfo.php?workbook=16_08.xlsx&amp;sheet=U0&amp;row=7945&amp;col=7&amp;number=0.000836&amp;sourceID=14","0.000836")</f>
        <v>0.000836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HYPERLINK("http://141.218.60.56/~jnz1568/getInfo.php?workbook=16_08.xlsx&amp;sheet=U0&amp;row=7946&amp;col=6&amp;number=3.2&amp;sourceID=14","3.2")</f>
        <v>3.2</v>
      </c>
      <c r="G7946" s="4" t="str">
        <f>HYPERLINK("http://141.218.60.56/~jnz1568/getInfo.php?workbook=16_08.xlsx&amp;sheet=U0&amp;row=7946&amp;col=7&amp;number=0.000835&amp;sourceID=14","0.000835")</f>
        <v>0.000835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HYPERLINK("http://141.218.60.56/~jnz1568/getInfo.php?workbook=16_08.xlsx&amp;sheet=U0&amp;row=7947&amp;col=6&amp;number=3.3&amp;sourceID=14","3.3")</f>
        <v>3.3</v>
      </c>
      <c r="G7947" s="4" t="str">
        <f>HYPERLINK("http://141.218.60.56/~jnz1568/getInfo.php?workbook=16_08.xlsx&amp;sheet=U0&amp;row=7947&amp;col=7&amp;number=0.000835&amp;sourceID=14","0.000835")</f>
        <v>0.000835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HYPERLINK("http://141.218.60.56/~jnz1568/getInfo.php?workbook=16_08.xlsx&amp;sheet=U0&amp;row=7948&amp;col=6&amp;number=3.4&amp;sourceID=14","3.4")</f>
        <v>3.4</v>
      </c>
      <c r="G7948" s="4" t="str">
        <f>HYPERLINK("http://141.218.60.56/~jnz1568/getInfo.php?workbook=16_08.xlsx&amp;sheet=U0&amp;row=7948&amp;col=7&amp;number=0.000835&amp;sourceID=14","0.000835")</f>
        <v>0.000835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HYPERLINK("http://141.218.60.56/~jnz1568/getInfo.php?workbook=16_08.xlsx&amp;sheet=U0&amp;row=7949&amp;col=6&amp;number=3.5&amp;sourceID=14","3.5")</f>
        <v>3.5</v>
      </c>
      <c r="G7949" s="4" t="str">
        <f>HYPERLINK("http://141.218.60.56/~jnz1568/getInfo.php?workbook=16_08.xlsx&amp;sheet=U0&amp;row=7949&amp;col=7&amp;number=0.000835&amp;sourceID=14","0.000835")</f>
        <v>0.000835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HYPERLINK("http://141.218.60.56/~jnz1568/getInfo.php?workbook=16_08.xlsx&amp;sheet=U0&amp;row=7950&amp;col=6&amp;number=3.6&amp;sourceID=14","3.6")</f>
        <v>3.6</v>
      </c>
      <c r="G7950" s="4" t="str">
        <f>HYPERLINK("http://141.218.60.56/~jnz1568/getInfo.php?workbook=16_08.xlsx&amp;sheet=U0&amp;row=7950&amp;col=7&amp;number=0.000834&amp;sourceID=14","0.000834")</f>
        <v>0.000834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HYPERLINK("http://141.218.60.56/~jnz1568/getInfo.php?workbook=16_08.xlsx&amp;sheet=U0&amp;row=7951&amp;col=6&amp;number=3.7&amp;sourceID=14","3.7")</f>
        <v>3.7</v>
      </c>
      <c r="G7951" s="4" t="str">
        <f>HYPERLINK("http://141.218.60.56/~jnz1568/getInfo.php?workbook=16_08.xlsx&amp;sheet=U0&amp;row=7951&amp;col=7&amp;number=0.000834&amp;sourceID=14","0.000834")</f>
        <v>0.000834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HYPERLINK("http://141.218.60.56/~jnz1568/getInfo.php?workbook=16_08.xlsx&amp;sheet=U0&amp;row=7952&amp;col=6&amp;number=3.8&amp;sourceID=14","3.8")</f>
        <v>3.8</v>
      </c>
      <c r="G7952" s="4" t="str">
        <f>HYPERLINK("http://141.218.60.56/~jnz1568/getInfo.php?workbook=16_08.xlsx&amp;sheet=U0&amp;row=7952&amp;col=7&amp;number=0.000833&amp;sourceID=14","0.000833")</f>
        <v>0.000833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HYPERLINK("http://141.218.60.56/~jnz1568/getInfo.php?workbook=16_08.xlsx&amp;sheet=U0&amp;row=7953&amp;col=6&amp;number=3.9&amp;sourceID=14","3.9")</f>
        <v>3.9</v>
      </c>
      <c r="G7953" s="4" t="str">
        <f>HYPERLINK("http://141.218.60.56/~jnz1568/getInfo.php?workbook=16_08.xlsx&amp;sheet=U0&amp;row=7953&amp;col=7&amp;number=0.000832&amp;sourceID=14","0.000832")</f>
        <v>0.000832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HYPERLINK("http://141.218.60.56/~jnz1568/getInfo.php?workbook=16_08.xlsx&amp;sheet=U0&amp;row=7954&amp;col=6&amp;number=4&amp;sourceID=14","4")</f>
        <v>4</v>
      </c>
      <c r="G7954" s="4" t="str">
        <f>HYPERLINK("http://141.218.60.56/~jnz1568/getInfo.php?workbook=16_08.xlsx&amp;sheet=U0&amp;row=7954&amp;col=7&amp;number=0.000831&amp;sourceID=14","0.000831")</f>
        <v>0.000831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HYPERLINK("http://141.218.60.56/~jnz1568/getInfo.php?workbook=16_08.xlsx&amp;sheet=U0&amp;row=7955&amp;col=6&amp;number=4.1&amp;sourceID=14","4.1")</f>
        <v>4.1</v>
      </c>
      <c r="G7955" s="4" t="str">
        <f>HYPERLINK("http://141.218.60.56/~jnz1568/getInfo.php?workbook=16_08.xlsx&amp;sheet=U0&amp;row=7955&amp;col=7&amp;number=0.00083&amp;sourceID=14","0.00083")</f>
        <v>0.00083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HYPERLINK("http://141.218.60.56/~jnz1568/getInfo.php?workbook=16_08.xlsx&amp;sheet=U0&amp;row=7956&amp;col=6&amp;number=4.2&amp;sourceID=14","4.2")</f>
        <v>4.2</v>
      </c>
      <c r="G7956" s="4" t="str">
        <f>HYPERLINK("http://141.218.60.56/~jnz1568/getInfo.php?workbook=16_08.xlsx&amp;sheet=U0&amp;row=7956&amp;col=7&amp;number=0.000829&amp;sourceID=14","0.000829")</f>
        <v>0.000829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HYPERLINK("http://141.218.60.56/~jnz1568/getInfo.php?workbook=16_08.xlsx&amp;sheet=U0&amp;row=7957&amp;col=6&amp;number=4.3&amp;sourceID=14","4.3")</f>
        <v>4.3</v>
      </c>
      <c r="G7957" s="4" t="str">
        <f>HYPERLINK("http://141.218.60.56/~jnz1568/getInfo.php?workbook=16_08.xlsx&amp;sheet=U0&amp;row=7957&amp;col=7&amp;number=0.000827&amp;sourceID=14","0.000827")</f>
        <v>0.000827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HYPERLINK("http://141.218.60.56/~jnz1568/getInfo.php?workbook=16_08.xlsx&amp;sheet=U0&amp;row=7958&amp;col=6&amp;number=4.4&amp;sourceID=14","4.4")</f>
        <v>4.4</v>
      </c>
      <c r="G7958" s="4" t="str">
        <f>HYPERLINK("http://141.218.60.56/~jnz1568/getInfo.php?workbook=16_08.xlsx&amp;sheet=U0&amp;row=7958&amp;col=7&amp;number=0.000824&amp;sourceID=14","0.000824")</f>
        <v>0.000824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HYPERLINK("http://141.218.60.56/~jnz1568/getInfo.php?workbook=16_08.xlsx&amp;sheet=U0&amp;row=7959&amp;col=6&amp;number=4.5&amp;sourceID=14","4.5")</f>
        <v>4.5</v>
      </c>
      <c r="G7959" s="4" t="str">
        <f>HYPERLINK("http://141.218.60.56/~jnz1568/getInfo.php?workbook=16_08.xlsx&amp;sheet=U0&amp;row=7959&amp;col=7&amp;number=0.000821&amp;sourceID=14","0.000821")</f>
        <v>0.000821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HYPERLINK("http://141.218.60.56/~jnz1568/getInfo.php?workbook=16_08.xlsx&amp;sheet=U0&amp;row=7960&amp;col=6&amp;number=4.6&amp;sourceID=14","4.6")</f>
        <v>4.6</v>
      </c>
      <c r="G7960" s="4" t="str">
        <f>HYPERLINK("http://141.218.60.56/~jnz1568/getInfo.php?workbook=16_08.xlsx&amp;sheet=U0&amp;row=7960&amp;col=7&amp;number=0.000817&amp;sourceID=14","0.000817")</f>
        <v>0.000817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HYPERLINK("http://141.218.60.56/~jnz1568/getInfo.php?workbook=16_08.xlsx&amp;sheet=U0&amp;row=7961&amp;col=6&amp;number=4.7&amp;sourceID=14","4.7")</f>
        <v>4.7</v>
      </c>
      <c r="G7961" s="4" t="str">
        <f>HYPERLINK("http://141.218.60.56/~jnz1568/getInfo.php?workbook=16_08.xlsx&amp;sheet=U0&amp;row=7961&amp;col=7&amp;number=0.000813&amp;sourceID=14","0.000813")</f>
        <v>0.000813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HYPERLINK("http://141.218.60.56/~jnz1568/getInfo.php?workbook=16_08.xlsx&amp;sheet=U0&amp;row=7962&amp;col=6&amp;number=4.8&amp;sourceID=14","4.8")</f>
        <v>4.8</v>
      </c>
      <c r="G7962" s="4" t="str">
        <f>HYPERLINK("http://141.218.60.56/~jnz1568/getInfo.php?workbook=16_08.xlsx&amp;sheet=U0&amp;row=7962&amp;col=7&amp;number=0.000807&amp;sourceID=14","0.000807")</f>
        <v>0.000807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HYPERLINK("http://141.218.60.56/~jnz1568/getInfo.php?workbook=16_08.xlsx&amp;sheet=U0&amp;row=7963&amp;col=6&amp;number=4.9&amp;sourceID=14","4.9")</f>
        <v>4.9</v>
      </c>
      <c r="G7963" s="4" t="str">
        <f>HYPERLINK("http://141.218.60.56/~jnz1568/getInfo.php?workbook=16_08.xlsx&amp;sheet=U0&amp;row=7963&amp;col=7&amp;number=0.000799&amp;sourceID=14","0.000799")</f>
        <v>0.000799</v>
      </c>
    </row>
    <row r="7964" spans="1:7">
      <c r="A7964" s="3">
        <v>16</v>
      </c>
      <c r="B7964" s="3">
        <v>8</v>
      </c>
      <c r="C7964" s="3">
        <v>5</v>
      </c>
      <c r="D7964" s="3">
        <v>70</v>
      </c>
      <c r="E7964" s="3">
        <v>1</v>
      </c>
      <c r="F7964" s="4" t="str">
        <f>HYPERLINK("http://141.218.60.56/~jnz1568/getInfo.php?workbook=16_08.xlsx&amp;sheet=U0&amp;row=7964&amp;col=6&amp;number=3&amp;sourceID=14","3")</f>
        <v>3</v>
      </c>
      <c r="G7964" s="4" t="str">
        <f>HYPERLINK("http://141.218.60.56/~jnz1568/getInfo.php?workbook=16_08.xlsx&amp;sheet=U0&amp;row=7964&amp;col=7&amp;number=0.000125&amp;sourceID=14","0.000125")</f>
        <v>0.000125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HYPERLINK("http://141.218.60.56/~jnz1568/getInfo.php?workbook=16_08.xlsx&amp;sheet=U0&amp;row=7965&amp;col=6&amp;number=3.1&amp;sourceID=14","3.1")</f>
        <v>3.1</v>
      </c>
      <c r="G7965" s="4" t="str">
        <f>HYPERLINK("http://141.218.60.56/~jnz1568/getInfo.php?workbook=16_08.xlsx&amp;sheet=U0&amp;row=7965&amp;col=7&amp;number=0.000125&amp;sourceID=14","0.000125")</f>
        <v>0.000125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HYPERLINK("http://141.218.60.56/~jnz1568/getInfo.php?workbook=16_08.xlsx&amp;sheet=U0&amp;row=7966&amp;col=6&amp;number=3.2&amp;sourceID=14","3.2")</f>
        <v>3.2</v>
      </c>
      <c r="G7966" s="4" t="str">
        <f>HYPERLINK("http://141.218.60.56/~jnz1568/getInfo.php?workbook=16_08.xlsx&amp;sheet=U0&amp;row=7966&amp;col=7&amp;number=0.000125&amp;sourceID=14","0.000125")</f>
        <v>0.000125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HYPERLINK("http://141.218.60.56/~jnz1568/getInfo.php?workbook=16_08.xlsx&amp;sheet=U0&amp;row=7967&amp;col=6&amp;number=3.3&amp;sourceID=14","3.3")</f>
        <v>3.3</v>
      </c>
      <c r="G7967" s="4" t="str">
        <f>HYPERLINK("http://141.218.60.56/~jnz1568/getInfo.php?workbook=16_08.xlsx&amp;sheet=U0&amp;row=7967&amp;col=7&amp;number=0.000125&amp;sourceID=14","0.000125")</f>
        <v>0.000125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HYPERLINK("http://141.218.60.56/~jnz1568/getInfo.php?workbook=16_08.xlsx&amp;sheet=U0&amp;row=7968&amp;col=6&amp;number=3.4&amp;sourceID=14","3.4")</f>
        <v>3.4</v>
      </c>
      <c r="G7968" s="4" t="str">
        <f>HYPERLINK("http://141.218.60.56/~jnz1568/getInfo.php?workbook=16_08.xlsx&amp;sheet=U0&amp;row=7968&amp;col=7&amp;number=0.000125&amp;sourceID=14","0.000125")</f>
        <v>0.000125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HYPERLINK("http://141.218.60.56/~jnz1568/getInfo.php?workbook=16_08.xlsx&amp;sheet=U0&amp;row=7969&amp;col=6&amp;number=3.5&amp;sourceID=14","3.5")</f>
        <v>3.5</v>
      </c>
      <c r="G7969" s="4" t="str">
        <f>HYPERLINK("http://141.218.60.56/~jnz1568/getInfo.php?workbook=16_08.xlsx&amp;sheet=U0&amp;row=7969&amp;col=7&amp;number=0.000125&amp;sourceID=14","0.000125")</f>
        <v>0.000125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HYPERLINK("http://141.218.60.56/~jnz1568/getInfo.php?workbook=16_08.xlsx&amp;sheet=U0&amp;row=7970&amp;col=6&amp;number=3.6&amp;sourceID=14","3.6")</f>
        <v>3.6</v>
      </c>
      <c r="G7970" s="4" t="str">
        <f>HYPERLINK("http://141.218.60.56/~jnz1568/getInfo.php?workbook=16_08.xlsx&amp;sheet=U0&amp;row=7970&amp;col=7&amp;number=0.000125&amp;sourceID=14","0.000125")</f>
        <v>0.000125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HYPERLINK("http://141.218.60.56/~jnz1568/getInfo.php?workbook=16_08.xlsx&amp;sheet=U0&amp;row=7971&amp;col=6&amp;number=3.7&amp;sourceID=14","3.7")</f>
        <v>3.7</v>
      </c>
      <c r="G7971" s="4" t="str">
        <f>HYPERLINK("http://141.218.60.56/~jnz1568/getInfo.php?workbook=16_08.xlsx&amp;sheet=U0&amp;row=7971&amp;col=7&amp;number=0.000125&amp;sourceID=14","0.000125")</f>
        <v>0.000125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HYPERLINK("http://141.218.60.56/~jnz1568/getInfo.php?workbook=16_08.xlsx&amp;sheet=U0&amp;row=7972&amp;col=6&amp;number=3.8&amp;sourceID=14","3.8")</f>
        <v>3.8</v>
      </c>
      <c r="G7972" s="4" t="str">
        <f>HYPERLINK("http://141.218.60.56/~jnz1568/getInfo.php?workbook=16_08.xlsx&amp;sheet=U0&amp;row=7972&amp;col=7&amp;number=0.000125&amp;sourceID=14","0.000125")</f>
        <v>0.000125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HYPERLINK("http://141.218.60.56/~jnz1568/getInfo.php?workbook=16_08.xlsx&amp;sheet=U0&amp;row=7973&amp;col=6&amp;number=3.9&amp;sourceID=14","3.9")</f>
        <v>3.9</v>
      </c>
      <c r="G7973" s="4" t="str">
        <f>HYPERLINK("http://141.218.60.56/~jnz1568/getInfo.php?workbook=16_08.xlsx&amp;sheet=U0&amp;row=7973&amp;col=7&amp;number=0.000125&amp;sourceID=14","0.000125")</f>
        <v>0.000125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HYPERLINK("http://141.218.60.56/~jnz1568/getInfo.php?workbook=16_08.xlsx&amp;sheet=U0&amp;row=7974&amp;col=6&amp;number=4&amp;sourceID=14","4")</f>
        <v>4</v>
      </c>
      <c r="G7974" s="4" t="str">
        <f>HYPERLINK("http://141.218.60.56/~jnz1568/getInfo.php?workbook=16_08.xlsx&amp;sheet=U0&amp;row=7974&amp;col=7&amp;number=0.000125&amp;sourceID=14","0.000125")</f>
        <v>0.000125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HYPERLINK("http://141.218.60.56/~jnz1568/getInfo.php?workbook=16_08.xlsx&amp;sheet=U0&amp;row=7975&amp;col=6&amp;number=4.1&amp;sourceID=14","4.1")</f>
        <v>4.1</v>
      </c>
      <c r="G7975" s="4" t="str">
        <f>HYPERLINK("http://141.218.60.56/~jnz1568/getInfo.php?workbook=16_08.xlsx&amp;sheet=U0&amp;row=7975&amp;col=7&amp;number=0.000125&amp;sourceID=14","0.000125")</f>
        <v>0.000125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HYPERLINK("http://141.218.60.56/~jnz1568/getInfo.php?workbook=16_08.xlsx&amp;sheet=U0&amp;row=7976&amp;col=6&amp;number=4.2&amp;sourceID=14","4.2")</f>
        <v>4.2</v>
      </c>
      <c r="G7976" s="4" t="str">
        <f>HYPERLINK("http://141.218.60.56/~jnz1568/getInfo.php?workbook=16_08.xlsx&amp;sheet=U0&amp;row=7976&amp;col=7&amp;number=0.000125&amp;sourceID=14","0.000125")</f>
        <v>0.000125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HYPERLINK("http://141.218.60.56/~jnz1568/getInfo.php?workbook=16_08.xlsx&amp;sheet=U0&amp;row=7977&amp;col=6&amp;number=4.3&amp;sourceID=14","4.3")</f>
        <v>4.3</v>
      </c>
      <c r="G7977" s="4" t="str">
        <f>HYPERLINK("http://141.218.60.56/~jnz1568/getInfo.php?workbook=16_08.xlsx&amp;sheet=U0&amp;row=7977&amp;col=7&amp;number=0.000125&amp;sourceID=14","0.000125")</f>
        <v>0.000125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HYPERLINK("http://141.218.60.56/~jnz1568/getInfo.php?workbook=16_08.xlsx&amp;sheet=U0&amp;row=7978&amp;col=6&amp;number=4.4&amp;sourceID=14","4.4")</f>
        <v>4.4</v>
      </c>
      <c r="G7978" s="4" t="str">
        <f>HYPERLINK("http://141.218.60.56/~jnz1568/getInfo.php?workbook=16_08.xlsx&amp;sheet=U0&amp;row=7978&amp;col=7&amp;number=0.000125&amp;sourceID=14","0.000125")</f>
        <v>0.000125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HYPERLINK("http://141.218.60.56/~jnz1568/getInfo.php?workbook=16_08.xlsx&amp;sheet=U0&amp;row=7979&amp;col=6&amp;number=4.5&amp;sourceID=14","4.5")</f>
        <v>4.5</v>
      </c>
      <c r="G7979" s="4" t="str">
        <f>HYPERLINK("http://141.218.60.56/~jnz1568/getInfo.php?workbook=16_08.xlsx&amp;sheet=U0&amp;row=7979&amp;col=7&amp;number=0.000125&amp;sourceID=14","0.000125")</f>
        <v>0.000125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HYPERLINK("http://141.218.60.56/~jnz1568/getInfo.php?workbook=16_08.xlsx&amp;sheet=U0&amp;row=7980&amp;col=6&amp;number=4.6&amp;sourceID=14","4.6")</f>
        <v>4.6</v>
      </c>
      <c r="G7980" s="4" t="str">
        <f>HYPERLINK("http://141.218.60.56/~jnz1568/getInfo.php?workbook=16_08.xlsx&amp;sheet=U0&amp;row=7980&amp;col=7&amp;number=0.000125&amp;sourceID=14","0.000125")</f>
        <v>0.000125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HYPERLINK("http://141.218.60.56/~jnz1568/getInfo.php?workbook=16_08.xlsx&amp;sheet=U0&amp;row=7981&amp;col=6&amp;number=4.7&amp;sourceID=14","4.7")</f>
        <v>4.7</v>
      </c>
      <c r="G7981" s="4" t="str">
        <f>HYPERLINK("http://141.218.60.56/~jnz1568/getInfo.php?workbook=16_08.xlsx&amp;sheet=U0&amp;row=7981&amp;col=7&amp;number=0.000125&amp;sourceID=14","0.000125")</f>
        <v>0.000125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HYPERLINK("http://141.218.60.56/~jnz1568/getInfo.php?workbook=16_08.xlsx&amp;sheet=U0&amp;row=7982&amp;col=6&amp;number=4.8&amp;sourceID=14","4.8")</f>
        <v>4.8</v>
      </c>
      <c r="G7982" s="4" t="str">
        <f>HYPERLINK("http://141.218.60.56/~jnz1568/getInfo.php?workbook=16_08.xlsx&amp;sheet=U0&amp;row=7982&amp;col=7&amp;number=0.000125&amp;sourceID=14","0.000125")</f>
        <v>0.000125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HYPERLINK("http://141.218.60.56/~jnz1568/getInfo.php?workbook=16_08.xlsx&amp;sheet=U0&amp;row=7983&amp;col=6&amp;number=4.9&amp;sourceID=14","4.9")</f>
        <v>4.9</v>
      </c>
      <c r="G7983" s="4" t="str">
        <f>HYPERLINK("http://141.218.60.56/~jnz1568/getInfo.php?workbook=16_08.xlsx&amp;sheet=U0&amp;row=7983&amp;col=7&amp;number=0.000125&amp;sourceID=14","0.000125")</f>
        <v>0.000125</v>
      </c>
    </row>
    <row r="7984" spans="1:7">
      <c r="A7984" s="3">
        <v>16</v>
      </c>
      <c r="B7984" s="3">
        <v>8</v>
      </c>
      <c r="C7984" s="3">
        <v>5</v>
      </c>
      <c r="D7984" s="3">
        <v>71</v>
      </c>
      <c r="E7984" s="3">
        <v>1</v>
      </c>
      <c r="F7984" s="4" t="str">
        <f>HYPERLINK("http://141.218.60.56/~jnz1568/getInfo.php?workbook=16_08.xlsx&amp;sheet=U0&amp;row=7984&amp;col=6&amp;number=3&amp;sourceID=14","3")</f>
        <v>3</v>
      </c>
      <c r="G7984" s="4" t="str">
        <f>HYPERLINK("http://141.218.60.56/~jnz1568/getInfo.php?workbook=16_08.xlsx&amp;sheet=U0&amp;row=7984&amp;col=7&amp;number=1.69e-05&amp;sourceID=14","1.69e-05")</f>
        <v>1.69e-05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HYPERLINK("http://141.218.60.56/~jnz1568/getInfo.php?workbook=16_08.xlsx&amp;sheet=U0&amp;row=7985&amp;col=6&amp;number=3.1&amp;sourceID=14","3.1")</f>
        <v>3.1</v>
      </c>
      <c r="G7985" s="4" t="str">
        <f>HYPERLINK("http://141.218.60.56/~jnz1568/getInfo.php?workbook=16_08.xlsx&amp;sheet=U0&amp;row=7985&amp;col=7&amp;number=1.69e-05&amp;sourceID=14","1.69e-05")</f>
        <v>1.69e-05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HYPERLINK("http://141.218.60.56/~jnz1568/getInfo.php?workbook=16_08.xlsx&amp;sheet=U0&amp;row=7986&amp;col=6&amp;number=3.2&amp;sourceID=14","3.2")</f>
        <v>3.2</v>
      </c>
      <c r="G7986" s="4" t="str">
        <f>HYPERLINK("http://141.218.60.56/~jnz1568/getInfo.php?workbook=16_08.xlsx&amp;sheet=U0&amp;row=7986&amp;col=7&amp;number=1.69e-05&amp;sourceID=14","1.69e-05")</f>
        <v>1.69e-05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HYPERLINK("http://141.218.60.56/~jnz1568/getInfo.php?workbook=16_08.xlsx&amp;sheet=U0&amp;row=7987&amp;col=6&amp;number=3.3&amp;sourceID=14","3.3")</f>
        <v>3.3</v>
      </c>
      <c r="G7987" s="4" t="str">
        <f>HYPERLINK("http://141.218.60.56/~jnz1568/getInfo.php?workbook=16_08.xlsx&amp;sheet=U0&amp;row=7987&amp;col=7&amp;number=1.69e-05&amp;sourceID=14","1.69e-05")</f>
        <v>1.69e-05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HYPERLINK("http://141.218.60.56/~jnz1568/getInfo.php?workbook=16_08.xlsx&amp;sheet=U0&amp;row=7988&amp;col=6&amp;number=3.4&amp;sourceID=14","3.4")</f>
        <v>3.4</v>
      </c>
      <c r="G7988" s="4" t="str">
        <f>HYPERLINK("http://141.218.60.56/~jnz1568/getInfo.php?workbook=16_08.xlsx&amp;sheet=U0&amp;row=7988&amp;col=7&amp;number=1.69e-05&amp;sourceID=14","1.69e-05")</f>
        <v>1.69e-05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HYPERLINK("http://141.218.60.56/~jnz1568/getInfo.php?workbook=16_08.xlsx&amp;sheet=U0&amp;row=7989&amp;col=6&amp;number=3.5&amp;sourceID=14","3.5")</f>
        <v>3.5</v>
      </c>
      <c r="G7989" s="4" t="str">
        <f>HYPERLINK("http://141.218.60.56/~jnz1568/getInfo.php?workbook=16_08.xlsx&amp;sheet=U0&amp;row=7989&amp;col=7&amp;number=1.69e-05&amp;sourceID=14","1.69e-05")</f>
        <v>1.69e-05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HYPERLINK("http://141.218.60.56/~jnz1568/getInfo.php?workbook=16_08.xlsx&amp;sheet=U0&amp;row=7990&amp;col=6&amp;number=3.6&amp;sourceID=14","3.6")</f>
        <v>3.6</v>
      </c>
      <c r="G7990" s="4" t="str">
        <f>HYPERLINK("http://141.218.60.56/~jnz1568/getInfo.php?workbook=16_08.xlsx&amp;sheet=U0&amp;row=7990&amp;col=7&amp;number=1.69e-05&amp;sourceID=14","1.69e-05")</f>
        <v>1.69e-05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HYPERLINK("http://141.218.60.56/~jnz1568/getInfo.php?workbook=16_08.xlsx&amp;sheet=U0&amp;row=7991&amp;col=6&amp;number=3.7&amp;sourceID=14","3.7")</f>
        <v>3.7</v>
      </c>
      <c r="G7991" s="4" t="str">
        <f>HYPERLINK("http://141.218.60.56/~jnz1568/getInfo.php?workbook=16_08.xlsx&amp;sheet=U0&amp;row=7991&amp;col=7&amp;number=1.69e-05&amp;sourceID=14","1.69e-05")</f>
        <v>1.69e-05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HYPERLINK("http://141.218.60.56/~jnz1568/getInfo.php?workbook=16_08.xlsx&amp;sheet=U0&amp;row=7992&amp;col=6&amp;number=3.8&amp;sourceID=14","3.8")</f>
        <v>3.8</v>
      </c>
      <c r="G7992" s="4" t="str">
        <f>HYPERLINK("http://141.218.60.56/~jnz1568/getInfo.php?workbook=16_08.xlsx&amp;sheet=U0&amp;row=7992&amp;col=7&amp;number=1.69e-05&amp;sourceID=14","1.69e-05")</f>
        <v>1.69e-05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HYPERLINK("http://141.218.60.56/~jnz1568/getInfo.php?workbook=16_08.xlsx&amp;sheet=U0&amp;row=7993&amp;col=6&amp;number=3.9&amp;sourceID=14","3.9")</f>
        <v>3.9</v>
      </c>
      <c r="G7993" s="4" t="str">
        <f>HYPERLINK("http://141.218.60.56/~jnz1568/getInfo.php?workbook=16_08.xlsx&amp;sheet=U0&amp;row=7993&amp;col=7&amp;number=1.69e-05&amp;sourceID=14","1.69e-05")</f>
        <v>1.69e-05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HYPERLINK("http://141.218.60.56/~jnz1568/getInfo.php?workbook=16_08.xlsx&amp;sheet=U0&amp;row=7994&amp;col=6&amp;number=4&amp;sourceID=14","4")</f>
        <v>4</v>
      </c>
      <c r="G7994" s="4" t="str">
        <f>HYPERLINK("http://141.218.60.56/~jnz1568/getInfo.php?workbook=16_08.xlsx&amp;sheet=U0&amp;row=7994&amp;col=7&amp;number=1.69e-05&amp;sourceID=14","1.69e-05")</f>
        <v>1.69e-05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HYPERLINK("http://141.218.60.56/~jnz1568/getInfo.php?workbook=16_08.xlsx&amp;sheet=U0&amp;row=7995&amp;col=6&amp;number=4.1&amp;sourceID=14","4.1")</f>
        <v>4.1</v>
      </c>
      <c r="G7995" s="4" t="str">
        <f>HYPERLINK("http://141.218.60.56/~jnz1568/getInfo.php?workbook=16_08.xlsx&amp;sheet=U0&amp;row=7995&amp;col=7&amp;number=1.68e-05&amp;sourceID=14","1.68e-05")</f>
        <v>1.68e-05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HYPERLINK("http://141.218.60.56/~jnz1568/getInfo.php?workbook=16_08.xlsx&amp;sheet=U0&amp;row=7996&amp;col=6&amp;number=4.2&amp;sourceID=14","4.2")</f>
        <v>4.2</v>
      </c>
      <c r="G7996" s="4" t="str">
        <f>HYPERLINK("http://141.218.60.56/~jnz1568/getInfo.php?workbook=16_08.xlsx&amp;sheet=U0&amp;row=7996&amp;col=7&amp;number=1.68e-05&amp;sourceID=14","1.68e-05")</f>
        <v>1.68e-05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HYPERLINK("http://141.218.60.56/~jnz1568/getInfo.php?workbook=16_08.xlsx&amp;sheet=U0&amp;row=7997&amp;col=6&amp;number=4.3&amp;sourceID=14","4.3")</f>
        <v>4.3</v>
      </c>
      <c r="G7997" s="4" t="str">
        <f>HYPERLINK("http://141.218.60.56/~jnz1568/getInfo.php?workbook=16_08.xlsx&amp;sheet=U0&amp;row=7997&amp;col=7&amp;number=1.68e-05&amp;sourceID=14","1.68e-05")</f>
        <v>1.68e-05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HYPERLINK("http://141.218.60.56/~jnz1568/getInfo.php?workbook=16_08.xlsx&amp;sheet=U0&amp;row=7998&amp;col=6&amp;number=4.4&amp;sourceID=14","4.4")</f>
        <v>4.4</v>
      </c>
      <c r="G7998" s="4" t="str">
        <f>HYPERLINK("http://141.218.60.56/~jnz1568/getInfo.php?workbook=16_08.xlsx&amp;sheet=U0&amp;row=7998&amp;col=7&amp;number=1.68e-05&amp;sourceID=14","1.68e-05")</f>
        <v>1.68e-05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HYPERLINK("http://141.218.60.56/~jnz1568/getInfo.php?workbook=16_08.xlsx&amp;sheet=U0&amp;row=7999&amp;col=6&amp;number=4.5&amp;sourceID=14","4.5")</f>
        <v>4.5</v>
      </c>
      <c r="G7999" s="4" t="str">
        <f>HYPERLINK("http://141.218.60.56/~jnz1568/getInfo.php?workbook=16_08.xlsx&amp;sheet=U0&amp;row=7999&amp;col=7&amp;number=1.68e-05&amp;sourceID=14","1.68e-05")</f>
        <v>1.68e-05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HYPERLINK("http://141.218.60.56/~jnz1568/getInfo.php?workbook=16_08.xlsx&amp;sheet=U0&amp;row=8000&amp;col=6&amp;number=4.6&amp;sourceID=14","4.6")</f>
        <v>4.6</v>
      </c>
      <c r="G8000" s="4" t="str">
        <f>HYPERLINK("http://141.218.60.56/~jnz1568/getInfo.php?workbook=16_08.xlsx&amp;sheet=U0&amp;row=8000&amp;col=7&amp;number=1.67e-05&amp;sourceID=14","1.67e-05")</f>
        <v>1.67e-05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HYPERLINK("http://141.218.60.56/~jnz1568/getInfo.php?workbook=16_08.xlsx&amp;sheet=U0&amp;row=8001&amp;col=6&amp;number=4.7&amp;sourceID=14","4.7")</f>
        <v>4.7</v>
      </c>
      <c r="G8001" s="4" t="str">
        <f>HYPERLINK("http://141.218.60.56/~jnz1568/getInfo.php?workbook=16_08.xlsx&amp;sheet=U0&amp;row=8001&amp;col=7&amp;number=1.67e-05&amp;sourceID=14","1.67e-05")</f>
        <v>1.67e-05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HYPERLINK("http://141.218.60.56/~jnz1568/getInfo.php?workbook=16_08.xlsx&amp;sheet=U0&amp;row=8002&amp;col=6&amp;number=4.8&amp;sourceID=14","4.8")</f>
        <v>4.8</v>
      </c>
      <c r="G8002" s="4" t="str">
        <f>HYPERLINK("http://141.218.60.56/~jnz1568/getInfo.php?workbook=16_08.xlsx&amp;sheet=U0&amp;row=8002&amp;col=7&amp;number=1.66e-05&amp;sourceID=14","1.66e-05")</f>
        <v>1.66e-05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HYPERLINK("http://141.218.60.56/~jnz1568/getInfo.php?workbook=16_08.xlsx&amp;sheet=U0&amp;row=8003&amp;col=6&amp;number=4.9&amp;sourceID=14","4.9")</f>
        <v>4.9</v>
      </c>
      <c r="G8003" s="4" t="str">
        <f>HYPERLINK("http://141.218.60.56/~jnz1568/getInfo.php?workbook=16_08.xlsx&amp;sheet=U0&amp;row=8003&amp;col=7&amp;number=1.66e-05&amp;sourceID=14","1.66e-05")</f>
        <v>1.66e-05</v>
      </c>
    </row>
    <row r="8004" spans="1:7">
      <c r="A8004" s="3">
        <v>16</v>
      </c>
      <c r="B8004" s="3">
        <v>8</v>
      </c>
      <c r="C8004" s="3">
        <v>5</v>
      </c>
      <c r="D8004" s="3">
        <v>72</v>
      </c>
      <c r="E8004" s="3">
        <v>1</v>
      </c>
      <c r="F8004" s="4" t="str">
        <f>HYPERLINK("http://141.218.60.56/~jnz1568/getInfo.php?workbook=16_08.xlsx&amp;sheet=U0&amp;row=8004&amp;col=6&amp;number=3&amp;sourceID=14","3")</f>
        <v>3</v>
      </c>
      <c r="G8004" s="4" t="str">
        <f>HYPERLINK("http://141.218.60.56/~jnz1568/getInfo.php?workbook=16_08.xlsx&amp;sheet=U0&amp;row=8004&amp;col=7&amp;number=0.00134&amp;sourceID=14","0.00134")</f>
        <v>0.00134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HYPERLINK("http://141.218.60.56/~jnz1568/getInfo.php?workbook=16_08.xlsx&amp;sheet=U0&amp;row=8005&amp;col=6&amp;number=3.1&amp;sourceID=14","3.1")</f>
        <v>3.1</v>
      </c>
      <c r="G8005" s="4" t="str">
        <f>HYPERLINK("http://141.218.60.56/~jnz1568/getInfo.php?workbook=16_08.xlsx&amp;sheet=U0&amp;row=8005&amp;col=7&amp;number=0.00134&amp;sourceID=14","0.00134")</f>
        <v>0.00134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HYPERLINK("http://141.218.60.56/~jnz1568/getInfo.php?workbook=16_08.xlsx&amp;sheet=U0&amp;row=8006&amp;col=6&amp;number=3.2&amp;sourceID=14","3.2")</f>
        <v>3.2</v>
      </c>
      <c r="G8006" s="4" t="str">
        <f>HYPERLINK("http://141.218.60.56/~jnz1568/getInfo.php?workbook=16_08.xlsx&amp;sheet=U0&amp;row=8006&amp;col=7&amp;number=0.00134&amp;sourceID=14","0.00134")</f>
        <v>0.00134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HYPERLINK("http://141.218.60.56/~jnz1568/getInfo.php?workbook=16_08.xlsx&amp;sheet=U0&amp;row=8007&amp;col=6&amp;number=3.3&amp;sourceID=14","3.3")</f>
        <v>3.3</v>
      </c>
      <c r="G8007" s="4" t="str">
        <f>HYPERLINK("http://141.218.60.56/~jnz1568/getInfo.php?workbook=16_08.xlsx&amp;sheet=U0&amp;row=8007&amp;col=7&amp;number=0.00134&amp;sourceID=14","0.00134")</f>
        <v>0.00134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HYPERLINK("http://141.218.60.56/~jnz1568/getInfo.php?workbook=16_08.xlsx&amp;sheet=U0&amp;row=8008&amp;col=6&amp;number=3.4&amp;sourceID=14","3.4")</f>
        <v>3.4</v>
      </c>
      <c r="G8008" s="4" t="str">
        <f>HYPERLINK("http://141.218.60.56/~jnz1568/getInfo.php?workbook=16_08.xlsx&amp;sheet=U0&amp;row=8008&amp;col=7&amp;number=0.00134&amp;sourceID=14","0.00134")</f>
        <v>0.00134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HYPERLINK("http://141.218.60.56/~jnz1568/getInfo.php?workbook=16_08.xlsx&amp;sheet=U0&amp;row=8009&amp;col=6&amp;number=3.5&amp;sourceID=14","3.5")</f>
        <v>3.5</v>
      </c>
      <c r="G8009" s="4" t="str">
        <f>HYPERLINK("http://141.218.60.56/~jnz1568/getInfo.php?workbook=16_08.xlsx&amp;sheet=U0&amp;row=8009&amp;col=7&amp;number=0.00134&amp;sourceID=14","0.00134")</f>
        <v>0.00134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HYPERLINK("http://141.218.60.56/~jnz1568/getInfo.php?workbook=16_08.xlsx&amp;sheet=U0&amp;row=8010&amp;col=6&amp;number=3.6&amp;sourceID=14","3.6")</f>
        <v>3.6</v>
      </c>
      <c r="G8010" s="4" t="str">
        <f>HYPERLINK("http://141.218.60.56/~jnz1568/getInfo.php?workbook=16_08.xlsx&amp;sheet=U0&amp;row=8010&amp;col=7&amp;number=0.00134&amp;sourceID=14","0.00134")</f>
        <v>0.00134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HYPERLINK("http://141.218.60.56/~jnz1568/getInfo.php?workbook=16_08.xlsx&amp;sheet=U0&amp;row=8011&amp;col=6&amp;number=3.7&amp;sourceID=14","3.7")</f>
        <v>3.7</v>
      </c>
      <c r="G8011" s="4" t="str">
        <f>HYPERLINK("http://141.218.60.56/~jnz1568/getInfo.php?workbook=16_08.xlsx&amp;sheet=U0&amp;row=8011&amp;col=7&amp;number=0.00134&amp;sourceID=14","0.00134")</f>
        <v>0.00134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HYPERLINK("http://141.218.60.56/~jnz1568/getInfo.php?workbook=16_08.xlsx&amp;sheet=U0&amp;row=8012&amp;col=6&amp;number=3.8&amp;sourceID=14","3.8")</f>
        <v>3.8</v>
      </c>
      <c r="G8012" s="4" t="str">
        <f>HYPERLINK("http://141.218.60.56/~jnz1568/getInfo.php?workbook=16_08.xlsx&amp;sheet=U0&amp;row=8012&amp;col=7&amp;number=0.00134&amp;sourceID=14","0.00134")</f>
        <v>0.00134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HYPERLINK("http://141.218.60.56/~jnz1568/getInfo.php?workbook=16_08.xlsx&amp;sheet=U0&amp;row=8013&amp;col=6&amp;number=3.9&amp;sourceID=14","3.9")</f>
        <v>3.9</v>
      </c>
      <c r="G8013" s="4" t="str">
        <f>HYPERLINK("http://141.218.60.56/~jnz1568/getInfo.php?workbook=16_08.xlsx&amp;sheet=U0&amp;row=8013&amp;col=7&amp;number=0.00134&amp;sourceID=14","0.00134")</f>
        <v>0.00134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HYPERLINK("http://141.218.60.56/~jnz1568/getInfo.php?workbook=16_08.xlsx&amp;sheet=U0&amp;row=8014&amp;col=6&amp;number=4&amp;sourceID=14","4")</f>
        <v>4</v>
      </c>
      <c r="G8014" s="4" t="str">
        <f>HYPERLINK("http://141.218.60.56/~jnz1568/getInfo.php?workbook=16_08.xlsx&amp;sheet=U0&amp;row=8014&amp;col=7&amp;number=0.00133&amp;sourceID=14","0.00133")</f>
        <v>0.00133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HYPERLINK("http://141.218.60.56/~jnz1568/getInfo.php?workbook=16_08.xlsx&amp;sheet=U0&amp;row=8015&amp;col=6&amp;number=4.1&amp;sourceID=14","4.1")</f>
        <v>4.1</v>
      </c>
      <c r="G8015" s="4" t="str">
        <f>HYPERLINK("http://141.218.60.56/~jnz1568/getInfo.php?workbook=16_08.xlsx&amp;sheet=U0&amp;row=8015&amp;col=7&amp;number=0.00133&amp;sourceID=14","0.00133")</f>
        <v>0.00133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HYPERLINK("http://141.218.60.56/~jnz1568/getInfo.php?workbook=16_08.xlsx&amp;sheet=U0&amp;row=8016&amp;col=6&amp;number=4.2&amp;sourceID=14","4.2")</f>
        <v>4.2</v>
      </c>
      <c r="G8016" s="4" t="str">
        <f>HYPERLINK("http://141.218.60.56/~jnz1568/getInfo.php?workbook=16_08.xlsx&amp;sheet=U0&amp;row=8016&amp;col=7&amp;number=0.00133&amp;sourceID=14","0.00133")</f>
        <v>0.00133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HYPERLINK("http://141.218.60.56/~jnz1568/getInfo.php?workbook=16_08.xlsx&amp;sheet=U0&amp;row=8017&amp;col=6&amp;number=4.3&amp;sourceID=14","4.3")</f>
        <v>4.3</v>
      </c>
      <c r="G8017" s="4" t="str">
        <f>HYPERLINK("http://141.218.60.56/~jnz1568/getInfo.php?workbook=16_08.xlsx&amp;sheet=U0&amp;row=8017&amp;col=7&amp;number=0.00133&amp;sourceID=14","0.00133")</f>
        <v>0.00133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HYPERLINK("http://141.218.60.56/~jnz1568/getInfo.php?workbook=16_08.xlsx&amp;sheet=U0&amp;row=8018&amp;col=6&amp;number=4.4&amp;sourceID=14","4.4")</f>
        <v>4.4</v>
      </c>
      <c r="G8018" s="4" t="str">
        <f>HYPERLINK("http://141.218.60.56/~jnz1568/getInfo.php?workbook=16_08.xlsx&amp;sheet=U0&amp;row=8018&amp;col=7&amp;number=0.00133&amp;sourceID=14","0.00133")</f>
        <v>0.00133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HYPERLINK("http://141.218.60.56/~jnz1568/getInfo.php?workbook=16_08.xlsx&amp;sheet=U0&amp;row=8019&amp;col=6&amp;number=4.5&amp;sourceID=14","4.5")</f>
        <v>4.5</v>
      </c>
      <c r="G8019" s="4" t="str">
        <f>HYPERLINK("http://141.218.60.56/~jnz1568/getInfo.php?workbook=16_08.xlsx&amp;sheet=U0&amp;row=8019&amp;col=7&amp;number=0.00133&amp;sourceID=14","0.00133")</f>
        <v>0.00133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HYPERLINK("http://141.218.60.56/~jnz1568/getInfo.php?workbook=16_08.xlsx&amp;sheet=U0&amp;row=8020&amp;col=6&amp;number=4.6&amp;sourceID=14","4.6")</f>
        <v>4.6</v>
      </c>
      <c r="G8020" s="4" t="str">
        <f>HYPERLINK("http://141.218.60.56/~jnz1568/getInfo.php?workbook=16_08.xlsx&amp;sheet=U0&amp;row=8020&amp;col=7&amp;number=0.00132&amp;sourceID=14","0.00132")</f>
        <v>0.00132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HYPERLINK("http://141.218.60.56/~jnz1568/getInfo.php?workbook=16_08.xlsx&amp;sheet=U0&amp;row=8021&amp;col=6&amp;number=4.7&amp;sourceID=14","4.7")</f>
        <v>4.7</v>
      </c>
      <c r="G8021" s="4" t="str">
        <f>HYPERLINK("http://141.218.60.56/~jnz1568/getInfo.php?workbook=16_08.xlsx&amp;sheet=U0&amp;row=8021&amp;col=7&amp;number=0.00132&amp;sourceID=14","0.00132")</f>
        <v>0.00132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HYPERLINK("http://141.218.60.56/~jnz1568/getInfo.php?workbook=16_08.xlsx&amp;sheet=U0&amp;row=8022&amp;col=6&amp;number=4.8&amp;sourceID=14","4.8")</f>
        <v>4.8</v>
      </c>
      <c r="G8022" s="4" t="str">
        <f>HYPERLINK("http://141.218.60.56/~jnz1568/getInfo.php?workbook=16_08.xlsx&amp;sheet=U0&amp;row=8022&amp;col=7&amp;number=0.00132&amp;sourceID=14","0.00132")</f>
        <v>0.00132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HYPERLINK("http://141.218.60.56/~jnz1568/getInfo.php?workbook=16_08.xlsx&amp;sheet=U0&amp;row=8023&amp;col=6&amp;number=4.9&amp;sourceID=14","4.9")</f>
        <v>4.9</v>
      </c>
      <c r="G8023" s="4" t="str">
        <f>HYPERLINK("http://141.218.60.56/~jnz1568/getInfo.php?workbook=16_08.xlsx&amp;sheet=U0&amp;row=8023&amp;col=7&amp;number=0.00131&amp;sourceID=14","0.00131")</f>
        <v>0.00131</v>
      </c>
    </row>
    <row r="8024" spans="1:7">
      <c r="A8024" s="3">
        <v>16</v>
      </c>
      <c r="B8024" s="3">
        <v>8</v>
      </c>
      <c r="C8024" s="3">
        <v>5</v>
      </c>
      <c r="D8024" s="3">
        <v>73</v>
      </c>
      <c r="E8024" s="3">
        <v>1</v>
      </c>
      <c r="F8024" s="4" t="str">
        <f>HYPERLINK("http://141.218.60.56/~jnz1568/getInfo.php?workbook=16_08.xlsx&amp;sheet=U0&amp;row=8024&amp;col=6&amp;number=3&amp;sourceID=14","3")</f>
        <v>3</v>
      </c>
      <c r="G8024" s="4" t="str">
        <f>HYPERLINK("http://141.218.60.56/~jnz1568/getInfo.php?workbook=16_08.xlsx&amp;sheet=U0&amp;row=8024&amp;col=7&amp;number=0.000137&amp;sourceID=14","0.000137")</f>
        <v>0.000137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HYPERLINK("http://141.218.60.56/~jnz1568/getInfo.php?workbook=16_08.xlsx&amp;sheet=U0&amp;row=8025&amp;col=6&amp;number=3.1&amp;sourceID=14","3.1")</f>
        <v>3.1</v>
      </c>
      <c r="G8025" s="4" t="str">
        <f>HYPERLINK("http://141.218.60.56/~jnz1568/getInfo.php?workbook=16_08.xlsx&amp;sheet=U0&amp;row=8025&amp;col=7&amp;number=0.000137&amp;sourceID=14","0.000137")</f>
        <v>0.000137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HYPERLINK("http://141.218.60.56/~jnz1568/getInfo.php?workbook=16_08.xlsx&amp;sheet=U0&amp;row=8026&amp;col=6&amp;number=3.2&amp;sourceID=14","3.2")</f>
        <v>3.2</v>
      </c>
      <c r="G8026" s="4" t="str">
        <f>HYPERLINK("http://141.218.60.56/~jnz1568/getInfo.php?workbook=16_08.xlsx&amp;sheet=U0&amp;row=8026&amp;col=7&amp;number=0.000137&amp;sourceID=14","0.000137")</f>
        <v>0.000137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HYPERLINK("http://141.218.60.56/~jnz1568/getInfo.php?workbook=16_08.xlsx&amp;sheet=U0&amp;row=8027&amp;col=6&amp;number=3.3&amp;sourceID=14","3.3")</f>
        <v>3.3</v>
      </c>
      <c r="G8027" s="4" t="str">
        <f>HYPERLINK("http://141.218.60.56/~jnz1568/getInfo.php?workbook=16_08.xlsx&amp;sheet=U0&amp;row=8027&amp;col=7&amp;number=0.000137&amp;sourceID=14","0.000137")</f>
        <v>0.000137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HYPERLINK("http://141.218.60.56/~jnz1568/getInfo.php?workbook=16_08.xlsx&amp;sheet=U0&amp;row=8028&amp;col=6&amp;number=3.4&amp;sourceID=14","3.4")</f>
        <v>3.4</v>
      </c>
      <c r="G8028" s="4" t="str">
        <f>HYPERLINK("http://141.218.60.56/~jnz1568/getInfo.php?workbook=16_08.xlsx&amp;sheet=U0&amp;row=8028&amp;col=7&amp;number=0.000137&amp;sourceID=14","0.000137")</f>
        <v>0.000137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HYPERLINK("http://141.218.60.56/~jnz1568/getInfo.php?workbook=16_08.xlsx&amp;sheet=U0&amp;row=8029&amp;col=6&amp;number=3.5&amp;sourceID=14","3.5")</f>
        <v>3.5</v>
      </c>
      <c r="G8029" s="4" t="str">
        <f>HYPERLINK("http://141.218.60.56/~jnz1568/getInfo.php?workbook=16_08.xlsx&amp;sheet=U0&amp;row=8029&amp;col=7&amp;number=0.000137&amp;sourceID=14","0.000137")</f>
        <v>0.000137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HYPERLINK("http://141.218.60.56/~jnz1568/getInfo.php?workbook=16_08.xlsx&amp;sheet=U0&amp;row=8030&amp;col=6&amp;number=3.6&amp;sourceID=14","3.6")</f>
        <v>3.6</v>
      </c>
      <c r="G8030" s="4" t="str">
        <f>HYPERLINK("http://141.218.60.56/~jnz1568/getInfo.php?workbook=16_08.xlsx&amp;sheet=U0&amp;row=8030&amp;col=7&amp;number=0.000137&amp;sourceID=14","0.000137")</f>
        <v>0.000137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HYPERLINK("http://141.218.60.56/~jnz1568/getInfo.php?workbook=16_08.xlsx&amp;sheet=U0&amp;row=8031&amp;col=6&amp;number=3.7&amp;sourceID=14","3.7")</f>
        <v>3.7</v>
      </c>
      <c r="G8031" s="4" t="str">
        <f>HYPERLINK("http://141.218.60.56/~jnz1568/getInfo.php?workbook=16_08.xlsx&amp;sheet=U0&amp;row=8031&amp;col=7&amp;number=0.000137&amp;sourceID=14","0.000137")</f>
        <v>0.000137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HYPERLINK("http://141.218.60.56/~jnz1568/getInfo.php?workbook=16_08.xlsx&amp;sheet=U0&amp;row=8032&amp;col=6&amp;number=3.8&amp;sourceID=14","3.8")</f>
        <v>3.8</v>
      </c>
      <c r="G8032" s="4" t="str">
        <f>HYPERLINK("http://141.218.60.56/~jnz1568/getInfo.php?workbook=16_08.xlsx&amp;sheet=U0&amp;row=8032&amp;col=7&amp;number=0.000137&amp;sourceID=14","0.000137")</f>
        <v>0.000137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HYPERLINK("http://141.218.60.56/~jnz1568/getInfo.php?workbook=16_08.xlsx&amp;sheet=U0&amp;row=8033&amp;col=6&amp;number=3.9&amp;sourceID=14","3.9")</f>
        <v>3.9</v>
      </c>
      <c r="G8033" s="4" t="str">
        <f>HYPERLINK("http://141.218.60.56/~jnz1568/getInfo.php?workbook=16_08.xlsx&amp;sheet=U0&amp;row=8033&amp;col=7&amp;number=0.000137&amp;sourceID=14","0.000137")</f>
        <v>0.000137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HYPERLINK("http://141.218.60.56/~jnz1568/getInfo.php?workbook=16_08.xlsx&amp;sheet=U0&amp;row=8034&amp;col=6&amp;number=4&amp;sourceID=14","4")</f>
        <v>4</v>
      </c>
      <c r="G8034" s="4" t="str">
        <f>HYPERLINK("http://141.218.60.56/~jnz1568/getInfo.php?workbook=16_08.xlsx&amp;sheet=U0&amp;row=8034&amp;col=7&amp;number=0.000137&amp;sourceID=14","0.000137")</f>
        <v>0.000137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HYPERLINK("http://141.218.60.56/~jnz1568/getInfo.php?workbook=16_08.xlsx&amp;sheet=U0&amp;row=8035&amp;col=6&amp;number=4.1&amp;sourceID=14","4.1")</f>
        <v>4.1</v>
      </c>
      <c r="G8035" s="4" t="str">
        <f>HYPERLINK("http://141.218.60.56/~jnz1568/getInfo.php?workbook=16_08.xlsx&amp;sheet=U0&amp;row=8035&amp;col=7&amp;number=0.000137&amp;sourceID=14","0.000137")</f>
        <v>0.000137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HYPERLINK("http://141.218.60.56/~jnz1568/getInfo.php?workbook=16_08.xlsx&amp;sheet=U0&amp;row=8036&amp;col=6&amp;number=4.2&amp;sourceID=14","4.2")</f>
        <v>4.2</v>
      </c>
      <c r="G8036" s="4" t="str">
        <f>HYPERLINK("http://141.218.60.56/~jnz1568/getInfo.php?workbook=16_08.xlsx&amp;sheet=U0&amp;row=8036&amp;col=7&amp;number=0.000137&amp;sourceID=14","0.000137")</f>
        <v>0.000137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HYPERLINK("http://141.218.60.56/~jnz1568/getInfo.php?workbook=16_08.xlsx&amp;sheet=U0&amp;row=8037&amp;col=6&amp;number=4.3&amp;sourceID=14","4.3")</f>
        <v>4.3</v>
      </c>
      <c r="G8037" s="4" t="str">
        <f>HYPERLINK("http://141.218.60.56/~jnz1568/getInfo.php?workbook=16_08.xlsx&amp;sheet=U0&amp;row=8037&amp;col=7&amp;number=0.000137&amp;sourceID=14","0.000137")</f>
        <v>0.000137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HYPERLINK("http://141.218.60.56/~jnz1568/getInfo.php?workbook=16_08.xlsx&amp;sheet=U0&amp;row=8038&amp;col=6&amp;number=4.4&amp;sourceID=14","4.4")</f>
        <v>4.4</v>
      </c>
      <c r="G8038" s="4" t="str">
        <f>HYPERLINK("http://141.218.60.56/~jnz1568/getInfo.php?workbook=16_08.xlsx&amp;sheet=U0&amp;row=8038&amp;col=7&amp;number=0.000137&amp;sourceID=14","0.000137")</f>
        <v>0.000137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HYPERLINK("http://141.218.60.56/~jnz1568/getInfo.php?workbook=16_08.xlsx&amp;sheet=U0&amp;row=8039&amp;col=6&amp;number=4.5&amp;sourceID=14","4.5")</f>
        <v>4.5</v>
      </c>
      <c r="G8039" s="4" t="str">
        <f>HYPERLINK("http://141.218.60.56/~jnz1568/getInfo.php?workbook=16_08.xlsx&amp;sheet=U0&amp;row=8039&amp;col=7&amp;number=0.000137&amp;sourceID=14","0.000137")</f>
        <v>0.000137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HYPERLINK("http://141.218.60.56/~jnz1568/getInfo.php?workbook=16_08.xlsx&amp;sheet=U0&amp;row=8040&amp;col=6&amp;number=4.6&amp;sourceID=14","4.6")</f>
        <v>4.6</v>
      </c>
      <c r="G8040" s="4" t="str">
        <f>HYPERLINK("http://141.218.60.56/~jnz1568/getInfo.php?workbook=16_08.xlsx&amp;sheet=U0&amp;row=8040&amp;col=7&amp;number=0.000136&amp;sourceID=14","0.000136")</f>
        <v>0.000136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HYPERLINK("http://141.218.60.56/~jnz1568/getInfo.php?workbook=16_08.xlsx&amp;sheet=U0&amp;row=8041&amp;col=6&amp;number=4.7&amp;sourceID=14","4.7")</f>
        <v>4.7</v>
      </c>
      <c r="G8041" s="4" t="str">
        <f>HYPERLINK("http://141.218.60.56/~jnz1568/getInfo.php?workbook=16_08.xlsx&amp;sheet=U0&amp;row=8041&amp;col=7&amp;number=0.000136&amp;sourceID=14","0.000136")</f>
        <v>0.000136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HYPERLINK("http://141.218.60.56/~jnz1568/getInfo.php?workbook=16_08.xlsx&amp;sheet=U0&amp;row=8042&amp;col=6&amp;number=4.8&amp;sourceID=14","4.8")</f>
        <v>4.8</v>
      </c>
      <c r="G8042" s="4" t="str">
        <f>HYPERLINK("http://141.218.60.56/~jnz1568/getInfo.php?workbook=16_08.xlsx&amp;sheet=U0&amp;row=8042&amp;col=7&amp;number=0.000136&amp;sourceID=14","0.000136")</f>
        <v>0.000136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HYPERLINK("http://141.218.60.56/~jnz1568/getInfo.php?workbook=16_08.xlsx&amp;sheet=U0&amp;row=8043&amp;col=6&amp;number=4.9&amp;sourceID=14","4.9")</f>
        <v>4.9</v>
      </c>
      <c r="G8043" s="4" t="str">
        <f>HYPERLINK("http://141.218.60.56/~jnz1568/getInfo.php?workbook=16_08.xlsx&amp;sheet=U0&amp;row=8043&amp;col=7&amp;number=0.000136&amp;sourceID=14","0.000136")</f>
        <v>0.000136</v>
      </c>
    </row>
    <row r="8044" spans="1:7">
      <c r="A8044" s="3">
        <v>16</v>
      </c>
      <c r="B8044" s="3">
        <v>8</v>
      </c>
      <c r="C8044" s="3">
        <v>5</v>
      </c>
      <c r="D8044" s="3">
        <v>74</v>
      </c>
      <c r="E8044" s="3">
        <v>1</v>
      </c>
      <c r="F8044" s="4" t="str">
        <f>HYPERLINK("http://141.218.60.56/~jnz1568/getInfo.php?workbook=16_08.xlsx&amp;sheet=U0&amp;row=8044&amp;col=6&amp;number=3&amp;sourceID=14","3")</f>
        <v>3</v>
      </c>
      <c r="G8044" s="4" t="str">
        <f>HYPERLINK("http://141.218.60.56/~jnz1568/getInfo.php?workbook=16_08.xlsx&amp;sheet=U0&amp;row=8044&amp;col=7&amp;number=0.00072&amp;sourceID=14","0.00072")</f>
        <v>0.00072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HYPERLINK("http://141.218.60.56/~jnz1568/getInfo.php?workbook=16_08.xlsx&amp;sheet=U0&amp;row=8045&amp;col=6&amp;number=3.1&amp;sourceID=14","3.1")</f>
        <v>3.1</v>
      </c>
      <c r="G8045" s="4" t="str">
        <f>HYPERLINK("http://141.218.60.56/~jnz1568/getInfo.php?workbook=16_08.xlsx&amp;sheet=U0&amp;row=8045&amp;col=7&amp;number=0.00072&amp;sourceID=14","0.00072")</f>
        <v>0.00072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HYPERLINK("http://141.218.60.56/~jnz1568/getInfo.php?workbook=16_08.xlsx&amp;sheet=U0&amp;row=8046&amp;col=6&amp;number=3.2&amp;sourceID=14","3.2")</f>
        <v>3.2</v>
      </c>
      <c r="G8046" s="4" t="str">
        <f>HYPERLINK("http://141.218.60.56/~jnz1568/getInfo.php?workbook=16_08.xlsx&amp;sheet=U0&amp;row=8046&amp;col=7&amp;number=0.00072&amp;sourceID=14","0.00072")</f>
        <v>0.00072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HYPERLINK("http://141.218.60.56/~jnz1568/getInfo.php?workbook=16_08.xlsx&amp;sheet=U0&amp;row=8047&amp;col=6&amp;number=3.3&amp;sourceID=14","3.3")</f>
        <v>3.3</v>
      </c>
      <c r="G8047" s="4" t="str">
        <f>HYPERLINK("http://141.218.60.56/~jnz1568/getInfo.php?workbook=16_08.xlsx&amp;sheet=U0&amp;row=8047&amp;col=7&amp;number=0.00072&amp;sourceID=14","0.00072")</f>
        <v>0.00072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HYPERLINK("http://141.218.60.56/~jnz1568/getInfo.php?workbook=16_08.xlsx&amp;sheet=U0&amp;row=8048&amp;col=6&amp;number=3.4&amp;sourceID=14","3.4")</f>
        <v>3.4</v>
      </c>
      <c r="G8048" s="4" t="str">
        <f>HYPERLINK("http://141.218.60.56/~jnz1568/getInfo.php?workbook=16_08.xlsx&amp;sheet=U0&amp;row=8048&amp;col=7&amp;number=0.00072&amp;sourceID=14","0.00072")</f>
        <v>0.00072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HYPERLINK("http://141.218.60.56/~jnz1568/getInfo.php?workbook=16_08.xlsx&amp;sheet=U0&amp;row=8049&amp;col=6&amp;number=3.5&amp;sourceID=14","3.5")</f>
        <v>3.5</v>
      </c>
      <c r="G8049" s="4" t="str">
        <f>HYPERLINK("http://141.218.60.56/~jnz1568/getInfo.php?workbook=16_08.xlsx&amp;sheet=U0&amp;row=8049&amp;col=7&amp;number=0.00072&amp;sourceID=14","0.00072")</f>
        <v>0.00072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HYPERLINK("http://141.218.60.56/~jnz1568/getInfo.php?workbook=16_08.xlsx&amp;sheet=U0&amp;row=8050&amp;col=6&amp;number=3.6&amp;sourceID=14","3.6")</f>
        <v>3.6</v>
      </c>
      <c r="G8050" s="4" t="str">
        <f>HYPERLINK("http://141.218.60.56/~jnz1568/getInfo.php?workbook=16_08.xlsx&amp;sheet=U0&amp;row=8050&amp;col=7&amp;number=0.00072&amp;sourceID=14","0.00072")</f>
        <v>0.00072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HYPERLINK("http://141.218.60.56/~jnz1568/getInfo.php?workbook=16_08.xlsx&amp;sheet=U0&amp;row=8051&amp;col=6&amp;number=3.7&amp;sourceID=14","3.7")</f>
        <v>3.7</v>
      </c>
      <c r="G8051" s="4" t="str">
        <f>HYPERLINK("http://141.218.60.56/~jnz1568/getInfo.php?workbook=16_08.xlsx&amp;sheet=U0&amp;row=8051&amp;col=7&amp;number=0.00072&amp;sourceID=14","0.00072")</f>
        <v>0.00072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HYPERLINK("http://141.218.60.56/~jnz1568/getInfo.php?workbook=16_08.xlsx&amp;sheet=U0&amp;row=8052&amp;col=6&amp;number=3.8&amp;sourceID=14","3.8")</f>
        <v>3.8</v>
      </c>
      <c r="G8052" s="4" t="str">
        <f>HYPERLINK("http://141.218.60.56/~jnz1568/getInfo.php?workbook=16_08.xlsx&amp;sheet=U0&amp;row=8052&amp;col=7&amp;number=0.00072&amp;sourceID=14","0.00072")</f>
        <v>0.00072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HYPERLINK("http://141.218.60.56/~jnz1568/getInfo.php?workbook=16_08.xlsx&amp;sheet=U0&amp;row=8053&amp;col=6&amp;number=3.9&amp;sourceID=14","3.9")</f>
        <v>3.9</v>
      </c>
      <c r="G8053" s="4" t="str">
        <f>HYPERLINK("http://141.218.60.56/~jnz1568/getInfo.php?workbook=16_08.xlsx&amp;sheet=U0&amp;row=8053&amp;col=7&amp;number=0.00072&amp;sourceID=14","0.00072")</f>
        <v>0.00072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HYPERLINK("http://141.218.60.56/~jnz1568/getInfo.php?workbook=16_08.xlsx&amp;sheet=U0&amp;row=8054&amp;col=6&amp;number=4&amp;sourceID=14","4")</f>
        <v>4</v>
      </c>
      <c r="G8054" s="4" t="str">
        <f>HYPERLINK("http://141.218.60.56/~jnz1568/getInfo.php?workbook=16_08.xlsx&amp;sheet=U0&amp;row=8054&amp;col=7&amp;number=0.00072&amp;sourceID=14","0.00072")</f>
        <v>0.00072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HYPERLINK("http://141.218.60.56/~jnz1568/getInfo.php?workbook=16_08.xlsx&amp;sheet=U0&amp;row=8055&amp;col=6&amp;number=4.1&amp;sourceID=14","4.1")</f>
        <v>4.1</v>
      </c>
      <c r="G8055" s="4" t="str">
        <f>HYPERLINK("http://141.218.60.56/~jnz1568/getInfo.php?workbook=16_08.xlsx&amp;sheet=U0&amp;row=8055&amp;col=7&amp;number=0.00072&amp;sourceID=14","0.00072")</f>
        <v>0.00072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HYPERLINK("http://141.218.60.56/~jnz1568/getInfo.php?workbook=16_08.xlsx&amp;sheet=U0&amp;row=8056&amp;col=6&amp;number=4.2&amp;sourceID=14","4.2")</f>
        <v>4.2</v>
      </c>
      <c r="G8056" s="4" t="str">
        <f>HYPERLINK("http://141.218.60.56/~jnz1568/getInfo.php?workbook=16_08.xlsx&amp;sheet=U0&amp;row=8056&amp;col=7&amp;number=0.000721&amp;sourceID=14","0.000721")</f>
        <v>0.000721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HYPERLINK("http://141.218.60.56/~jnz1568/getInfo.php?workbook=16_08.xlsx&amp;sheet=U0&amp;row=8057&amp;col=6&amp;number=4.3&amp;sourceID=14","4.3")</f>
        <v>4.3</v>
      </c>
      <c r="G8057" s="4" t="str">
        <f>HYPERLINK("http://141.218.60.56/~jnz1568/getInfo.php?workbook=16_08.xlsx&amp;sheet=U0&amp;row=8057&amp;col=7&amp;number=0.000721&amp;sourceID=14","0.000721")</f>
        <v>0.000721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HYPERLINK("http://141.218.60.56/~jnz1568/getInfo.php?workbook=16_08.xlsx&amp;sheet=U0&amp;row=8058&amp;col=6&amp;number=4.4&amp;sourceID=14","4.4")</f>
        <v>4.4</v>
      </c>
      <c r="G8058" s="4" t="str">
        <f>HYPERLINK("http://141.218.60.56/~jnz1568/getInfo.php?workbook=16_08.xlsx&amp;sheet=U0&amp;row=8058&amp;col=7&amp;number=0.000721&amp;sourceID=14","0.000721")</f>
        <v>0.000721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HYPERLINK("http://141.218.60.56/~jnz1568/getInfo.php?workbook=16_08.xlsx&amp;sheet=U0&amp;row=8059&amp;col=6&amp;number=4.5&amp;sourceID=14","4.5")</f>
        <v>4.5</v>
      </c>
      <c r="G8059" s="4" t="str">
        <f>HYPERLINK("http://141.218.60.56/~jnz1568/getInfo.php?workbook=16_08.xlsx&amp;sheet=U0&amp;row=8059&amp;col=7&amp;number=0.000721&amp;sourceID=14","0.000721")</f>
        <v>0.000721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HYPERLINK("http://141.218.60.56/~jnz1568/getInfo.php?workbook=16_08.xlsx&amp;sheet=U0&amp;row=8060&amp;col=6&amp;number=4.6&amp;sourceID=14","4.6")</f>
        <v>4.6</v>
      </c>
      <c r="G8060" s="4" t="str">
        <f>HYPERLINK("http://141.218.60.56/~jnz1568/getInfo.php?workbook=16_08.xlsx&amp;sheet=U0&amp;row=8060&amp;col=7&amp;number=0.000721&amp;sourceID=14","0.000721")</f>
        <v>0.000721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HYPERLINK("http://141.218.60.56/~jnz1568/getInfo.php?workbook=16_08.xlsx&amp;sheet=U0&amp;row=8061&amp;col=6&amp;number=4.7&amp;sourceID=14","4.7")</f>
        <v>4.7</v>
      </c>
      <c r="G8061" s="4" t="str">
        <f>HYPERLINK("http://141.218.60.56/~jnz1568/getInfo.php?workbook=16_08.xlsx&amp;sheet=U0&amp;row=8061&amp;col=7&amp;number=0.000722&amp;sourceID=14","0.000722")</f>
        <v>0.000722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HYPERLINK("http://141.218.60.56/~jnz1568/getInfo.php?workbook=16_08.xlsx&amp;sheet=U0&amp;row=8062&amp;col=6&amp;number=4.8&amp;sourceID=14","4.8")</f>
        <v>4.8</v>
      </c>
      <c r="G8062" s="4" t="str">
        <f>HYPERLINK("http://141.218.60.56/~jnz1568/getInfo.php?workbook=16_08.xlsx&amp;sheet=U0&amp;row=8062&amp;col=7&amp;number=0.000722&amp;sourceID=14","0.000722")</f>
        <v>0.000722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HYPERLINK("http://141.218.60.56/~jnz1568/getInfo.php?workbook=16_08.xlsx&amp;sheet=U0&amp;row=8063&amp;col=6&amp;number=4.9&amp;sourceID=14","4.9")</f>
        <v>4.9</v>
      </c>
      <c r="G8063" s="4" t="str">
        <f>HYPERLINK("http://141.218.60.56/~jnz1568/getInfo.php?workbook=16_08.xlsx&amp;sheet=U0&amp;row=8063&amp;col=7&amp;number=0.000723&amp;sourceID=14","0.000723")</f>
        <v>0.000723</v>
      </c>
    </row>
    <row r="8064" spans="1:7">
      <c r="A8064" s="3">
        <v>16</v>
      </c>
      <c r="B8064" s="3">
        <v>8</v>
      </c>
      <c r="C8064" s="3">
        <v>5</v>
      </c>
      <c r="D8064" s="3">
        <v>75</v>
      </c>
      <c r="E8064" s="3">
        <v>1</v>
      </c>
      <c r="F8064" s="4" t="str">
        <f>HYPERLINK("http://141.218.60.56/~jnz1568/getInfo.php?workbook=16_08.xlsx&amp;sheet=U0&amp;row=8064&amp;col=6&amp;number=3&amp;sourceID=14","3")</f>
        <v>3</v>
      </c>
      <c r="G8064" s="4" t="str">
        <f>HYPERLINK("http://141.218.60.56/~jnz1568/getInfo.php?workbook=16_08.xlsx&amp;sheet=U0&amp;row=8064&amp;col=7&amp;number=0.0211&amp;sourceID=14","0.0211")</f>
        <v>0.0211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HYPERLINK("http://141.218.60.56/~jnz1568/getInfo.php?workbook=16_08.xlsx&amp;sheet=U0&amp;row=8065&amp;col=6&amp;number=3.1&amp;sourceID=14","3.1")</f>
        <v>3.1</v>
      </c>
      <c r="G8065" s="4" t="str">
        <f>HYPERLINK("http://141.218.60.56/~jnz1568/getInfo.php?workbook=16_08.xlsx&amp;sheet=U0&amp;row=8065&amp;col=7&amp;number=0.0211&amp;sourceID=14","0.0211")</f>
        <v>0.0211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HYPERLINK("http://141.218.60.56/~jnz1568/getInfo.php?workbook=16_08.xlsx&amp;sheet=U0&amp;row=8066&amp;col=6&amp;number=3.2&amp;sourceID=14","3.2")</f>
        <v>3.2</v>
      </c>
      <c r="G8066" s="4" t="str">
        <f>HYPERLINK("http://141.218.60.56/~jnz1568/getInfo.php?workbook=16_08.xlsx&amp;sheet=U0&amp;row=8066&amp;col=7&amp;number=0.0211&amp;sourceID=14","0.0211")</f>
        <v>0.0211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HYPERLINK("http://141.218.60.56/~jnz1568/getInfo.php?workbook=16_08.xlsx&amp;sheet=U0&amp;row=8067&amp;col=6&amp;number=3.3&amp;sourceID=14","3.3")</f>
        <v>3.3</v>
      </c>
      <c r="G8067" s="4" t="str">
        <f>HYPERLINK("http://141.218.60.56/~jnz1568/getInfo.php?workbook=16_08.xlsx&amp;sheet=U0&amp;row=8067&amp;col=7&amp;number=0.0211&amp;sourceID=14","0.0211")</f>
        <v>0.0211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HYPERLINK("http://141.218.60.56/~jnz1568/getInfo.php?workbook=16_08.xlsx&amp;sheet=U0&amp;row=8068&amp;col=6&amp;number=3.4&amp;sourceID=14","3.4")</f>
        <v>3.4</v>
      </c>
      <c r="G8068" s="4" t="str">
        <f>HYPERLINK("http://141.218.60.56/~jnz1568/getInfo.php?workbook=16_08.xlsx&amp;sheet=U0&amp;row=8068&amp;col=7&amp;number=0.0211&amp;sourceID=14","0.0211")</f>
        <v>0.0211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HYPERLINK("http://141.218.60.56/~jnz1568/getInfo.php?workbook=16_08.xlsx&amp;sheet=U0&amp;row=8069&amp;col=6&amp;number=3.5&amp;sourceID=14","3.5")</f>
        <v>3.5</v>
      </c>
      <c r="G8069" s="4" t="str">
        <f>HYPERLINK("http://141.218.60.56/~jnz1568/getInfo.php?workbook=16_08.xlsx&amp;sheet=U0&amp;row=8069&amp;col=7&amp;number=0.021&amp;sourceID=14","0.021")</f>
        <v>0.021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HYPERLINK("http://141.218.60.56/~jnz1568/getInfo.php?workbook=16_08.xlsx&amp;sheet=U0&amp;row=8070&amp;col=6&amp;number=3.6&amp;sourceID=14","3.6")</f>
        <v>3.6</v>
      </c>
      <c r="G8070" s="4" t="str">
        <f>HYPERLINK("http://141.218.60.56/~jnz1568/getInfo.php?workbook=16_08.xlsx&amp;sheet=U0&amp;row=8070&amp;col=7&amp;number=0.021&amp;sourceID=14","0.021")</f>
        <v>0.021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HYPERLINK("http://141.218.60.56/~jnz1568/getInfo.php?workbook=16_08.xlsx&amp;sheet=U0&amp;row=8071&amp;col=6&amp;number=3.7&amp;sourceID=14","3.7")</f>
        <v>3.7</v>
      </c>
      <c r="G8071" s="4" t="str">
        <f>HYPERLINK("http://141.218.60.56/~jnz1568/getInfo.php?workbook=16_08.xlsx&amp;sheet=U0&amp;row=8071&amp;col=7&amp;number=0.021&amp;sourceID=14","0.021")</f>
        <v>0.021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HYPERLINK("http://141.218.60.56/~jnz1568/getInfo.php?workbook=16_08.xlsx&amp;sheet=U0&amp;row=8072&amp;col=6&amp;number=3.8&amp;sourceID=14","3.8")</f>
        <v>3.8</v>
      </c>
      <c r="G8072" s="4" t="str">
        <f>HYPERLINK("http://141.218.60.56/~jnz1568/getInfo.php?workbook=16_08.xlsx&amp;sheet=U0&amp;row=8072&amp;col=7&amp;number=0.021&amp;sourceID=14","0.021")</f>
        <v>0.021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HYPERLINK("http://141.218.60.56/~jnz1568/getInfo.php?workbook=16_08.xlsx&amp;sheet=U0&amp;row=8073&amp;col=6&amp;number=3.9&amp;sourceID=14","3.9")</f>
        <v>3.9</v>
      </c>
      <c r="G8073" s="4" t="str">
        <f>HYPERLINK("http://141.218.60.56/~jnz1568/getInfo.php?workbook=16_08.xlsx&amp;sheet=U0&amp;row=8073&amp;col=7&amp;number=0.021&amp;sourceID=14","0.021")</f>
        <v>0.021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HYPERLINK("http://141.218.60.56/~jnz1568/getInfo.php?workbook=16_08.xlsx&amp;sheet=U0&amp;row=8074&amp;col=6&amp;number=4&amp;sourceID=14","4")</f>
        <v>4</v>
      </c>
      <c r="G8074" s="4" t="str">
        <f>HYPERLINK("http://141.218.60.56/~jnz1568/getInfo.php?workbook=16_08.xlsx&amp;sheet=U0&amp;row=8074&amp;col=7&amp;number=0.021&amp;sourceID=14","0.021")</f>
        <v>0.021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HYPERLINK("http://141.218.60.56/~jnz1568/getInfo.php?workbook=16_08.xlsx&amp;sheet=U0&amp;row=8075&amp;col=6&amp;number=4.1&amp;sourceID=14","4.1")</f>
        <v>4.1</v>
      </c>
      <c r="G8075" s="4" t="str">
        <f>HYPERLINK("http://141.218.60.56/~jnz1568/getInfo.php?workbook=16_08.xlsx&amp;sheet=U0&amp;row=8075&amp;col=7&amp;number=0.0209&amp;sourceID=14","0.0209")</f>
        <v>0.0209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HYPERLINK("http://141.218.60.56/~jnz1568/getInfo.php?workbook=16_08.xlsx&amp;sheet=U0&amp;row=8076&amp;col=6&amp;number=4.2&amp;sourceID=14","4.2")</f>
        <v>4.2</v>
      </c>
      <c r="G8076" s="4" t="str">
        <f>HYPERLINK("http://141.218.60.56/~jnz1568/getInfo.php?workbook=16_08.xlsx&amp;sheet=U0&amp;row=8076&amp;col=7&amp;number=0.0209&amp;sourceID=14","0.0209")</f>
        <v>0.0209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HYPERLINK("http://141.218.60.56/~jnz1568/getInfo.php?workbook=16_08.xlsx&amp;sheet=U0&amp;row=8077&amp;col=6&amp;number=4.3&amp;sourceID=14","4.3")</f>
        <v>4.3</v>
      </c>
      <c r="G8077" s="4" t="str">
        <f>HYPERLINK("http://141.218.60.56/~jnz1568/getInfo.php?workbook=16_08.xlsx&amp;sheet=U0&amp;row=8077&amp;col=7&amp;number=0.0209&amp;sourceID=14","0.0209")</f>
        <v>0.0209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HYPERLINK("http://141.218.60.56/~jnz1568/getInfo.php?workbook=16_08.xlsx&amp;sheet=U0&amp;row=8078&amp;col=6&amp;number=4.4&amp;sourceID=14","4.4")</f>
        <v>4.4</v>
      </c>
      <c r="G8078" s="4" t="str">
        <f>HYPERLINK("http://141.218.60.56/~jnz1568/getInfo.php?workbook=16_08.xlsx&amp;sheet=U0&amp;row=8078&amp;col=7&amp;number=0.0208&amp;sourceID=14","0.0208")</f>
        <v>0.0208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HYPERLINK("http://141.218.60.56/~jnz1568/getInfo.php?workbook=16_08.xlsx&amp;sheet=U0&amp;row=8079&amp;col=6&amp;number=4.5&amp;sourceID=14","4.5")</f>
        <v>4.5</v>
      </c>
      <c r="G8079" s="4" t="str">
        <f>HYPERLINK("http://141.218.60.56/~jnz1568/getInfo.php?workbook=16_08.xlsx&amp;sheet=U0&amp;row=8079&amp;col=7&amp;number=0.0207&amp;sourceID=14","0.0207")</f>
        <v>0.0207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HYPERLINK("http://141.218.60.56/~jnz1568/getInfo.php?workbook=16_08.xlsx&amp;sheet=U0&amp;row=8080&amp;col=6&amp;number=4.6&amp;sourceID=14","4.6")</f>
        <v>4.6</v>
      </c>
      <c r="G8080" s="4" t="str">
        <f>HYPERLINK("http://141.218.60.56/~jnz1568/getInfo.php?workbook=16_08.xlsx&amp;sheet=U0&amp;row=8080&amp;col=7&amp;number=0.0207&amp;sourceID=14","0.0207")</f>
        <v>0.0207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HYPERLINK("http://141.218.60.56/~jnz1568/getInfo.php?workbook=16_08.xlsx&amp;sheet=U0&amp;row=8081&amp;col=6&amp;number=4.7&amp;sourceID=14","4.7")</f>
        <v>4.7</v>
      </c>
      <c r="G8081" s="4" t="str">
        <f>HYPERLINK("http://141.218.60.56/~jnz1568/getInfo.php?workbook=16_08.xlsx&amp;sheet=U0&amp;row=8081&amp;col=7&amp;number=0.0206&amp;sourceID=14","0.0206")</f>
        <v>0.0206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HYPERLINK("http://141.218.60.56/~jnz1568/getInfo.php?workbook=16_08.xlsx&amp;sheet=U0&amp;row=8082&amp;col=6&amp;number=4.8&amp;sourceID=14","4.8")</f>
        <v>4.8</v>
      </c>
      <c r="G8082" s="4" t="str">
        <f>HYPERLINK("http://141.218.60.56/~jnz1568/getInfo.php?workbook=16_08.xlsx&amp;sheet=U0&amp;row=8082&amp;col=7&amp;number=0.0204&amp;sourceID=14","0.0204")</f>
        <v>0.0204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HYPERLINK("http://141.218.60.56/~jnz1568/getInfo.php?workbook=16_08.xlsx&amp;sheet=U0&amp;row=8083&amp;col=6&amp;number=4.9&amp;sourceID=14","4.9")</f>
        <v>4.9</v>
      </c>
      <c r="G8083" s="4" t="str">
        <f>HYPERLINK("http://141.218.60.56/~jnz1568/getInfo.php?workbook=16_08.xlsx&amp;sheet=U0&amp;row=8083&amp;col=7&amp;number=0.0203&amp;sourceID=14","0.0203")</f>
        <v>0.0203</v>
      </c>
    </row>
    <row r="8084" spans="1:7">
      <c r="A8084" s="3">
        <v>16</v>
      </c>
      <c r="B8084" s="3">
        <v>8</v>
      </c>
      <c r="C8084" s="3">
        <v>5</v>
      </c>
      <c r="D8084" s="3">
        <v>76</v>
      </c>
      <c r="E8084" s="3">
        <v>1</v>
      </c>
      <c r="F8084" s="4" t="str">
        <f>HYPERLINK("http://141.218.60.56/~jnz1568/getInfo.php?workbook=16_08.xlsx&amp;sheet=U0&amp;row=8084&amp;col=6&amp;number=3&amp;sourceID=14","3")</f>
        <v>3</v>
      </c>
      <c r="G8084" s="4" t="str">
        <f>HYPERLINK("http://141.218.60.56/~jnz1568/getInfo.php?workbook=16_08.xlsx&amp;sheet=U0&amp;row=8084&amp;col=7&amp;number=0.0106&amp;sourceID=14","0.0106")</f>
        <v>0.0106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HYPERLINK("http://141.218.60.56/~jnz1568/getInfo.php?workbook=16_08.xlsx&amp;sheet=U0&amp;row=8085&amp;col=6&amp;number=3.1&amp;sourceID=14","3.1")</f>
        <v>3.1</v>
      </c>
      <c r="G8085" s="4" t="str">
        <f>HYPERLINK("http://141.218.60.56/~jnz1568/getInfo.php?workbook=16_08.xlsx&amp;sheet=U0&amp;row=8085&amp;col=7&amp;number=0.0106&amp;sourceID=14","0.0106")</f>
        <v>0.0106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HYPERLINK("http://141.218.60.56/~jnz1568/getInfo.php?workbook=16_08.xlsx&amp;sheet=U0&amp;row=8086&amp;col=6&amp;number=3.2&amp;sourceID=14","3.2")</f>
        <v>3.2</v>
      </c>
      <c r="G8086" s="4" t="str">
        <f>HYPERLINK("http://141.218.60.56/~jnz1568/getInfo.php?workbook=16_08.xlsx&amp;sheet=U0&amp;row=8086&amp;col=7&amp;number=0.0106&amp;sourceID=14","0.0106")</f>
        <v>0.0106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HYPERLINK("http://141.218.60.56/~jnz1568/getInfo.php?workbook=16_08.xlsx&amp;sheet=U0&amp;row=8087&amp;col=6&amp;number=3.3&amp;sourceID=14","3.3")</f>
        <v>3.3</v>
      </c>
      <c r="G8087" s="4" t="str">
        <f>HYPERLINK("http://141.218.60.56/~jnz1568/getInfo.php?workbook=16_08.xlsx&amp;sheet=U0&amp;row=8087&amp;col=7&amp;number=0.0106&amp;sourceID=14","0.0106")</f>
        <v>0.0106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HYPERLINK("http://141.218.60.56/~jnz1568/getInfo.php?workbook=16_08.xlsx&amp;sheet=U0&amp;row=8088&amp;col=6&amp;number=3.4&amp;sourceID=14","3.4")</f>
        <v>3.4</v>
      </c>
      <c r="G8088" s="4" t="str">
        <f>HYPERLINK("http://141.218.60.56/~jnz1568/getInfo.php?workbook=16_08.xlsx&amp;sheet=U0&amp;row=8088&amp;col=7&amp;number=0.0106&amp;sourceID=14","0.0106")</f>
        <v>0.0106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HYPERLINK("http://141.218.60.56/~jnz1568/getInfo.php?workbook=16_08.xlsx&amp;sheet=U0&amp;row=8089&amp;col=6&amp;number=3.5&amp;sourceID=14","3.5")</f>
        <v>3.5</v>
      </c>
      <c r="G8089" s="4" t="str">
        <f>HYPERLINK("http://141.218.60.56/~jnz1568/getInfo.php?workbook=16_08.xlsx&amp;sheet=U0&amp;row=8089&amp;col=7&amp;number=0.0106&amp;sourceID=14","0.0106")</f>
        <v>0.0106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HYPERLINK("http://141.218.60.56/~jnz1568/getInfo.php?workbook=16_08.xlsx&amp;sheet=U0&amp;row=8090&amp;col=6&amp;number=3.6&amp;sourceID=14","3.6")</f>
        <v>3.6</v>
      </c>
      <c r="G8090" s="4" t="str">
        <f>HYPERLINK("http://141.218.60.56/~jnz1568/getInfo.php?workbook=16_08.xlsx&amp;sheet=U0&amp;row=8090&amp;col=7&amp;number=0.0106&amp;sourceID=14","0.0106")</f>
        <v>0.0106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HYPERLINK("http://141.218.60.56/~jnz1568/getInfo.php?workbook=16_08.xlsx&amp;sheet=U0&amp;row=8091&amp;col=6&amp;number=3.7&amp;sourceID=14","3.7")</f>
        <v>3.7</v>
      </c>
      <c r="G8091" s="4" t="str">
        <f>HYPERLINK("http://141.218.60.56/~jnz1568/getInfo.php?workbook=16_08.xlsx&amp;sheet=U0&amp;row=8091&amp;col=7&amp;number=0.0106&amp;sourceID=14","0.0106")</f>
        <v>0.0106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HYPERLINK("http://141.218.60.56/~jnz1568/getInfo.php?workbook=16_08.xlsx&amp;sheet=U0&amp;row=8092&amp;col=6&amp;number=3.8&amp;sourceID=14","3.8")</f>
        <v>3.8</v>
      </c>
      <c r="G8092" s="4" t="str">
        <f>HYPERLINK("http://141.218.60.56/~jnz1568/getInfo.php?workbook=16_08.xlsx&amp;sheet=U0&amp;row=8092&amp;col=7&amp;number=0.0106&amp;sourceID=14","0.0106")</f>
        <v>0.0106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HYPERLINK("http://141.218.60.56/~jnz1568/getInfo.php?workbook=16_08.xlsx&amp;sheet=U0&amp;row=8093&amp;col=6&amp;number=3.9&amp;sourceID=14","3.9")</f>
        <v>3.9</v>
      </c>
      <c r="G8093" s="4" t="str">
        <f>HYPERLINK("http://141.218.60.56/~jnz1568/getInfo.php?workbook=16_08.xlsx&amp;sheet=U0&amp;row=8093&amp;col=7&amp;number=0.0106&amp;sourceID=14","0.0106")</f>
        <v>0.0106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HYPERLINK("http://141.218.60.56/~jnz1568/getInfo.php?workbook=16_08.xlsx&amp;sheet=U0&amp;row=8094&amp;col=6&amp;number=4&amp;sourceID=14","4")</f>
        <v>4</v>
      </c>
      <c r="G8094" s="4" t="str">
        <f>HYPERLINK("http://141.218.60.56/~jnz1568/getInfo.php?workbook=16_08.xlsx&amp;sheet=U0&amp;row=8094&amp;col=7&amp;number=0.0106&amp;sourceID=14","0.0106")</f>
        <v>0.0106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HYPERLINK("http://141.218.60.56/~jnz1568/getInfo.php?workbook=16_08.xlsx&amp;sheet=U0&amp;row=8095&amp;col=6&amp;number=4.1&amp;sourceID=14","4.1")</f>
        <v>4.1</v>
      </c>
      <c r="G8095" s="4" t="str">
        <f>HYPERLINK("http://141.218.60.56/~jnz1568/getInfo.php?workbook=16_08.xlsx&amp;sheet=U0&amp;row=8095&amp;col=7&amp;number=0.0105&amp;sourceID=14","0.0105")</f>
        <v>0.0105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HYPERLINK("http://141.218.60.56/~jnz1568/getInfo.php?workbook=16_08.xlsx&amp;sheet=U0&amp;row=8096&amp;col=6&amp;number=4.2&amp;sourceID=14","4.2")</f>
        <v>4.2</v>
      </c>
      <c r="G8096" s="4" t="str">
        <f>HYPERLINK("http://141.218.60.56/~jnz1568/getInfo.php?workbook=16_08.xlsx&amp;sheet=U0&amp;row=8096&amp;col=7&amp;number=0.0105&amp;sourceID=14","0.0105")</f>
        <v>0.0105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HYPERLINK("http://141.218.60.56/~jnz1568/getInfo.php?workbook=16_08.xlsx&amp;sheet=U0&amp;row=8097&amp;col=6&amp;number=4.3&amp;sourceID=14","4.3")</f>
        <v>4.3</v>
      </c>
      <c r="G8097" s="4" t="str">
        <f>HYPERLINK("http://141.218.60.56/~jnz1568/getInfo.php?workbook=16_08.xlsx&amp;sheet=U0&amp;row=8097&amp;col=7&amp;number=0.0105&amp;sourceID=14","0.0105")</f>
        <v>0.0105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HYPERLINK("http://141.218.60.56/~jnz1568/getInfo.php?workbook=16_08.xlsx&amp;sheet=U0&amp;row=8098&amp;col=6&amp;number=4.4&amp;sourceID=14","4.4")</f>
        <v>4.4</v>
      </c>
      <c r="G8098" s="4" t="str">
        <f>HYPERLINK("http://141.218.60.56/~jnz1568/getInfo.php?workbook=16_08.xlsx&amp;sheet=U0&amp;row=8098&amp;col=7&amp;number=0.0105&amp;sourceID=14","0.0105")</f>
        <v>0.0105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HYPERLINK("http://141.218.60.56/~jnz1568/getInfo.php?workbook=16_08.xlsx&amp;sheet=U0&amp;row=8099&amp;col=6&amp;number=4.5&amp;sourceID=14","4.5")</f>
        <v>4.5</v>
      </c>
      <c r="G8099" s="4" t="str">
        <f>HYPERLINK("http://141.218.60.56/~jnz1568/getInfo.php?workbook=16_08.xlsx&amp;sheet=U0&amp;row=8099&amp;col=7&amp;number=0.0105&amp;sourceID=14","0.0105")</f>
        <v>0.0105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HYPERLINK("http://141.218.60.56/~jnz1568/getInfo.php?workbook=16_08.xlsx&amp;sheet=U0&amp;row=8100&amp;col=6&amp;number=4.6&amp;sourceID=14","4.6")</f>
        <v>4.6</v>
      </c>
      <c r="G8100" s="4" t="str">
        <f>HYPERLINK("http://141.218.60.56/~jnz1568/getInfo.php?workbook=16_08.xlsx&amp;sheet=U0&amp;row=8100&amp;col=7&amp;number=0.0105&amp;sourceID=14","0.0105")</f>
        <v>0.0105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HYPERLINK("http://141.218.60.56/~jnz1568/getInfo.php?workbook=16_08.xlsx&amp;sheet=U0&amp;row=8101&amp;col=6&amp;number=4.7&amp;sourceID=14","4.7")</f>
        <v>4.7</v>
      </c>
      <c r="G8101" s="4" t="str">
        <f>HYPERLINK("http://141.218.60.56/~jnz1568/getInfo.php?workbook=16_08.xlsx&amp;sheet=U0&amp;row=8101&amp;col=7&amp;number=0.0104&amp;sourceID=14","0.0104")</f>
        <v>0.0104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HYPERLINK("http://141.218.60.56/~jnz1568/getInfo.php?workbook=16_08.xlsx&amp;sheet=U0&amp;row=8102&amp;col=6&amp;number=4.8&amp;sourceID=14","4.8")</f>
        <v>4.8</v>
      </c>
      <c r="G8102" s="4" t="str">
        <f>HYPERLINK("http://141.218.60.56/~jnz1568/getInfo.php?workbook=16_08.xlsx&amp;sheet=U0&amp;row=8102&amp;col=7&amp;number=0.0104&amp;sourceID=14","0.0104")</f>
        <v>0.0104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HYPERLINK("http://141.218.60.56/~jnz1568/getInfo.php?workbook=16_08.xlsx&amp;sheet=U0&amp;row=8103&amp;col=6&amp;number=4.9&amp;sourceID=14","4.9")</f>
        <v>4.9</v>
      </c>
      <c r="G8103" s="4" t="str">
        <f>HYPERLINK("http://141.218.60.56/~jnz1568/getInfo.php?workbook=16_08.xlsx&amp;sheet=U0&amp;row=8103&amp;col=7&amp;number=0.0104&amp;sourceID=14","0.0104")</f>
        <v>0.0104</v>
      </c>
    </row>
    <row r="8104" spans="1:7">
      <c r="A8104" s="3">
        <v>16</v>
      </c>
      <c r="B8104" s="3">
        <v>8</v>
      </c>
      <c r="C8104" s="3">
        <v>5</v>
      </c>
      <c r="D8104" s="3">
        <v>77</v>
      </c>
      <c r="E8104" s="3">
        <v>1</v>
      </c>
      <c r="F8104" s="4" t="str">
        <f>HYPERLINK("http://141.218.60.56/~jnz1568/getInfo.php?workbook=16_08.xlsx&amp;sheet=U0&amp;row=8104&amp;col=6&amp;number=3&amp;sourceID=14","3")</f>
        <v>3</v>
      </c>
      <c r="G8104" s="4" t="str">
        <f>HYPERLINK("http://141.218.60.56/~jnz1568/getInfo.php?workbook=16_08.xlsx&amp;sheet=U0&amp;row=8104&amp;col=7&amp;number=0.00969&amp;sourceID=14","0.00969")</f>
        <v>0.00969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HYPERLINK("http://141.218.60.56/~jnz1568/getInfo.php?workbook=16_08.xlsx&amp;sheet=U0&amp;row=8105&amp;col=6&amp;number=3.1&amp;sourceID=14","3.1")</f>
        <v>3.1</v>
      </c>
      <c r="G8105" s="4" t="str">
        <f>HYPERLINK("http://141.218.60.56/~jnz1568/getInfo.php?workbook=16_08.xlsx&amp;sheet=U0&amp;row=8105&amp;col=7&amp;number=0.00969&amp;sourceID=14","0.00969")</f>
        <v>0.00969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HYPERLINK("http://141.218.60.56/~jnz1568/getInfo.php?workbook=16_08.xlsx&amp;sheet=U0&amp;row=8106&amp;col=6&amp;number=3.2&amp;sourceID=14","3.2")</f>
        <v>3.2</v>
      </c>
      <c r="G8106" s="4" t="str">
        <f>HYPERLINK("http://141.218.60.56/~jnz1568/getInfo.php?workbook=16_08.xlsx&amp;sheet=U0&amp;row=8106&amp;col=7&amp;number=0.00969&amp;sourceID=14","0.00969")</f>
        <v>0.00969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HYPERLINK("http://141.218.60.56/~jnz1568/getInfo.php?workbook=16_08.xlsx&amp;sheet=U0&amp;row=8107&amp;col=6&amp;number=3.3&amp;sourceID=14","3.3")</f>
        <v>3.3</v>
      </c>
      <c r="G8107" s="4" t="str">
        <f>HYPERLINK("http://141.218.60.56/~jnz1568/getInfo.php?workbook=16_08.xlsx&amp;sheet=U0&amp;row=8107&amp;col=7&amp;number=0.00969&amp;sourceID=14","0.00969")</f>
        <v>0.00969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HYPERLINK("http://141.218.60.56/~jnz1568/getInfo.php?workbook=16_08.xlsx&amp;sheet=U0&amp;row=8108&amp;col=6&amp;number=3.4&amp;sourceID=14","3.4")</f>
        <v>3.4</v>
      </c>
      <c r="G8108" s="4" t="str">
        <f>HYPERLINK("http://141.218.60.56/~jnz1568/getInfo.php?workbook=16_08.xlsx&amp;sheet=U0&amp;row=8108&amp;col=7&amp;number=0.00969&amp;sourceID=14","0.00969")</f>
        <v>0.00969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HYPERLINK("http://141.218.60.56/~jnz1568/getInfo.php?workbook=16_08.xlsx&amp;sheet=U0&amp;row=8109&amp;col=6&amp;number=3.5&amp;sourceID=14","3.5")</f>
        <v>3.5</v>
      </c>
      <c r="G8109" s="4" t="str">
        <f>HYPERLINK("http://141.218.60.56/~jnz1568/getInfo.php?workbook=16_08.xlsx&amp;sheet=U0&amp;row=8109&amp;col=7&amp;number=0.00968&amp;sourceID=14","0.00968")</f>
        <v>0.00968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HYPERLINK("http://141.218.60.56/~jnz1568/getInfo.php?workbook=16_08.xlsx&amp;sheet=U0&amp;row=8110&amp;col=6&amp;number=3.6&amp;sourceID=14","3.6")</f>
        <v>3.6</v>
      </c>
      <c r="G8110" s="4" t="str">
        <f>HYPERLINK("http://141.218.60.56/~jnz1568/getInfo.php?workbook=16_08.xlsx&amp;sheet=U0&amp;row=8110&amp;col=7&amp;number=0.00968&amp;sourceID=14","0.00968")</f>
        <v>0.00968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HYPERLINK("http://141.218.60.56/~jnz1568/getInfo.php?workbook=16_08.xlsx&amp;sheet=U0&amp;row=8111&amp;col=6&amp;number=3.7&amp;sourceID=14","3.7")</f>
        <v>3.7</v>
      </c>
      <c r="G8111" s="4" t="str">
        <f>HYPERLINK("http://141.218.60.56/~jnz1568/getInfo.php?workbook=16_08.xlsx&amp;sheet=U0&amp;row=8111&amp;col=7&amp;number=0.00967&amp;sourceID=14","0.00967")</f>
        <v>0.00967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HYPERLINK("http://141.218.60.56/~jnz1568/getInfo.php?workbook=16_08.xlsx&amp;sheet=U0&amp;row=8112&amp;col=6&amp;number=3.8&amp;sourceID=14","3.8")</f>
        <v>3.8</v>
      </c>
      <c r="G8112" s="4" t="str">
        <f>HYPERLINK("http://141.218.60.56/~jnz1568/getInfo.php?workbook=16_08.xlsx&amp;sheet=U0&amp;row=8112&amp;col=7&amp;number=0.00967&amp;sourceID=14","0.00967")</f>
        <v>0.00967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HYPERLINK("http://141.218.60.56/~jnz1568/getInfo.php?workbook=16_08.xlsx&amp;sheet=U0&amp;row=8113&amp;col=6&amp;number=3.9&amp;sourceID=14","3.9")</f>
        <v>3.9</v>
      </c>
      <c r="G8113" s="4" t="str">
        <f>HYPERLINK("http://141.218.60.56/~jnz1568/getInfo.php?workbook=16_08.xlsx&amp;sheet=U0&amp;row=8113&amp;col=7&amp;number=0.00966&amp;sourceID=14","0.00966")</f>
        <v>0.00966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HYPERLINK("http://141.218.60.56/~jnz1568/getInfo.php?workbook=16_08.xlsx&amp;sheet=U0&amp;row=8114&amp;col=6&amp;number=4&amp;sourceID=14","4")</f>
        <v>4</v>
      </c>
      <c r="G8114" s="4" t="str">
        <f>HYPERLINK("http://141.218.60.56/~jnz1568/getInfo.php?workbook=16_08.xlsx&amp;sheet=U0&amp;row=8114&amp;col=7&amp;number=0.00965&amp;sourceID=14","0.00965")</f>
        <v>0.00965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HYPERLINK("http://141.218.60.56/~jnz1568/getInfo.php?workbook=16_08.xlsx&amp;sheet=U0&amp;row=8115&amp;col=6&amp;number=4.1&amp;sourceID=14","4.1")</f>
        <v>4.1</v>
      </c>
      <c r="G8115" s="4" t="str">
        <f>HYPERLINK("http://141.218.60.56/~jnz1568/getInfo.php?workbook=16_08.xlsx&amp;sheet=U0&amp;row=8115&amp;col=7&amp;number=0.00963&amp;sourceID=14","0.00963")</f>
        <v>0.00963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HYPERLINK("http://141.218.60.56/~jnz1568/getInfo.php?workbook=16_08.xlsx&amp;sheet=U0&amp;row=8116&amp;col=6&amp;number=4.2&amp;sourceID=14","4.2")</f>
        <v>4.2</v>
      </c>
      <c r="G8116" s="4" t="str">
        <f>HYPERLINK("http://141.218.60.56/~jnz1568/getInfo.php?workbook=16_08.xlsx&amp;sheet=U0&amp;row=8116&amp;col=7&amp;number=0.00962&amp;sourceID=14","0.00962")</f>
        <v>0.00962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HYPERLINK("http://141.218.60.56/~jnz1568/getInfo.php?workbook=16_08.xlsx&amp;sheet=U0&amp;row=8117&amp;col=6&amp;number=4.3&amp;sourceID=14","4.3")</f>
        <v>4.3</v>
      </c>
      <c r="G8117" s="4" t="str">
        <f>HYPERLINK("http://141.218.60.56/~jnz1568/getInfo.php?workbook=16_08.xlsx&amp;sheet=U0&amp;row=8117&amp;col=7&amp;number=0.00959&amp;sourceID=14","0.00959")</f>
        <v>0.00959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HYPERLINK("http://141.218.60.56/~jnz1568/getInfo.php?workbook=16_08.xlsx&amp;sheet=U0&amp;row=8118&amp;col=6&amp;number=4.4&amp;sourceID=14","4.4")</f>
        <v>4.4</v>
      </c>
      <c r="G8118" s="4" t="str">
        <f>HYPERLINK("http://141.218.60.56/~jnz1568/getInfo.php?workbook=16_08.xlsx&amp;sheet=U0&amp;row=8118&amp;col=7&amp;number=0.00957&amp;sourceID=14","0.00957")</f>
        <v>0.00957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HYPERLINK("http://141.218.60.56/~jnz1568/getInfo.php?workbook=16_08.xlsx&amp;sheet=U0&amp;row=8119&amp;col=6&amp;number=4.5&amp;sourceID=14","4.5")</f>
        <v>4.5</v>
      </c>
      <c r="G8119" s="4" t="str">
        <f>HYPERLINK("http://141.218.60.56/~jnz1568/getInfo.php?workbook=16_08.xlsx&amp;sheet=U0&amp;row=8119&amp;col=7&amp;number=0.00953&amp;sourceID=14","0.00953")</f>
        <v>0.00953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HYPERLINK("http://141.218.60.56/~jnz1568/getInfo.php?workbook=16_08.xlsx&amp;sheet=U0&amp;row=8120&amp;col=6&amp;number=4.6&amp;sourceID=14","4.6")</f>
        <v>4.6</v>
      </c>
      <c r="G8120" s="4" t="str">
        <f>HYPERLINK("http://141.218.60.56/~jnz1568/getInfo.php?workbook=16_08.xlsx&amp;sheet=U0&amp;row=8120&amp;col=7&amp;number=0.00949&amp;sourceID=14","0.00949")</f>
        <v>0.00949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HYPERLINK("http://141.218.60.56/~jnz1568/getInfo.php?workbook=16_08.xlsx&amp;sheet=U0&amp;row=8121&amp;col=6&amp;number=4.7&amp;sourceID=14","4.7")</f>
        <v>4.7</v>
      </c>
      <c r="G8121" s="4" t="str">
        <f>HYPERLINK("http://141.218.60.56/~jnz1568/getInfo.php?workbook=16_08.xlsx&amp;sheet=U0&amp;row=8121&amp;col=7&amp;number=0.00944&amp;sourceID=14","0.00944")</f>
        <v>0.00944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HYPERLINK("http://141.218.60.56/~jnz1568/getInfo.php?workbook=16_08.xlsx&amp;sheet=U0&amp;row=8122&amp;col=6&amp;number=4.8&amp;sourceID=14","4.8")</f>
        <v>4.8</v>
      </c>
      <c r="G8122" s="4" t="str">
        <f>HYPERLINK("http://141.218.60.56/~jnz1568/getInfo.php?workbook=16_08.xlsx&amp;sheet=U0&amp;row=8122&amp;col=7&amp;number=0.00937&amp;sourceID=14","0.00937")</f>
        <v>0.00937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HYPERLINK("http://141.218.60.56/~jnz1568/getInfo.php?workbook=16_08.xlsx&amp;sheet=U0&amp;row=8123&amp;col=6&amp;number=4.9&amp;sourceID=14","4.9")</f>
        <v>4.9</v>
      </c>
      <c r="G8123" s="4" t="str">
        <f>HYPERLINK("http://141.218.60.56/~jnz1568/getInfo.php?workbook=16_08.xlsx&amp;sheet=U0&amp;row=8123&amp;col=7&amp;number=0.00929&amp;sourceID=14","0.00929")</f>
        <v>0.00929</v>
      </c>
    </row>
    <row r="8124" spans="1:7">
      <c r="A8124" s="3">
        <v>16</v>
      </c>
      <c r="B8124" s="3">
        <v>8</v>
      </c>
      <c r="C8124" s="3">
        <v>5</v>
      </c>
      <c r="D8124" s="3">
        <v>78</v>
      </c>
      <c r="E8124" s="3">
        <v>1</v>
      </c>
      <c r="F8124" s="4" t="str">
        <f>HYPERLINK("http://141.218.60.56/~jnz1568/getInfo.php?workbook=16_08.xlsx&amp;sheet=U0&amp;row=8124&amp;col=6&amp;number=3&amp;sourceID=14","3")</f>
        <v>3</v>
      </c>
      <c r="G8124" s="4" t="str">
        <f>HYPERLINK("http://141.218.60.56/~jnz1568/getInfo.php?workbook=16_08.xlsx&amp;sheet=U0&amp;row=8124&amp;col=7&amp;number=0.00573&amp;sourceID=14","0.00573")</f>
        <v>0.00573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HYPERLINK("http://141.218.60.56/~jnz1568/getInfo.php?workbook=16_08.xlsx&amp;sheet=U0&amp;row=8125&amp;col=6&amp;number=3.1&amp;sourceID=14","3.1")</f>
        <v>3.1</v>
      </c>
      <c r="G8125" s="4" t="str">
        <f>HYPERLINK("http://141.218.60.56/~jnz1568/getInfo.php?workbook=16_08.xlsx&amp;sheet=U0&amp;row=8125&amp;col=7&amp;number=0.00573&amp;sourceID=14","0.00573")</f>
        <v>0.00573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HYPERLINK("http://141.218.60.56/~jnz1568/getInfo.php?workbook=16_08.xlsx&amp;sheet=U0&amp;row=8126&amp;col=6&amp;number=3.2&amp;sourceID=14","3.2")</f>
        <v>3.2</v>
      </c>
      <c r="G8126" s="4" t="str">
        <f>HYPERLINK("http://141.218.60.56/~jnz1568/getInfo.php?workbook=16_08.xlsx&amp;sheet=U0&amp;row=8126&amp;col=7&amp;number=0.00573&amp;sourceID=14","0.00573")</f>
        <v>0.00573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HYPERLINK("http://141.218.60.56/~jnz1568/getInfo.php?workbook=16_08.xlsx&amp;sheet=U0&amp;row=8127&amp;col=6&amp;number=3.3&amp;sourceID=14","3.3")</f>
        <v>3.3</v>
      </c>
      <c r="G8127" s="4" t="str">
        <f>HYPERLINK("http://141.218.60.56/~jnz1568/getInfo.php?workbook=16_08.xlsx&amp;sheet=U0&amp;row=8127&amp;col=7&amp;number=0.00573&amp;sourceID=14","0.00573")</f>
        <v>0.00573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HYPERLINK("http://141.218.60.56/~jnz1568/getInfo.php?workbook=16_08.xlsx&amp;sheet=U0&amp;row=8128&amp;col=6&amp;number=3.4&amp;sourceID=14","3.4")</f>
        <v>3.4</v>
      </c>
      <c r="G8128" s="4" t="str">
        <f>HYPERLINK("http://141.218.60.56/~jnz1568/getInfo.php?workbook=16_08.xlsx&amp;sheet=U0&amp;row=8128&amp;col=7&amp;number=0.00572&amp;sourceID=14","0.00572")</f>
        <v>0.00572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HYPERLINK("http://141.218.60.56/~jnz1568/getInfo.php?workbook=16_08.xlsx&amp;sheet=U0&amp;row=8129&amp;col=6&amp;number=3.5&amp;sourceID=14","3.5")</f>
        <v>3.5</v>
      </c>
      <c r="G8129" s="4" t="str">
        <f>HYPERLINK("http://141.218.60.56/~jnz1568/getInfo.php?workbook=16_08.xlsx&amp;sheet=U0&amp;row=8129&amp;col=7&amp;number=0.00572&amp;sourceID=14","0.00572")</f>
        <v>0.00572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HYPERLINK("http://141.218.60.56/~jnz1568/getInfo.php?workbook=16_08.xlsx&amp;sheet=U0&amp;row=8130&amp;col=6&amp;number=3.6&amp;sourceID=14","3.6")</f>
        <v>3.6</v>
      </c>
      <c r="G8130" s="4" t="str">
        <f>HYPERLINK("http://141.218.60.56/~jnz1568/getInfo.php?workbook=16_08.xlsx&amp;sheet=U0&amp;row=8130&amp;col=7&amp;number=0.00572&amp;sourceID=14","0.00572")</f>
        <v>0.00572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HYPERLINK("http://141.218.60.56/~jnz1568/getInfo.php?workbook=16_08.xlsx&amp;sheet=U0&amp;row=8131&amp;col=6&amp;number=3.7&amp;sourceID=14","3.7")</f>
        <v>3.7</v>
      </c>
      <c r="G8131" s="4" t="str">
        <f>HYPERLINK("http://141.218.60.56/~jnz1568/getInfo.php?workbook=16_08.xlsx&amp;sheet=U0&amp;row=8131&amp;col=7&amp;number=0.00572&amp;sourceID=14","0.00572")</f>
        <v>0.00572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HYPERLINK("http://141.218.60.56/~jnz1568/getInfo.php?workbook=16_08.xlsx&amp;sheet=U0&amp;row=8132&amp;col=6&amp;number=3.8&amp;sourceID=14","3.8")</f>
        <v>3.8</v>
      </c>
      <c r="G8132" s="4" t="str">
        <f>HYPERLINK("http://141.218.60.56/~jnz1568/getInfo.php?workbook=16_08.xlsx&amp;sheet=U0&amp;row=8132&amp;col=7&amp;number=0.00571&amp;sourceID=14","0.00571")</f>
        <v>0.00571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HYPERLINK("http://141.218.60.56/~jnz1568/getInfo.php?workbook=16_08.xlsx&amp;sheet=U0&amp;row=8133&amp;col=6&amp;number=3.9&amp;sourceID=14","3.9")</f>
        <v>3.9</v>
      </c>
      <c r="G8133" s="4" t="str">
        <f>HYPERLINK("http://141.218.60.56/~jnz1568/getInfo.php?workbook=16_08.xlsx&amp;sheet=U0&amp;row=8133&amp;col=7&amp;number=0.00571&amp;sourceID=14","0.00571")</f>
        <v>0.00571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HYPERLINK("http://141.218.60.56/~jnz1568/getInfo.php?workbook=16_08.xlsx&amp;sheet=U0&amp;row=8134&amp;col=6&amp;number=4&amp;sourceID=14","4")</f>
        <v>4</v>
      </c>
      <c r="G8134" s="4" t="str">
        <f>HYPERLINK("http://141.218.60.56/~jnz1568/getInfo.php?workbook=16_08.xlsx&amp;sheet=U0&amp;row=8134&amp;col=7&amp;number=0.0057&amp;sourceID=14","0.0057")</f>
        <v>0.0057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HYPERLINK("http://141.218.60.56/~jnz1568/getInfo.php?workbook=16_08.xlsx&amp;sheet=U0&amp;row=8135&amp;col=6&amp;number=4.1&amp;sourceID=14","4.1")</f>
        <v>4.1</v>
      </c>
      <c r="G8135" s="4" t="str">
        <f>HYPERLINK("http://141.218.60.56/~jnz1568/getInfo.php?workbook=16_08.xlsx&amp;sheet=U0&amp;row=8135&amp;col=7&amp;number=0.0057&amp;sourceID=14","0.0057")</f>
        <v>0.0057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HYPERLINK("http://141.218.60.56/~jnz1568/getInfo.php?workbook=16_08.xlsx&amp;sheet=U0&amp;row=8136&amp;col=6&amp;number=4.2&amp;sourceID=14","4.2")</f>
        <v>4.2</v>
      </c>
      <c r="G8136" s="4" t="str">
        <f>HYPERLINK("http://141.218.60.56/~jnz1568/getInfo.php?workbook=16_08.xlsx&amp;sheet=U0&amp;row=8136&amp;col=7&amp;number=0.00569&amp;sourceID=14","0.00569")</f>
        <v>0.00569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HYPERLINK("http://141.218.60.56/~jnz1568/getInfo.php?workbook=16_08.xlsx&amp;sheet=U0&amp;row=8137&amp;col=6&amp;number=4.3&amp;sourceID=14","4.3")</f>
        <v>4.3</v>
      </c>
      <c r="G8137" s="4" t="str">
        <f>HYPERLINK("http://141.218.60.56/~jnz1568/getInfo.php?workbook=16_08.xlsx&amp;sheet=U0&amp;row=8137&amp;col=7&amp;number=0.00567&amp;sourceID=14","0.00567")</f>
        <v>0.00567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HYPERLINK("http://141.218.60.56/~jnz1568/getInfo.php?workbook=16_08.xlsx&amp;sheet=U0&amp;row=8138&amp;col=6&amp;number=4.4&amp;sourceID=14","4.4")</f>
        <v>4.4</v>
      </c>
      <c r="G8138" s="4" t="str">
        <f>HYPERLINK("http://141.218.60.56/~jnz1568/getInfo.php?workbook=16_08.xlsx&amp;sheet=U0&amp;row=8138&amp;col=7&amp;number=0.00566&amp;sourceID=14","0.00566")</f>
        <v>0.00566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HYPERLINK("http://141.218.60.56/~jnz1568/getInfo.php?workbook=16_08.xlsx&amp;sheet=U0&amp;row=8139&amp;col=6&amp;number=4.5&amp;sourceID=14","4.5")</f>
        <v>4.5</v>
      </c>
      <c r="G8139" s="4" t="str">
        <f>HYPERLINK("http://141.218.60.56/~jnz1568/getInfo.php?workbook=16_08.xlsx&amp;sheet=U0&amp;row=8139&amp;col=7&amp;number=0.00564&amp;sourceID=14","0.00564")</f>
        <v>0.00564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HYPERLINK("http://141.218.60.56/~jnz1568/getInfo.php?workbook=16_08.xlsx&amp;sheet=U0&amp;row=8140&amp;col=6&amp;number=4.6&amp;sourceID=14","4.6")</f>
        <v>4.6</v>
      </c>
      <c r="G8140" s="4" t="str">
        <f>HYPERLINK("http://141.218.60.56/~jnz1568/getInfo.php?workbook=16_08.xlsx&amp;sheet=U0&amp;row=8140&amp;col=7&amp;number=0.00562&amp;sourceID=14","0.00562")</f>
        <v>0.00562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HYPERLINK("http://141.218.60.56/~jnz1568/getInfo.php?workbook=16_08.xlsx&amp;sheet=U0&amp;row=8141&amp;col=6&amp;number=4.7&amp;sourceID=14","4.7")</f>
        <v>4.7</v>
      </c>
      <c r="G8141" s="4" t="str">
        <f>HYPERLINK("http://141.218.60.56/~jnz1568/getInfo.php?workbook=16_08.xlsx&amp;sheet=U0&amp;row=8141&amp;col=7&amp;number=0.00559&amp;sourceID=14","0.00559")</f>
        <v>0.00559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HYPERLINK("http://141.218.60.56/~jnz1568/getInfo.php?workbook=16_08.xlsx&amp;sheet=U0&amp;row=8142&amp;col=6&amp;number=4.8&amp;sourceID=14","4.8")</f>
        <v>4.8</v>
      </c>
      <c r="G8142" s="4" t="str">
        <f>HYPERLINK("http://141.218.60.56/~jnz1568/getInfo.php?workbook=16_08.xlsx&amp;sheet=U0&amp;row=8142&amp;col=7&amp;number=0.00555&amp;sourceID=14","0.00555")</f>
        <v>0.00555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HYPERLINK("http://141.218.60.56/~jnz1568/getInfo.php?workbook=16_08.xlsx&amp;sheet=U0&amp;row=8143&amp;col=6&amp;number=4.9&amp;sourceID=14","4.9")</f>
        <v>4.9</v>
      </c>
      <c r="G8143" s="4" t="str">
        <f>HYPERLINK("http://141.218.60.56/~jnz1568/getInfo.php?workbook=16_08.xlsx&amp;sheet=U0&amp;row=8143&amp;col=7&amp;number=0.00551&amp;sourceID=14","0.00551")</f>
        <v>0.00551</v>
      </c>
    </row>
    <row r="8144" spans="1:7">
      <c r="A8144" s="3">
        <v>16</v>
      </c>
      <c r="B8144" s="3">
        <v>8</v>
      </c>
      <c r="C8144" s="3">
        <v>5</v>
      </c>
      <c r="D8144" s="3">
        <v>79</v>
      </c>
      <c r="E8144" s="3">
        <v>1</v>
      </c>
      <c r="F8144" s="4" t="str">
        <f>HYPERLINK("http://141.218.60.56/~jnz1568/getInfo.php?workbook=16_08.xlsx&amp;sheet=U0&amp;row=8144&amp;col=6&amp;number=3&amp;sourceID=14","3")</f>
        <v>3</v>
      </c>
      <c r="G8144" s="4" t="str">
        <f>HYPERLINK("http://141.218.60.56/~jnz1568/getInfo.php?workbook=16_08.xlsx&amp;sheet=U0&amp;row=8144&amp;col=7&amp;number=0.0132&amp;sourceID=14","0.0132")</f>
        <v>0.0132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HYPERLINK("http://141.218.60.56/~jnz1568/getInfo.php?workbook=16_08.xlsx&amp;sheet=U0&amp;row=8145&amp;col=6&amp;number=3.1&amp;sourceID=14","3.1")</f>
        <v>3.1</v>
      </c>
      <c r="G8145" s="4" t="str">
        <f>HYPERLINK("http://141.218.60.56/~jnz1568/getInfo.php?workbook=16_08.xlsx&amp;sheet=U0&amp;row=8145&amp;col=7&amp;number=0.0132&amp;sourceID=14","0.0132")</f>
        <v>0.0132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HYPERLINK("http://141.218.60.56/~jnz1568/getInfo.php?workbook=16_08.xlsx&amp;sheet=U0&amp;row=8146&amp;col=6&amp;number=3.2&amp;sourceID=14","3.2")</f>
        <v>3.2</v>
      </c>
      <c r="G8146" s="4" t="str">
        <f>HYPERLINK("http://141.218.60.56/~jnz1568/getInfo.php?workbook=16_08.xlsx&amp;sheet=U0&amp;row=8146&amp;col=7&amp;number=0.0132&amp;sourceID=14","0.0132")</f>
        <v>0.0132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HYPERLINK("http://141.218.60.56/~jnz1568/getInfo.php?workbook=16_08.xlsx&amp;sheet=U0&amp;row=8147&amp;col=6&amp;number=3.3&amp;sourceID=14","3.3")</f>
        <v>3.3</v>
      </c>
      <c r="G8147" s="4" t="str">
        <f>HYPERLINK("http://141.218.60.56/~jnz1568/getInfo.php?workbook=16_08.xlsx&amp;sheet=U0&amp;row=8147&amp;col=7&amp;number=0.0132&amp;sourceID=14","0.0132")</f>
        <v>0.0132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HYPERLINK("http://141.218.60.56/~jnz1568/getInfo.php?workbook=16_08.xlsx&amp;sheet=U0&amp;row=8148&amp;col=6&amp;number=3.4&amp;sourceID=14","3.4")</f>
        <v>3.4</v>
      </c>
      <c r="G8148" s="4" t="str">
        <f>HYPERLINK("http://141.218.60.56/~jnz1568/getInfo.php?workbook=16_08.xlsx&amp;sheet=U0&amp;row=8148&amp;col=7&amp;number=0.0132&amp;sourceID=14","0.0132")</f>
        <v>0.0132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HYPERLINK("http://141.218.60.56/~jnz1568/getInfo.php?workbook=16_08.xlsx&amp;sheet=U0&amp;row=8149&amp;col=6&amp;number=3.5&amp;sourceID=14","3.5")</f>
        <v>3.5</v>
      </c>
      <c r="G8149" s="4" t="str">
        <f>HYPERLINK("http://141.218.60.56/~jnz1568/getInfo.php?workbook=16_08.xlsx&amp;sheet=U0&amp;row=8149&amp;col=7&amp;number=0.0132&amp;sourceID=14","0.0132")</f>
        <v>0.0132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HYPERLINK("http://141.218.60.56/~jnz1568/getInfo.php?workbook=16_08.xlsx&amp;sheet=U0&amp;row=8150&amp;col=6&amp;number=3.6&amp;sourceID=14","3.6")</f>
        <v>3.6</v>
      </c>
      <c r="G8150" s="4" t="str">
        <f>HYPERLINK("http://141.218.60.56/~jnz1568/getInfo.php?workbook=16_08.xlsx&amp;sheet=U0&amp;row=8150&amp;col=7&amp;number=0.0131&amp;sourceID=14","0.0131")</f>
        <v>0.0131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HYPERLINK("http://141.218.60.56/~jnz1568/getInfo.php?workbook=16_08.xlsx&amp;sheet=U0&amp;row=8151&amp;col=6&amp;number=3.7&amp;sourceID=14","3.7")</f>
        <v>3.7</v>
      </c>
      <c r="G8151" s="4" t="str">
        <f>HYPERLINK("http://141.218.60.56/~jnz1568/getInfo.php?workbook=16_08.xlsx&amp;sheet=U0&amp;row=8151&amp;col=7&amp;number=0.0131&amp;sourceID=14","0.0131")</f>
        <v>0.0131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HYPERLINK("http://141.218.60.56/~jnz1568/getInfo.php?workbook=16_08.xlsx&amp;sheet=U0&amp;row=8152&amp;col=6&amp;number=3.8&amp;sourceID=14","3.8")</f>
        <v>3.8</v>
      </c>
      <c r="G8152" s="4" t="str">
        <f>HYPERLINK("http://141.218.60.56/~jnz1568/getInfo.php?workbook=16_08.xlsx&amp;sheet=U0&amp;row=8152&amp;col=7&amp;number=0.0131&amp;sourceID=14","0.0131")</f>
        <v>0.0131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HYPERLINK("http://141.218.60.56/~jnz1568/getInfo.php?workbook=16_08.xlsx&amp;sheet=U0&amp;row=8153&amp;col=6&amp;number=3.9&amp;sourceID=14","3.9")</f>
        <v>3.9</v>
      </c>
      <c r="G8153" s="4" t="str">
        <f>HYPERLINK("http://141.218.60.56/~jnz1568/getInfo.php?workbook=16_08.xlsx&amp;sheet=U0&amp;row=8153&amp;col=7&amp;number=0.0131&amp;sourceID=14","0.0131")</f>
        <v>0.0131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HYPERLINK("http://141.218.60.56/~jnz1568/getInfo.php?workbook=16_08.xlsx&amp;sheet=U0&amp;row=8154&amp;col=6&amp;number=4&amp;sourceID=14","4")</f>
        <v>4</v>
      </c>
      <c r="G8154" s="4" t="str">
        <f>HYPERLINK("http://141.218.60.56/~jnz1568/getInfo.php?workbook=16_08.xlsx&amp;sheet=U0&amp;row=8154&amp;col=7&amp;number=0.0131&amp;sourceID=14","0.0131")</f>
        <v>0.0131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HYPERLINK("http://141.218.60.56/~jnz1568/getInfo.php?workbook=16_08.xlsx&amp;sheet=U0&amp;row=8155&amp;col=6&amp;number=4.1&amp;sourceID=14","4.1")</f>
        <v>4.1</v>
      </c>
      <c r="G8155" s="4" t="str">
        <f>HYPERLINK("http://141.218.60.56/~jnz1568/getInfo.php?workbook=16_08.xlsx&amp;sheet=U0&amp;row=8155&amp;col=7&amp;number=0.0131&amp;sourceID=14","0.0131")</f>
        <v>0.0131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HYPERLINK("http://141.218.60.56/~jnz1568/getInfo.php?workbook=16_08.xlsx&amp;sheet=U0&amp;row=8156&amp;col=6&amp;number=4.2&amp;sourceID=14","4.2")</f>
        <v>4.2</v>
      </c>
      <c r="G8156" s="4" t="str">
        <f>HYPERLINK("http://141.218.60.56/~jnz1568/getInfo.php?workbook=16_08.xlsx&amp;sheet=U0&amp;row=8156&amp;col=7&amp;number=0.0131&amp;sourceID=14","0.0131")</f>
        <v>0.0131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HYPERLINK("http://141.218.60.56/~jnz1568/getInfo.php?workbook=16_08.xlsx&amp;sheet=U0&amp;row=8157&amp;col=6&amp;number=4.3&amp;sourceID=14","4.3")</f>
        <v>4.3</v>
      </c>
      <c r="G8157" s="4" t="str">
        <f>HYPERLINK("http://141.218.60.56/~jnz1568/getInfo.php?workbook=16_08.xlsx&amp;sheet=U0&amp;row=8157&amp;col=7&amp;number=0.0131&amp;sourceID=14","0.0131")</f>
        <v>0.0131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HYPERLINK("http://141.218.60.56/~jnz1568/getInfo.php?workbook=16_08.xlsx&amp;sheet=U0&amp;row=8158&amp;col=6&amp;number=4.4&amp;sourceID=14","4.4")</f>
        <v>4.4</v>
      </c>
      <c r="G8158" s="4" t="str">
        <f>HYPERLINK("http://141.218.60.56/~jnz1568/getInfo.php?workbook=16_08.xlsx&amp;sheet=U0&amp;row=8158&amp;col=7&amp;number=0.0131&amp;sourceID=14","0.0131")</f>
        <v>0.0131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HYPERLINK("http://141.218.60.56/~jnz1568/getInfo.php?workbook=16_08.xlsx&amp;sheet=U0&amp;row=8159&amp;col=6&amp;number=4.5&amp;sourceID=14","4.5")</f>
        <v>4.5</v>
      </c>
      <c r="G8159" s="4" t="str">
        <f>HYPERLINK("http://141.218.60.56/~jnz1568/getInfo.php?workbook=16_08.xlsx&amp;sheet=U0&amp;row=8159&amp;col=7&amp;number=0.0131&amp;sourceID=14","0.0131")</f>
        <v>0.0131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HYPERLINK("http://141.218.60.56/~jnz1568/getInfo.php?workbook=16_08.xlsx&amp;sheet=U0&amp;row=8160&amp;col=6&amp;number=4.6&amp;sourceID=14","4.6")</f>
        <v>4.6</v>
      </c>
      <c r="G8160" s="4" t="str">
        <f>HYPERLINK("http://141.218.60.56/~jnz1568/getInfo.php?workbook=16_08.xlsx&amp;sheet=U0&amp;row=8160&amp;col=7&amp;number=0.013&amp;sourceID=14","0.013")</f>
        <v>0.013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HYPERLINK("http://141.218.60.56/~jnz1568/getInfo.php?workbook=16_08.xlsx&amp;sheet=U0&amp;row=8161&amp;col=6&amp;number=4.7&amp;sourceID=14","4.7")</f>
        <v>4.7</v>
      </c>
      <c r="G8161" s="4" t="str">
        <f>HYPERLINK("http://141.218.60.56/~jnz1568/getInfo.php?workbook=16_08.xlsx&amp;sheet=U0&amp;row=8161&amp;col=7&amp;number=0.013&amp;sourceID=14","0.013")</f>
        <v>0.013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HYPERLINK("http://141.218.60.56/~jnz1568/getInfo.php?workbook=16_08.xlsx&amp;sheet=U0&amp;row=8162&amp;col=6&amp;number=4.8&amp;sourceID=14","4.8")</f>
        <v>4.8</v>
      </c>
      <c r="G8162" s="4" t="str">
        <f>HYPERLINK("http://141.218.60.56/~jnz1568/getInfo.php?workbook=16_08.xlsx&amp;sheet=U0&amp;row=8162&amp;col=7&amp;number=0.013&amp;sourceID=14","0.013")</f>
        <v>0.013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HYPERLINK("http://141.218.60.56/~jnz1568/getInfo.php?workbook=16_08.xlsx&amp;sheet=U0&amp;row=8163&amp;col=6&amp;number=4.9&amp;sourceID=14","4.9")</f>
        <v>4.9</v>
      </c>
      <c r="G8163" s="4" t="str">
        <f>HYPERLINK("http://141.218.60.56/~jnz1568/getInfo.php?workbook=16_08.xlsx&amp;sheet=U0&amp;row=8163&amp;col=7&amp;number=0.0129&amp;sourceID=14","0.0129")</f>
        <v>0.0129</v>
      </c>
    </row>
    <row r="8164" spans="1:7">
      <c r="A8164" s="3">
        <v>16</v>
      </c>
      <c r="B8164" s="3">
        <v>8</v>
      </c>
      <c r="C8164" s="3">
        <v>5</v>
      </c>
      <c r="D8164" s="3">
        <v>80</v>
      </c>
      <c r="E8164" s="3">
        <v>1</v>
      </c>
      <c r="F8164" s="4" t="str">
        <f>HYPERLINK("http://141.218.60.56/~jnz1568/getInfo.php?workbook=16_08.xlsx&amp;sheet=U0&amp;row=8164&amp;col=6&amp;number=3&amp;sourceID=14","3")</f>
        <v>3</v>
      </c>
      <c r="G8164" s="4" t="str">
        <f>HYPERLINK("http://141.218.60.56/~jnz1568/getInfo.php?workbook=16_08.xlsx&amp;sheet=U0&amp;row=8164&amp;col=7&amp;number=0.025&amp;sourceID=14","0.025")</f>
        <v>0.025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HYPERLINK("http://141.218.60.56/~jnz1568/getInfo.php?workbook=16_08.xlsx&amp;sheet=U0&amp;row=8165&amp;col=6&amp;number=3.1&amp;sourceID=14","3.1")</f>
        <v>3.1</v>
      </c>
      <c r="G8165" s="4" t="str">
        <f>HYPERLINK("http://141.218.60.56/~jnz1568/getInfo.php?workbook=16_08.xlsx&amp;sheet=U0&amp;row=8165&amp;col=7&amp;number=0.025&amp;sourceID=14","0.025")</f>
        <v>0.025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HYPERLINK("http://141.218.60.56/~jnz1568/getInfo.php?workbook=16_08.xlsx&amp;sheet=U0&amp;row=8166&amp;col=6&amp;number=3.2&amp;sourceID=14","3.2")</f>
        <v>3.2</v>
      </c>
      <c r="G8166" s="4" t="str">
        <f>HYPERLINK("http://141.218.60.56/~jnz1568/getInfo.php?workbook=16_08.xlsx&amp;sheet=U0&amp;row=8166&amp;col=7&amp;number=0.025&amp;sourceID=14","0.025")</f>
        <v>0.025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HYPERLINK("http://141.218.60.56/~jnz1568/getInfo.php?workbook=16_08.xlsx&amp;sheet=U0&amp;row=8167&amp;col=6&amp;number=3.3&amp;sourceID=14","3.3")</f>
        <v>3.3</v>
      </c>
      <c r="G8167" s="4" t="str">
        <f>HYPERLINK("http://141.218.60.56/~jnz1568/getInfo.php?workbook=16_08.xlsx&amp;sheet=U0&amp;row=8167&amp;col=7&amp;number=0.025&amp;sourceID=14","0.025")</f>
        <v>0.025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HYPERLINK("http://141.218.60.56/~jnz1568/getInfo.php?workbook=16_08.xlsx&amp;sheet=U0&amp;row=8168&amp;col=6&amp;number=3.4&amp;sourceID=14","3.4")</f>
        <v>3.4</v>
      </c>
      <c r="G8168" s="4" t="str">
        <f>HYPERLINK("http://141.218.60.56/~jnz1568/getInfo.php?workbook=16_08.xlsx&amp;sheet=U0&amp;row=8168&amp;col=7&amp;number=0.025&amp;sourceID=14","0.025")</f>
        <v>0.025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HYPERLINK("http://141.218.60.56/~jnz1568/getInfo.php?workbook=16_08.xlsx&amp;sheet=U0&amp;row=8169&amp;col=6&amp;number=3.5&amp;sourceID=14","3.5")</f>
        <v>3.5</v>
      </c>
      <c r="G8169" s="4" t="str">
        <f>HYPERLINK("http://141.218.60.56/~jnz1568/getInfo.php?workbook=16_08.xlsx&amp;sheet=U0&amp;row=8169&amp;col=7&amp;number=0.025&amp;sourceID=14","0.025")</f>
        <v>0.025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HYPERLINK("http://141.218.60.56/~jnz1568/getInfo.php?workbook=16_08.xlsx&amp;sheet=U0&amp;row=8170&amp;col=6&amp;number=3.6&amp;sourceID=14","3.6")</f>
        <v>3.6</v>
      </c>
      <c r="G8170" s="4" t="str">
        <f>HYPERLINK("http://141.218.60.56/~jnz1568/getInfo.php?workbook=16_08.xlsx&amp;sheet=U0&amp;row=8170&amp;col=7&amp;number=0.025&amp;sourceID=14","0.025")</f>
        <v>0.025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HYPERLINK("http://141.218.60.56/~jnz1568/getInfo.php?workbook=16_08.xlsx&amp;sheet=U0&amp;row=8171&amp;col=6&amp;number=3.7&amp;sourceID=14","3.7")</f>
        <v>3.7</v>
      </c>
      <c r="G8171" s="4" t="str">
        <f>HYPERLINK("http://141.218.60.56/~jnz1568/getInfo.php?workbook=16_08.xlsx&amp;sheet=U0&amp;row=8171&amp;col=7&amp;number=0.025&amp;sourceID=14","0.025")</f>
        <v>0.025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HYPERLINK("http://141.218.60.56/~jnz1568/getInfo.php?workbook=16_08.xlsx&amp;sheet=U0&amp;row=8172&amp;col=6&amp;number=3.8&amp;sourceID=14","3.8")</f>
        <v>3.8</v>
      </c>
      <c r="G8172" s="4" t="str">
        <f>HYPERLINK("http://141.218.60.56/~jnz1568/getInfo.php?workbook=16_08.xlsx&amp;sheet=U0&amp;row=8172&amp;col=7&amp;number=0.025&amp;sourceID=14","0.025")</f>
        <v>0.025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HYPERLINK("http://141.218.60.56/~jnz1568/getInfo.php?workbook=16_08.xlsx&amp;sheet=U0&amp;row=8173&amp;col=6&amp;number=3.9&amp;sourceID=14","3.9")</f>
        <v>3.9</v>
      </c>
      <c r="G8173" s="4" t="str">
        <f>HYPERLINK("http://141.218.60.56/~jnz1568/getInfo.php?workbook=16_08.xlsx&amp;sheet=U0&amp;row=8173&amp;col=7&amp;number=0.025&amp;sourceID=14","0.025")</f>
        <v>0.025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HYPERLINK("http://141.218.60.56/~jnz1568/getInfo.php?workbook=16_08.xlsx&amp;sheet=U0&amp;row=8174&amp;col=6&amp;number=4&amp;sourceID=14","4")</f>
        <v>4</v>
      </c>
      <c r="G8174" s="4" t="str">
        <f>HYPERLINK("http://141.218.60.56/~jnz1568/getInfo.php?workbook=16_08.xlsx&amp;sheet=U0&amp;row=8174&amp;col=7&amp;number=0.0249&amp;sourceID=14","0.0249")</f>
        <v>0.0249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HYPERLINK("http://141.218.60.56/~jnz1568/getInfo.php?workbook=16_08.xlsx&amp;sheet=U0&amp;row=8175&amp;col=6&amp;number=4.1&amp;sourceID=14","4.1")</f>
        <v>4.1</v>
      </c>
      <c r="G8175" s="4" t="str">
        <f>HYPERLINK("http://141.218.60.56/~jnz1568/getInfo.php?workbook=16_08.xlsx&amp;sheet=U0&amp;row=8175&amp;col=7&amp;number=0.0249&amp;sourceID=14","0.0249")</f>
        <v>0.0249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HYPERLINK("http://141.218.60.56/~jnz1568/getInfo.php?workbook=16_08.xlsx&amp;sheet=U0&amp;row=8176&amp;col=6&amp;number=4.2&amp;sourceID=14","4.2")</f>
        <v>4.2</v>
      </c>
      <c r="G8176" s="4" t="str">
        <f>HYPERLINK("http://141.218.60.56/~jnz1568/getInfo.php?workbook=16_08.xlsx&amp;sheet=U0&amp;row=8176&amp;col=7&amp;number=0.0249&amp;sourceID=14","0.0249")</f>
        <v>0.0249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HYPERLINK("http://141.218.60.56/~jnz1568/getInfo.php?workbook=16_08.xlsx&amp;sheet=U0&amp;row=8177&amp;col=6&amp;number=4.3&amp;sourceID=14","4.3")</f>
        <v>4.3</v>
      </c>
      <c r="G8177" s="4" t="str">
        <f>HYPERLINK("http://141.218.60.56/~jnz1568/getInfo.php?workbook=16_08.xlsx&amp;sheet=U0&amp;row=8177&amp;col=7&amp;number=0.0248&amp;sourceID=14","0.0248")</f>
        <v>0.0248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HYPERLINK("http://141.218.60.56/~jnz1568/getInfo.php?workbook=16_08.xlsx&amp;sheet=U0&amp;row=8178&amp;col=6&amp;number=4.4&amp;sourceID=14","4.4")</f>
        <v>4.4</v>
      </c>
      <c r="G8178" s="4" t="str">
        <f>HYPERLINK("http://141.218.60.56/~jnz1568/getInfo.php?workbook=16_08.xlsx&amp;sheet=U0&amp;row=8178&amp;col=7&amp;number=0.0247&amp;sourceID=14","0.0247")</f>
        <v>0.0247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HYPERLINK("http://141.218.60.56/~jnz1568/getInfo.php?workbook=16_08.xlsx&amp;sheet=U0&amp;row=8179&amp;col=6&amp;number=4.5&amp;sourceID=14","4.5")</f>
        <v>4.5</v>
      </c>
      <c r="G8179" s="4" t="str">
        <f>HYPERLINK("http://141.218.60.56/~jnz1568/getInfo.php?workbook=16_08.xlsx&amp;sheet=U0&amp;row=8179&amp;col=7&amp;number=0.0247&amp;sourceID=14","0.0247")</f>
        <v>0.0247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HYPERLINK("http://141.218.60.56/~jnz1568/getInfo.php?workbook=16_08.xlsx&amp;sheet=U0&amp;row=8180&amp;col=6&amp;number=4.6&amp;sourceID=14","4.6")</f>
        <v>4.6</v>
      </c>
      <c r="G8180" s="4" t="str">
        <f>HYPERLINK("http://141.218.60.56/~jnz1568/getInfo.php?workbook=16_08.xlsx&amp;sheet=U0&amp;row=8180&amp;col=7&amp;number=0.0246&amp;sourceID=14","0.0246")</f>
        <v>0.0246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HYPERLINK("http://141.218.60.56/~jnz1568/getInfo.php?workbook=16_08.xlsx&amp;sheet=U0&amp;row=8181&amp;col=6&amp;number=4.7&amp;sourceID=14","4.7")</f>
        <v>4.7</v>
      </c>
      <c r="G8181" s="4" t="str">
        <f>HYPERLINK("http://141.218.60.56/~jnz1568/getInfo.php?workbook=16_08.xlsx&amp;sheet=U0&amp;row=8181&amp;col=7&amp;number=0.0244&amp;sourceID=14","0.0244")</f>
        <v>0.0244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HYPERLINK("http://141.218.60.56/~jnz1568/getInfo.php?workbook=16_08.xlsx&amp;sheet=U0&amp;row=8182&amp;col=6&amp;number=4.8&amp;sourceID=14","4.8")</f>
        <v>4.8</v>
      </c>
      <c r="G8182" s="4" t="str">
        <f>HYPERLINK("http://141.218.60.56/~jnz1568/getInfo.php?workbook=16_08.xlsx&amp;sheet=U0&amp;row=8182&amp;col=7&amp;number=0.0243&amp;sourceID=14","0.0243")</f>
        <v>0.0243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HYPERLINK("http://141.218.60.56/~jnz1568/getInfo.php?workbook=16_08.xlsx&amp;sheet=U0&amp;row=8183&amp;col=6&amp;number=4.9&amp;sourceID=14","4.9")</f>
        <v>4.9</v>
      </c>
      <c r="G8183" s="4" t="str">
        <f>HYPERLINK("http://141.218.60.56/~jnz1568/getInfo.php?workbook=16_08.xlsx&amp;sheet=U0&amp;row=8183&amp;col=7&amp;number=0.0241&amp;sourceID=14","0.0241")</f>
        <v>0.0241</v>
      </c>
    </row>
    <row r="8184" spans="1:7">
      <c r="A8184" s="3">
        <v>16</v>
      </c>
      <c r="B8184" s="3">
        <v>8</v>
      </c>
      <c r="C8184" s="3">
        <v>5</v>
      </c>
      <c r="D8184" s="3">
        <v>81</v>
      </c>
      <c r="E8184" s="3">
        <v>1</v>
      </c>
      <c r="F8184" s="4" t="str">
        <f>HYPERLINK("http://141.218.60.56/~jnz1568/getInfo.php?workbook=16_08.xlsx&amp;sheet=U0&amp;row=8184&amp;col=6&amp;number=3&amp;sourceID=14","3")</f>
        <v>3</v>
      </c>
      <c r="G8184" s="4" t="str">
        <f>HYPERLINK("http://141.218.60.56/~jnz1568/getInfo.php?workbook=16_08.xlsx&amp;sheet=U0&amp;row=8184&amp;col=7&amp;number=0.00446&amp;sourceID=14","0.00446")</f>
        <v>0.00446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HYPERLINK("http://141.218.60.56/~jnz1568/getInfo.php?workbook=16_08.xlsx&amp;sheet=U0&amp;row=8185&amp;col=6&amp;number=3.1&amp;sourceID=14","3.1")</f>
        <v>3.1</v>
      </c>
      <c r="G8185" s="4" t="str">
        <f>HYPERLINK("http://141.218.60.56/~jnz1568/getInfo.php?workbook=16_08.xlsx&amp;sheet=U0&amp;row=8185&amp;col=7&amp;number=0.00446&amp;sourceID=14","0.00446")</f>
        <v>0.00446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HYPERLINK("http://141.218.60.56/~jnz1568/getInfo.php?workbook=16_08.xlsx&amp;sheet=U0&amp;row=8186&amp;col=6&amp;number=3.2&amp;sourceID=14","3.2")</f>
        <v>3.2</v>
      </c>
      <c r="G8186" s="4" t="str">
        <f>HYPERLINK("http://141.218.60.56/~jnz1568/getInfo.php?workbook=16_08.xlsx&amp;sheet=U0&amp;row=8186&amp;col=7&amp;number=0.00446&amp;sourceID=14","0.00446")</f>
        <v>0.00446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HYPERLINK("http://141.218.60.56/~jnz1568/getInfo.php?workbook=16_08.xlsx&amp;sheet=U0&amp;row=8187&amp;col=6&amp;number=3.3&amp;sourceID=14","3.3")</f>
        <v>3.3</v>
      </c>
      <c r="G8187" s="4" t="str">
        <f>HYPERLINK("http://141.218.60.56/~jnz1568/getInfo.php?workbook=16_08.xlsx&amp;sheet=U0&amp;row=8187&amp;col=7&amp;number=0.00446&amp;sourceID=14","0.00446")</f>
        <v>0.00446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HYPERLINK("http://141.218.60.56/~jnz1568/getInfo.php?workbook=16_08.xlsx&amp;sheet=U0&amp;row=8188&amp;col=6&amp;number=3.4&amp;sourceID=14","3.4")</f>
        <v>3.4</v>
      </c>
      <c r="G8188" s="4" t="str">
        <f>HYPERLINK("http://141.218.60.56/~jnz1568/getInfo.php?workbook=16_08.xlsx&amp;sheet=U0&amp;row=8188&amp;col=7&amp;number=0.00446&amp;sourceID=14","0.00446")</f>
        <v>0.00446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HYPERLINK("http://141.218.60.56/~jnz1568/getInfo.php?workbook=16_08.xlsx&amp;sheet=U0&amp;row=8189&amp;col=6&amp;number=3.5&amp;sourceID=14","3.5")</f>
        <v>3.5</v>
      </c>
      <c r="G8189" s="4" t="str">
        <f>HYPERLINK("http://141.218.60.56/~jnz1568/getInfo.php?workbook=16_08.xlsx&amp;sheet=U0&amp;row=8189&amp;col=7&amp;number=0.00446&amp;sourceID=14","0.00446")</f>
        <v>0.00446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HYPERLINK("http://141.218.60.56/~jnz1568/getInfo.php?workbook=16_08.xlsx&amp;sheet=U0&amp;row=8190&amp;col=6&amp;number=3.6&amp;sourceID=14","3.6")</f>
        <v>3.6</v>
      </c>
      <c r="G8190" s="4" t="str">
        <f>HYPERLINK("http://141.218.60.56/~jnz1568/getInfo.php?workbook=16_08.xlsx&amp;sheet=U0&amp;row=8190&amp;col=7&amp;number=0.00446&amp;sourceID=14","0.00446")</f>
        <v>0.00446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HYPERLINK("http://141.218.60.56/~jnz1568/getInfo.php?workbook=16_08.xlsx&amp;sheet=U0&amp;row=8191&amp;col=6&amp;number=3.7&amp;sourceID=14","3.7")</f>
        <v>3.7</v>
      </c>
      <c r="G8191" s="4" t="str">
        <f>HYPERLINK("http://141.218.60.56/~jnz1568/getInfo.php?workbook=16_08.xlsx&amp;sheet=U0&amp;row=8191&amp;col=7&amp;number=0.00446&amp;sourceID=14","0.00446")</f>
        <v>0.00446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HYPERLINK("http://141.218.60.56/~jnz1568/getInfo.php?workbook=16_08.xlsx&amp;sheet=U0&amp;row=8192&amp;col=6&amp;number=3.8&amp;sourceID=14","3.8")</f>
        <v>3.8</v>
      </c>
      <c r="G8192" s="4" t="str">
        <f>HYPERLINK("http://141.218.60.56/~jnz1568/getInfo.php?workbook=16_08.xlsx&amp;sheet=U0&amp;row=8192&amp;col=7&amp;number=0.00446&amp;sourceID=14","0.00446")</f>
        <v>0.00446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HYPERLINK("http://141.218.60.56/~jnz1568/getInfo.php?workbook=16_08.xlsx&amp;sheet=U0&amp;row=8193&amp;col=6&amp;number=3.9&amp;sourceID=14","3.9")</f>
        <v>3.9</v>
      </c>
      <c r="G8193" s="4" t="str">
        <f>HYPERLINK("http://141.218.60.56/~jnz1568/getInfo.php?workbook=16_08.xlsx&amp;sheet=U0&amp;row=8193&amp;col=7&amp;number=0.00446&amp;sourceID=14","0.00446")</f>
        <v>0.00446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HYPERLINK("http://141.218.60.56/~jnz1568/getInfo.php?workbook=16_08.xlsx&amp;sheet=U0&amp;row=8194&amp;col=6&amp;number=4&amp;sourceID=14","4")</f>
        <v>4</v>
      </c>
      <c r="G8194" s="4" t="str">
        <f>HYPERLINK("http://141.218.60.56/~jnz1568/getInfo.php?workbook=16_08.xlsx&amp;sheet=U0&amp;row=8194&amp;col=7&amp;number=0.00445&amp;sourceID=14","0.00445")</f>
        <v>0.00445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HYPERLINK("http://141.218.60.56/~jnz1568/getInfo.php?workbook=16_08.xlsx&amp;sheet=U0&amp;row=8195&amp;col=6&amp;number=4.1&amp;sourceID=14","4.1")</f>
        <v>4.1</v>
      </c>
      <c r="G8195" s="4" t="str">
        <f>HYPERLINK("http://141.218.60.56/~jnz1568/getInfo.php?workbook=16_08.xlsx&amp;sheet=U0&amp;row=8195&amp;col=7&amp;number=0.00445&amp;sourceID=14","0.00445")</f>
        <v>0.00445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HYPERLINK("http://141.218.60.56/~jnz1568/getInfo.php?workbook=16_08.xlsx&amp;sheet=U0&amp;row=8196&amp;col=6&amp;number=4.2&amp;sourceID=14","4.2")</f>
        <v>4.2</v>
      </c>
      <c r="G8196" s="4" t="str">
        <f>HYPERLINK("http://141.218.60.56/~jnz1568/getInfo.php?workbook=16_08.xlsx&amp;sheet=U0&amp;row=8196&amp;col=7&amp;number=0.00445&amp;sourceID=14","0.00445")</f>
        <v>0.00445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HYPERLINK("http://141.218.60.56/~jnz1568/getInfo.php?workbook=16_08.xlsx&amp;sheet=U0&amp;row=8197&amp;col=6&amp;number=4.3&amp;sourceID=14","4.3")</f>
        <v>4.3</v>
      </c>
      <c r="G8197" s="4" t="str">
        <f>HYPERLINK("http://141.218.60.56/~jnz1568/getInfo.php?workbook=16_08.xlsx&amp;sheet=U0&amp;row=8197&amp;col=7&amp;number=0.00444&amp;sourceID=14","0.00444")</f>
        <v>0.00444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HYPERLINK("http://141.218.60.56/~jnz1568/getInfo.php?workbook=16_08.xlsx&amp;sheet=U0&amp;row=8198&amp;col=6&amp;number=4.4&amp;sourceID=14","4.4")</f>
        <v>4.4</v>
      </c>
      <c r="G8198" s="4" t="str">
        <f>HYPERLINK("http://141.218.60.56/~jnz1568/getInfo.php?workbook=16_08.xlsx&amp;sheet=U0&amp;row=8198&amp;col=7&amp;number=0.00443&amp;sourceID=14","0.00443")</f>
        <v>0.00443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HYPERLINK("http://141.218.60.56/~jnz1568/getInfo.php?workbook=16_08.xlsx&amp;sheet=U0&amp;row=8199&amp;col=6&amp;number=4.5&amp;sourceID=14","4.5")</f>
        <v>4.5</v>
      </c>
      <c r="G8199" s="4" t="str">
        <f>HYPERLINK("http://141.218.60.56/~jnz1568/getInfo.php?workbook=16_08.xlsx&amp;sheet=U0&amp;row=8199&amp;col=7&amp;number=0.00443&amp;sourceID=14","0.00443")</f>
        <v>0.00443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HYPERLINK("http://141.218.60.56/~jnz1568/getInfo.php?workbook=16_08.xlsx&amp;sheet=U0&amp;row=8200&amp;col=6&amp;number=4.6&amp;sourceID=14","4.6")</f>
        <v>4.6</v>
      </c>
      <c r="G8200" s="4" t="str">
        <f>HYPERLINK("http://141.218.60.56/~jnz1568/getInfo.php?workbook=16_08.xlsx&amp;sheet=U0&amp;row=8200&amp;col=7&amp;number=0.00442&amp;sourceID=14","0.00442")</f>
        <v>0.00442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HYPERLINK("http://141.218.60.56/~jnz1568/getInfo.php?workbook=16_08.xlsx&amp;sheet=U0&amp;row=8201&amp;col=6&amp;number=4.7&amp;sourceID=14","4.7")</f>
        <v>4.7</v>
      </c>
      <c r="G8201" s="4" t="str">
        <f>HYPERLINK("http://141.218.60.56/~jnz1568/getInfo.php?workbook=16_08.xlsx&amp;sheet=U0&amp;row=8201&amp;col=7&amp;number=0.0044&amp;sourceID=14","0.0044")</f>
        <v>0.0044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HYPERLINK("http://141.218.60.56/~jnz1568/getInfo.php?workbook=16_08.xlsx&amp;sheet=U0&amp;row=8202&amp;col=6&amp;number=4.8&amp;sourceID=14","4.8")</f>
        <v>4.8</v>
      </c>
      <c r="G8202" s="4" t="str">
        <f>HYPERLINK("http://141.218.60.56/~jnz1568/getInfo.php?workbook=16_08.xlsx&amp;sheet=U0&amp;row=8202&amp;col=7&amp;number=0.00439&amp;sourceID=14","0.00439")</f>
        <v>0.00439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HYPERLINK("http://141.218.60.56/~jnz1568/getInfo.php?workbook=16_08.xlsx&amp;sheet=U0&amp;row=8203&amp;col=6&amp;number=4.9&amp;sourceID=14","4.9")</f>
        <v>4.9</v>
      </c>
      <c r="G8203" s="4" t="str">
        <f>HYPERLINK("http://141.218.60.56/~jnz1568/getInfo.php?workbook=16_08.xlsx&amp;sheet=U0&amp;row=8203&amp;col=7&amp;number=0.00437&amp;sourceID=14","0.00437")</f>
        <v>0.00437</v>
      </c>
    </row>
    <row r="8204" spans="1:7">
      <c r="A8204" s="3">
        <v>16</v>
      </c>
      <c r="B8204" s="3">
        <v>8</v>
      </c>
      <c r="C8204" s="3">
        <v>5</v>
      </c>
      <c r="D8204" s="3">
        <v>82</v>
      </c>
      <c r="E8204" s="3">
        <v>1</v>
      </c>
      <c r="F8204" s="4" t="str">
        <f>HYPERLINK("http://141.218.60.56/~jnz1568/getInfo.php?workbook=16_08.xlsx&amp;sheet=U0&amp;row=8204&amp;col=6&amp;number=3&amp;sourceID=14","3")</f>
        <v>3</v>
      </c>
      <c r="G8204" s="4" t="str">
        <f>HYPERLINK("http://141.218.60.56/~jnz1568/getInfo.php?workbook=16_08.xlsx&amp;sheet=U0&amp;row=8204&amp;col=7&amp;number=0.00726&amp;sourceID=14","0.00726")</f>
        <v>0.00726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HYPERLINK("http://141.218.60.56/~jnz1568/getInfo.php?workbook=16_08.xlsx&amp;sheet=U0&amp;row=8205&amp;col=6&amp;number=3.1&amp;sourceID=14","3.1")</f>
        <v>3.1</v>
      </c>
      <c r="G8205" s="4" t="str">
        <f>HYPERLINK("http://141.218.60.56/~jnz1568/getInfo.php?workbook=16_08.xlsx&amp;sheet=U0&amp;row=8205&amp;col=7&amp;number=0.00726&amp;sourceID=14","0.00726")</f>
        <v>0.00726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HYPERLINK("http://141.218.60.56/~jnz1568/getInfo.php?workbook=16_08.xlsx&amp;sheet=U0&amp;row=8206&amp;col=6&amp;number=3.2&amp;sourceID=14","3.2")</f>
        <v>3.2</v>
      </c>
      <c r="G8206" s="4" t="str">
        <f>HYPERLINK("http://141.218.60.56/~jnz1568/getInfo.php?workbook=16_08.xlsx&amp;sheet=U0&amp;row=8206&amp;col=7&amp;number=0.00726&amp;sourceID=14","0.00726")</f>
        <v>0.00726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HYPERLINK("http://141.218.60.56/~jnz1568/getInfo.php?workbook=16_08.xlsx&amp;sheet=U0&amp;row=8207&amp;col=6&amp;number=3.3&amp;sourceID=14","3.3")</f>
        <v>3.3</v>
      </c>
      <c r="G8207" s="4" t="str">
        <f>HYPERLINK("http://141.218.60.56/~jnz1568/getInfo.php?workbook=16_08.xlsx&amp;sheet=U0&amp;row=8207&amp;col=7&amp;number=0.00726&amp;sourceID=14","0.00726")</f>
        <v>0.00726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HYPERLINK("http://141.218.60.56/~jnz1568/getInfo.php?workbook=16_08.xlsx&amp;sheet=U0&amp;row=8208&amp;col=6&amp;number=3.4&amp;sourceID=14","3.4")</f>
        <v>3.4</v>
      </c>
      <c r="G8208" s="4" t="str">
        <f>HYPERLINK("http://141.218.60.56/~jnz1568/getInfo.php?workbook=16_08.xlsx&amp;sheet=U0&amp;row=8208&amp;col=7&amp;number=0.00726&amp;sourceID=14","0.00726")</f>
        <v>0.00726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HYPERLINK("http://141.218.60.56/~jnz1568/getInfo.php?workbook=16_08.xlsx&amp;sheet=U0&amp;row=8209&amp;col=6&amp;number=3.5&amp;sourceID=14","3.5")</f>
        <v>3.5</v>
      </c>
      <c r="G8209" s="4" t="str">
        <f>HYPERLINK("http://141.218.60.56/~jnz1568/getInfo.php?workbook=16_08.xlsx&amp;sheet=U0&amp;row=8209&amp;col=7&amp;number=0.00726&amp;sourceID=14","0.00726")</f>
        <v>0.00726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HYPERLINK("http://141.218.60.56/~jnz1568/getInfo.php?workbook=16_08.xlsx&amp;sheet=U0&amp;row=8210&amp;col=6&amp;number=3.6&amp;sourceID=14","3.6")</f>
        <v>3.6</v>
      </c>
      <c r="G8210" s="4" t="str">
        <f>HYPERLINK("http://141.218.60.56/~jnz1568/getInfo.php?workbook=16_08.xlsx&amp;sheet=U0&amp;row=8210&amp;col=7&amp;number=0.00725&amp;sourceID=14","0.00725")</f>
        <v>0.00725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HYPERLINK("http://141.218.60.56/~jnz1568/getInfo.php?workbook=16_08.xlsx&amp;sheet=U0&amp;row=8211&amp;col=6&amp;number=3.7&amp;sourceID=14","3.7")</f>
        <v>3.7</v>
      </c>
      <c r="G8211" s="4" t="str">
        <f>HYPERLINK("http://141.218.60.56/~jnz1568/getInfo.php?workbook=16_08.xlsx&amp;sheet=U0&amp;row=8211&amp;col=7&amp;number=0.00725&amp;sourceID=14","0.00725")</f>
        <v>0.00725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HYPERLINK("http://141.218.60.56/~jnz1568/getInfo.php?workbook=16_08.xlsx&amp;sheet=U0&amp;row=8212&amp;col=6&amp;number=3.8&amp;sourceID=14","3.8")</f>
        <v>3.8</v>
      </c>
      <c r="G8212" s="4" t="str">
        <f>HYPERLINK("http://141.218.60.56/~jnz1568/getInfo.php?workbook=16_08.xlsx&amp;sheet=U0&amp;row=8212&amp;col=7&amp;number=0.00725&amp;sourceID=14","0.00725")</f>
        <v>0.00725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HYPERLINK("http://141.218.60.56/~jnz1568/getInfo.php?workbook=16_08.xlsx&amp;sheet=U0&amp;row=8213&amp;col=6&amp;number=3.9&amp;sourceID=14","3.9")</f>
        <v>3.9</v>
      </c>
      <c r="G8213" s="4" t="str">
        <f>HYPERLINK("http://141.218.60.56/~jnz1568/getInfo.php?workbook=16_08.xlsx&amp;sheet=U0&amp;row=8213&amp;col=7&amp;number=0.00725&amp;sourceID=14","0.00725")</f>
        <v>0.00725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HYPERLINK("http://141.218.60.56/~jnz1568/getInfo.php?workbook=16_08.xlsx&amp;sheet=U0&amp;row=8214&amp;col=6&amp;number=4&amp;sourceID=14","4")</f>
        <v>4</v>
      </c>
      <c r="G8214" s="4" t="str">
        <f>HYPERLINK("http://141.218.60.56/~jnz1568/getInfo.php?workbook=16_08.xlsx&amp;sheet=U0&amp;row=8214&amp;col=7&amp;number=0.00724&amp;sourceID=14","0.00724")</f>
        <v>0.00724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HYPERLINK("http://141.218.60.56/~jnz1568/getInfo.php?workbook=16_08.xlsx&amp;sheet=U0&amp;row=8215&amp;col=6&amp;number=4.1&amp;sourceID=14","4.1")</f>
        <v>4.1</v>
      </c>
      <c r="G8215" s="4" t="str">
        <f>HYPERLINK("http://141.218.60.56/~jnz1568/getInfo.php?workbook=16_08.xlsx&amp;sheet=U0&amp;row=8215&amp;col=7&amp;number=0.00724&amp;sourceID=14","0.00724")</f>
        <v>0.00724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HYPERLINK("http://141.218.60.56/~jnz1568/getInfo.php?workbook=16_08.xlsx&amp;sheet=U0&amp;row=8216&amp;col=6&amp;number=4.2&amp;sourceID=14","4.2")</f>
        <v>4.2</v>
      </c>
      <c r="G8216" s="4" t="str">
        <f>HYPERLINK("http://141.218.60.56/~jnz1568/getInfo.php?workbook=16_08.xlsx&amp;sheet=U0&amp;row=8216&amp;col=7&amp;number=0.00723&amp;sourceID=14","0.00723")</f>
        <v>0.00723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HYPERLINK("http://141.218.60.56/~jnz1568/getInfo.php?workbook=16_08.xlsx&amp;sheet=U0&amp;row=8217&amp;col=6&amp;number=4.3&amp;sourceID=14","4.3")</f>
        <v>4.3</v>
      </c>
      <c r="G8217" s="4" t="str">
        <f>HYPERLINK("http://141.218.60.56/~jnz1568/getInfo.php?workbook=16_08.xlsx&amp;sheet=U0&amp;row=8217&amp;col=7&amp;number=0.00722&amp;sourceID=14","0.00722")</f>
        <v>0.00722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HYPERLINK("http://141.218.60.56/~jnz1568/getInfo.php?workbook=16_08.xlsx&amp;sheet=U0&amp;row=8218&amp;col=6&amp;number=4.4&amp;sourceID=14","4.4")</f>
        <v>4.4</v>
      </c>
      <c r="G8218" s="4" t="str">
        <f>HYPERLINK("http://141.218.60.56/~jnz1568/getInfo.php?workbook=16_08.xlsx&amp;sheet=U0&amp;row=8218&amp;col=7&amp;number=0.00721&amp;sourceID=14","0.00721")</f>
        <v>0.00721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HYPERLINK("http://141.218.60.56/~jnz1568/getInfo.php?workbook=16_08.xlsx&amp;sheet=U0&amp;row=8219&amp;col=6&amp;number=4.5&amp;sourceID=14","4.5")</f>
        <v>4.5</v>
      </c>
      <c r="G8219" s="4" t="str">
        <f>HYPERLINK("http://141.218.60.56/~jnz1568/getInfo.php?workbook=16_08.xlsx&amp;sheet=U0&amp;row=8219&amp;col=7&amp;number=0.0072&amp;sourceID=14","0.0072")</f>
        <v>0.0072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HYPERLINK("http://141.218.60.56/~jnz1568/getInfo.php?workbook=16_08.xlsx&amp;sheet=U0&amp;row=8220&amp;col=6&amp;number=4.6&amp;sourceID=14","4.6")</f>
        <v>4.6</v>
      </c>
      <c r="G8220" s="4" t="str">
        <f>HYPERLINK("http://141.218.60.56/~jnz1568/getInfo.php?workbook=16_08.xlsx&amp;sheet=U0&amp;row=8220&amp;col=7&amp;number=0.00719&amp;sourceID=14","0.00719")</f>
        <v>0.00719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HYPERLINK("http://141.218.60.56/~jnz1568/getInfo.php?workbook=16_08.xlsx&amp;sheet=U0&amp;row=8221&amp;col=6&amp;number=4.7&amp;sourceID=14","4.7")</f>
        <v>4.7</v>
      </c>
      <c r="G8221" s="4" t="str">
        <f>HYPERLINK("http://141.218.60.56/~jnz1568/getInfo.php?workbook=16_08.xlsx&amp;sheet=U0&amp;row=8221&amp;col=7&amp;number=0.00717&amp;sourceID=14","0.00717")</f>
        <v>0.00717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HYPERLINK("http://141.218.60.56/~jnz1568/getInfo.php?workbook=16_08.xlsx&amp;sheet=U0&amp;row=8222&amp;col=6&amp;number=4.8&amp;sourceID=14","4.8")</f>
        <v>4.8</v>
      </c>
      <c r="G8222" s="4" t="str">
        <f>HYPERLINK("http://141.218.60.56/~jnz1568/getInfo.php?workbook=16_08.xlsx&amp;sheet=U0&amp;row=8222&amp;col=7&amp;number=0.00714&amp;sourceID=14","0.00714")</f>
        <v>0.00714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HYPERLINK("http://141.218.60.56/~jnz1568/getInfo.php?workbook=16_08.xlsx&amp;sheet=U0&amp;row=8223&amp;col=6&amp;number=4.9&amp;sourceID=14","4.9")</f>
        <v>4.9</v>
      </c>
      <c r="G8223" s="4" t="str">
        <f>HYPERLINK("http://141.218.60.56/~jnz1568/getInfo.php?workbook=16_08.xlsx&amp;sheet=U0&amp;row=8223&amp;col=7&amp;number=0.00711&amp;sourceID=14","0.00711")</f>
        <v>0.00711</v>
      </c>
    </row>
    <row r="8224" spans="1:7">
      <c r="A8224" s="3">
        <v>16</v>
      </c>
      <c r="B8224" s="3">
        <v>8</v>
      </c>
      <c r="C8224" s="3">
        <v>5</v>
      </c>
      <c r="D8224" s="3">
        <v>83</v>
      </c>
      <c r="E8224" s="3">
        <v>1</v>
      </c>
      <c r="F8224" s="4" t="str">
        <f>HYPERLINK("http://141.218.60.56/~jnz1568/getInfo.php?workbook=16_08.xlsx&amp;sheet=U0&amp;row=8224&amp;col=6&amp;number=3&amp;sourceID=14","3")</f>
        <v>3</v>
      </c>
      <c r="G8224" s="4" t="str">
        <f>HYPERLINK("http://141.218.60.56/~jnz1568/getInfo.php?workbook=16_08.xlsx&amp;sheet=U0&amp;row=8224&amp;col=7&amp;number=0.00288&amp;sourceID=14","0.00288")</f>
        <v>0.00288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HYPERLINK("http://141.218.60.56/~jnz1568/getInfo.php?workbook=16_08.xlsx&amp;sheet=U0&amp;row=8225&amp;col=6&amp;number=3.1&amp;sourceID=14","3.1")</f>
        <v>3.1</v>
      </c>
      <c r="G8225" s="4" t="str">
        <f>HYPERLINK("http://141.218.60.56/~jnz1568/getInfo.php?workbook=16_08.xlsx&amp;sheet=U0&amp;row=8225&amp;col=7&amp;number=0.00288&amp;sourceID=14","0.00288")</f>
        <v>0.00288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HYPERLINK("http://141.218.60.56/~jnz1568/getInfo.php?workbook=16_08.xlsx&amp;sheet=U0&amp;row=8226&amp;col=6&amp;number=3.2&amp;sourceID=14","3.2")</f>
        <v>3.2</v>
      </c>
      <c r="G8226" s="4" t="str">
        <f>HYPERLINK("http://141.218.60.56/~jnz1568/getInfo.php?workbook=16_08.xlsx&amp;sheet=U0&amp;row=8226&amp;col=7&amp;number=0.00288&amp;sourceID=14","0.00288")</f>
        <v>0.00288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HYPERLINK("http://141.218.60.56/~jnz1568/getInfo.php?workbook=16_08.xlsx&amp;sheet=U0&amp;row=8227&amp;col=6&amp;number=3.3&amp;sourceID=14","3.3")</f>
        <v>3.3</v>
      </c>
      <c r="G8227" s="4" t="str">
        <f>HYPERLINK("http://141.218.60.56/~jnz1568/getInfo.php?workbook=16_08.xlsx&amp;sheet=U0&amp;row=8227&amp;col=7&amp;number=0.00288&amp;sourceID=14","0.00288")</f>
        <v>0.00288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HYPERLINK("http://141.218.60.56/~jnz1568/getInfo.php?workbook=16_08.xlsx&amp;sheet=U0&amp;row=8228&amp;col=6&amp;number=3.4&amp;sourceID=14","3.4")</f>
        <v>3.4</v>
      </c>
      <c r="G8228" s="4" t="str">
        <f>HYPERLINK("http://141.218.60.56/~jnz1568/getInfo.php?workbook=16_08.xlsx&amp;sheet=U0&amp;row=8228&amp;col=7&amp;number=0.00288&amp;sourceID=14","0.00288")</f>
        <v>0.00288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HYPERLINK("http://141.218.60.56/~jnz1568/getInfo.php?workbook=16_08.xlsx&amp;sheet=U0&amp;row=8229&amp;col=6&amp;number=3.5&amp;sourceID=14","3.5")</f>
        <v>3.5</v>
      </c>
      <c r="G8229" s="4" t="str">
        <f>HYPERLINK("http://141.218.60.56/~jnz1568/getInfo.php?workbook=16_08.xlsx&amp;sheet=U0&amp;row=8229&amp;col=7&amp;number=0.00288&amp;sourceID=14","0.00288")</f>
        <v>0.00288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HYPERLINK("http://141.218.60.56/~jnz1568/getInfo.php?workbook=16_08.xlsx&amp;sheet=U0&amp;row=8230&amp;col=6&amp;number=3.6&amp;sourceID=14","3.6")</f>
        <v>3.6</v>
      </c>
      <c r="G8230" s="4" t="str">
        <f>HYPERLINK("http://141.218.60.56/~jnz1568/getInfo.php?workbook=16_08.xlsx&amp;sheet=U0&amp;row=8230&amp;col=7&amp;number=0.00288&amp;sourceID=14","0.00288")</f>
        <v>0.00288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HYPERLINK("http://141.218.60.56/~jnz1568/getInfo.php?workbook=16_08.xlsx&amp;sheet=U0&amp;row=8231&amp;col=6&amp;number=3.7&amp;sourceID=14","3.7")</f>
        <v>3.7</v>
      </c>
      <c r="G8231" s="4" t="str">
        <f>HYPERLINK("http://141.218.60.56/~jnz1568/getInfo.php?workbook=16_08.xlsx&amp;sheet=U0&amp;row=8231&amp;col=7&amp;number=0.00288&amp;sourceID=14","0.00288")</f>
        <v>0.00288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HYPERLINK("http://141.218.60.56/~jnz1568/getInfo.php?workbook=16_08.xlsx&amp;sheet=U0&amp;row=8232&amp;col=6&amp;number=3.8&amp;sourceID=14","3.8")</f>
        <v>3.8</v>
      </c>
      <c r="G8232" s="4" t="str">
        <f>HYPERLINK("http://141.218.60.56/~jnz1568/getInfo.php?workbook=16_08.xlsx&amp;sheet=U0&amp;row=8232&amp;col=7&amp;number=0.00288&amp;sourceID=14","0.00288")</f>
        <v>0.00288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HYPERLINK("http://141.218.60.56/~jnz1568/getInfo.php?workbook=16_08.xlsx&amp;sheet=U0&amp;row=8233&amp;col=6&amp;number=3.9&amp;sourceID=14","3.9")</f>
        <v>3.9</v>
      </c>
      <c r="G8233" s="4" t="str">
        <f>HYPERLINK("http://141.218.60.56/~jnz1568/getInfo.php?workbook=16_08.xlsx&amp;sheet=U0&amp;row=8233&amp;col=7&amp;number=0.00288&amp;sourceID=14","0.00288")</f>
        <v>0.00288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HYPERLINK("http://141.218.60.56/~jnz1568/getInfo.php?workbook=16_08.xlsx&amp;sheet=U0&amp;row=8234&amp;col=6&amp;number=4&amp;sourceID=14","4")</f>
        <v>4</v>
      </c>
      <c r="G8234" s="4" t="str">
        <f>HYPERLINK("http://141.218.60.56/~jnz1568/getInfo.php?workbook=16_08.xlsx&amp;sheet=U0&amp;row=8234&amp;col=7&amp;number=0.00288&amp;sourceID=14","0.00288")</f>
        <v>0.00288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HYPERLINK("http://141.218.60.56/~jnz1568/getInfo.php?workbook=16_08.xlsx&amp;sheet=U0&amp;row=8235&amp;col=6&amp;number=4.1&amp;sourceID=14","4.1")</f>
        <v>4.1</v>
      </c>
      <c r="G8235" s="4" t="str">
        <f>HYPERLINK("http://141.218.60.56/~jnz1568/getInfo.php?workbook=16_08.xlsx&amp;sheet=U0&amp;row=8235&amp;col=7&amp;number=0.00287&amp;sourceID=14","0.00287")</f>
        <v>0.00287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HYPERLINK("http://141.218.60.56/~jnz1568/getInfo.php?workbook=16_08.xlsx&amp;sheet=U0&amp;row=8236&amp;col=6&amp;number=4.2&amp;sourceID=14","4.2")</f>
        <v>4.2</v>
      </c>
      <c r="G8236" s="4" t="str">
        <f>HYPERLINK("http://141.218.60.56/~jnz1568/getInfo.php?workbook=16_08.xlsx&amp;sheet=U0&amp;row=8236&amp;col=7&amp;number=0.00287&amp;sourceID=14","0.00287")</f>
        <v>0.00287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HYPERLINK("http://141.218.60.56/~jnz1568/getInfo.php?workbook=16_08.xlsx&amp;sheet=U0&amp;row=8237&amp;col=6&amp;number=4.3&amp;sourceID=14","4.3")</f>
        <v>4.3</v>
      </c>
      <c r="G8237" s="4" t="str">
        <f>HYPERLINK("http://141.218.60.56/~jnz1568/getInfo.php?workbook=16_08.xlsx&amp;sheet=U0&amp;row=8237&amp;col=7&amp;number=0.00287&amp;sourceID=14","0.00287")</f>
        <v>0.00287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HYPERLINK("http://141.218.60.56/~jnz1568/getInfo.php?workbook=16_08.xlsx&amp;sheet=U0&amp;row=8238&amp;col=6&amp;number=4.4&amp;sourceID=14","4.4")</f>
        <v>4.4</v>
      </c>
      <c r="G8238" s="4" t="str">
        <f>HYPERLINK("http://141.218.60.56/~jnz1568/getInfo.php?workbook=16_08.xlsx&amp;sheet=U0&amp;row=8238&amp;col=7&amp;number=0.00286&amp;sourceID=14","0.00286")</f>
        <v>0.00286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HYPERLINK("http://141.218.60.56/~jnz1568/getInfo.php?workbook=16_08.xlsx&amp;sheet=U0&amp;row=8239&amp;col=6&amp;number=4.5&amp;sourceID=14","4.5")</f>
        <v>4.5</v>
      </c>
      <c r="G8239" s="4" t="str">
        <f>HYPERLINK("http://141.218.60.56/~jnz1568/getInfo.php?workbook=16_08.xlsx&amp;sheet=U0&amp;row=8239&amp;col=7&amp;number=0.00286&amp;sourceID=14","0.00286")</f>
        <v>0.00286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HYPERLINK("http://141.218.60.56/~jnz1568/getInfo.php?workbook=16_08.xlsx&amp;sheet=U0&amp;row=8240&amp;col=6&amp;number=4.6&amp;sourceID=14","4.6")</f>
        <v>4.6</v>
      </c>
      <c r="G8240" s="4" t="str">
        <f>HYPERLINK("http://141.218.60.56/~jnz1568/getInfo.php?workbook=16_08.xlsx&amp;sheet=U0&amp;row=8240&amp;col=7&amp;number=0.00285&amp;sourceID=14","0.00285")</f>
        <v>0.00285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HYPERLINK("http://141.218.60.56/~jnz1568/getInfo.php?workbook=16_08.xlsx&amp;sheet=U0&amp;row=8241&amp;col=6&amp;number=4.7&amp;sourceID=14","4.7")</f>
        <v>4.7</v>
      </c>
      <c r="G8241" s="4" t="str">
        <f>HYPERLINK("http://141.218.60.56/~jnz1568/getInfo.php?workbook=16_08.xlsx&amp;sheet=U0&amp;row=8241&amp;col=7&amp;number=0.00284&amp;sourceID=14","0.00284")</f>
        <v>0.00284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HYPERLINK("http://141.218.60.56/~jnz1568/getInfo.php?workbook=16_08.xlsx&amp;sheet=U0&amp;row=8242&amp;col=6&amp;number=4.8&amp;sourceID=14","4.8")</f>
        <v>4.8</v>
      </c>
      <c r="G8242" s="4" t="str">
        <f>HYPERLINK("http://141.218.60.56/~jnz1568/getInfo.php?workbook=16_08.xlsx&amp;sheet=U0&amp;row=8242&amp;col=7&amp;number=0.00283&amp;sourceID=14","0.00283")</f>
        <v>0.00283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HYPERLINK("http://141.218.60.56/~jnz1568/getInfo.php?workbook=16_08.xlsx&amp;sheet=U0&amp;row=8243&amp;col=6&amp;number=4.9&amp;sourceID=14","4.9")</f>
        <v>4.9</v>
      </c>
      <c r="G8243" s="4" t="str">
        <f>HYPERLINK("http://141.218.60.56/~jnz1568/getInfo.php?workbook=16_08.xlsx&amp;sheet=U0&amp;row=8243&amp;col=7&amp;number=0.00282&amp;sourceID=14","0.00282")</f>
        <v>0.00282</v>
      </c>
    </row>
    <row r="8244" spans="1:7">
      <c r="A8244" s="3">
        <v>16</v>
      </c>
      <c r="B8244" s="3">
        <v>8</v>
      </c>
      <c r="C8244" s="3">
        <v>5</v>
      </c>
      <c r="D8244" s="3">
        <v>84</v>
      </c>
      <c r="E8244" s="3">
        <v>1</v>
      </c>
      <c r="F8244" s="4" t="str">
        <f>HYPERLINK("http://141.218.60.56/~jnz1568/getInfo.php?workbook=16_08.xlsx&amp;sheet=U0&amp;row=8244&amp;col=6&amp;number=3&amp;sourceID=14","3")</f>
        <v>3</v>
      </c>
      <c r="G8244" s="4" t="str">
        <f>HYPERLINK("http://141.218.60.56/~jnz1568/getInfo.php?workbook=16_08.xlsx&amp;sheet=U0&amp;row=8244&amp;col=7&amp;number=0.00437&amp;sourceID=14","0.00437")</f>
        <v>0.00437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HYPERLINK("http://141.218.60.56/~jnz1568/getInfo.php?workbook=16_08.xlsx&amp;sheet=U0&amp;row=8245&amp;col=6&amp;number=3.1&amp;sourceID=14","3.1")</f>
        <v>3.1</v>
      </c>
      <c r="G8245" s="4" t="str">
        <f>HYPERLINK("http://141.218.60.56/~jnz1568/getInfo.php?workbook=16_08.xlsx&amp;sheet=U0&amp;row=8245&amp;col=7&amp;number=0.00437&amp;sourceID=14","0.00437")</f>
        <v>0.00437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HYPERLINK("http://141.218.60.56/~jnz1568/getInfo.php?workbook=16_08.xlsx&amp;sheet=U0&amp;row=8246&amp;col=6&amp;number=3.2&amp;sourceID=14","3.2")</f>
        <v>3.2</v>
      </c>
      <c r="G8246" s="4" t="str">
        <f>HYPERLINK("http://141.218.60.56/~jnz1568/getInfo.php?workbook=16_08.xlsx&amp;sheet=U0&amp;row=8246&amp;col=7&amp;number=0.00437&amp;sourceID=14","0.00437")</f>
        <v>0.00437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HYPERLINK("http://141.218.60.56/~jnz1568/getInfo.php?workbook=16_08.xlsx&amp;sheet=U0&amp;row=8247&amp;col=6&amp;number=3.3&amp;sourceID=14","3.3")</f>
        <v>3.3</v>
      </c>
      <c r="G8247" s="4" t="str">
        <f>HYPERLINK("http://141.218.60.56/~jnz1568/getInfo.php?workbook=16_08.xlsx&amp;sheet=U0&amp;row=8247&amp;col=7&amp;number=0.00437&amp;sourceID=14","0.00437")</f>
        <v>0.00437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HYPERLINK("http://141.218.60.56/~jnz1568/getInfo.php?workbook=16_08.xlsx&amp;sheet=U0&amp;row=8248&amp;col=6&amp;number=3.4&amp;sourceID=14","3.4")</f>
        <v>3.4</v>
      </c>
      <c r="G8248" s="4" t="str">
        <f>HYPERLINK("http://141.218.60.56/~jnz1568/getInfo.php?workbook=16_08.xlsx&amp;sheet=U0&amp;row=8248&amp;col=7&amp;number=0.00437&amp;sourceID=14","0.00437")</f>
        <v>0.00437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HYPERLINK("http://141.218.60.56/~jnz1568/getInfo.php?workbook=16_08.xlsx&amp;sheet=U0&amp;row=8249&amp;col=6&amp;number=3.5&amp;sourceID=14","3.5")</f>
        <v>3.5</v>
      </c>
      <c r="G8249" s="4" t="str">
        <f>HYPERLINK("http://141.218.60.56/~jnz1568/getInfo.php?workbook=16_08.xlsx&amp;sheet=U0&amp;row=8249&amp;col=7&amp;number=0.00437&amp;sourceID=14","0.00437")</f>
        <v>0.00437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HYPERLINK("http://141.218.60.56/~jnz1568/getInfo.php?workbook=16_08.xlsx&amp;sheet=U0&amp;row=8250&amp;col=6&amp;number=3.6&amp;sourceID=14","3.6")</f>
        <v>3.6</v>
      </c>
      <c r="G8250" s="4" t="str">
        <f>HYPERLINK("http://141.218.60.56/~jnz1568/getInfo.php?workbook=16_08.xlsx&amp;sheet=U0&amp;row=8250&amp;col=7&amp;number=0.00437&amp;sourceID=14","0.00437")</f>
        <v>0.00437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HYPERLINK("http://141.218.60.56/~jnz1568/getInfo.php?workbook=16_08.xlsx&amp;sheet=U0&amp;row=8251&amp;col=6&amp;number=3.7&amp;sourceID=14","3.7")</f>
        <v>3.7</v>
      </c>
      <c r="G8251" s="4" t="str">
        <f>HYPERLINK("http://141.218.60.56/~jnz1568/getInfo.php?workbook=16_08.xlsx&amp;sheet=U0&amp;row=8251&amp;col=7&amp;number=0.00437&amp;sourceID=14","0.00437")</f>
        <v>0.00437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HYPERLINK("http://141.218.60.56/~jnz1568/getInfo.php?workbook=16_08.xlsx&amp;sheet=U0&amp;row=8252&amp;col=6&amp;number=3.8&amp;sourceID=14","3.8")</f>
        <v>3.8</v>
      </c>
      <c r="G8252" s="4" t="str">
        <f>HYPERLINK("http://141.218.60.56/~jnz1568/getInfo.php?workbook=16_08.xlsx&amp;sheet=U0&amp;row=8252&amp;col=7&amp;number=0.00436&amp;sourceID=14","0.00436")</f>
        <v>0.00436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HYPERLINK("http://141.218.60.56/~jnz1568/getInfo.php?workbook=16_08.xlsx&amp;sheet=U0&amp;row=8253&amp;col=6&amp;number=3.9&amp;sourceID=14","3.9")</f>
        <v>3.9</v>
      </c>
      <c r="G8253" s="4" t="str">
        <f>HYPERLINK("http://141.218.60.56/~jnz1568/getInfo.php?workbook=16_08.xlsx&amp;sheet=U0&amp;row=8253&amp;col=7&amp;number=0.00436&amp;sourceID=14","0.00436")</f>
        <v>0.00436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HYPERLINK("http://141.218.60.56/~jnz1568/getInfo.php?workbook=16_08.xlsx&amp;sheet=U0&amp;row=8254&amp;col=6&amp;number=4&amp;sourceID=14","4")</f>
        <v>4</v>
      </c>
      <c r="G8254" s="4" t="str">
        <f>HYPERLINK("http://141.218.60.56/~jnz1568/getInfo.php?workbook=16_08.xlsx&amp;sheet=U0&amp;row=8254&amp;col=7&amp;number=0.00436&amp;sourceID=14","0.00436")</f>
        <v>0.00436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HYPERLINK("http://141.218.60.56/~jnz1568/getInfo.php?workbook=16_08.xlsx&amp;sheet=U0&amp;row=8255&amp;col=6&amp;number=4.1&amp;sourceID=14","4.1")</f>
        <v>4.1</v>
      </c>
      <c r="G8255" s="4" t="str">
        <f>HYPERLINK("http://141.218.60.56/~jnz1568/getInfo.php?workbook=16_08.xlsx&amp;sheet=U0&amp;row=8255&amp;col=7&amp;number=0.00436&amp;sourceID=14","0.00436")</f>
        <v>0.00436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HYPERLINK("http://141.218.60.56/~jnz1568/getInfo.php?workbook=16_08.xlsx&amp;sheet=U0&amp;row=8256&amp;col=6&amp;number=4.2&amp;sourceID=14","4.2")</f>
        <v>4.2</v>
      </c>
      <c r="G8256" s="4" t="str">
        <f>HYPERLINK("http://141.218.60.56/~jnz1568/getInfo.php?workbook=16_08.xlsx&amp;sheet=U0&amp;row=8256&amp;col=7&amp;number=0.00435&amp;sourceID=14","0.00435")</f>
        <v>0.00435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HYPERLINK("http://141.218.60.56/~jnz1568/getInfo.php?workbook=16_08.xlsx&amp;sheet=U0&amp;row=8257&amp;col=6&amp;number=4.3&amp;sourceID=14","4.3")</f>
        <v>4.3</v>
      </c>
      <c r="G8257" s="4" t="str">
        <f>HYPERLINK("http://141.218.60.56/~jnz1568/getInfo.php?workbook=16_08.xlsx&amp;sheet=U0&amp;row=8257&amp;col=7&amp;number=0.00435&amp;sourceID=14","0.00435")</f>
        <v>0.00435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HYPERLINK("http://141.218.60.56/~jnz1568/getInfo.php?workbook=16_08.xlsx&amp;sheet=U0&amp;row=8258&amp;col=6&amp;number=4.4&amp;sourceID=14","4.4")</f>
        <v>4.4</v>
      </c>
      <c r="G8258" s="4" t="str">
        <f>HYPERLINK("http://141.218.60.56/~jnz1568/getInfo.php?workbook=16_08.xlsx&amp;sheet=U0&amp;row=8258&amp;col=7&amp;number=0.00434&amp;sourceID=14","0.00434")</f>
        <v>0.00434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HYPERLINK("http://141.218.60.56/~jnz1568/getInfo.php?workbook=16_08.xlsx&amp;sheet=U0&amp;row=8259&amp;col=6&amp;number=4.5&amp;sourceID=14","4.5")</f>
        <v>4.5</v>
      </c>
      <c r="G8259" s="4" t="str">
        <f>HYPERLINK("http://141.218.60.56/~jnz1568/getInfo.php?workbook=16_08.xlsx&amp;sheet=U0&amp;row=8259&amp;col=7&amp;number=0.00434&amp;sourceID=14","0.00434")</f>
        <v>0.00434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HYPERLINK("http://141.218.60.56/~jnz1568/getInfo.php?workbook=16_08.xlsx&amp;sheet=U0&amp;row=8260&amp;col=6&amp;number=4.6&amp;sourceID=14","4.6")</f>
        <v>4.6</v>
      </c>
      <c r="G8260" s="4" t="str">
        <f>HYPERLINK("http://141.218.60.56/~jnz1568/getInfo.php?workbook=16_08.xlsx&amp;sheet=U0&amp;row=8260&amp;col=7&amp;number=0.00433&amp;sourceID=14","0.00433")</f>
        <v>0.00433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HYPERLINK("http://141.218.60.56/~jnz1568/getInfo.php?workbook=16_08.xlsx&amp;sheet=U0&amp;row=8261&amp;col=6&amp;number=4.7&amp;sourceID=14","4.7")</f>
        <v>4.7</v>
      </c>
      <c r="G8261" s="4" t="str">
        <f>HYPERLINK("http://141.218.60.56/~jnz1568/getInfo.php?workbook=16_08.xlsx&amp;sheet=U0&amp;row=8261&amp;col=7&amp;number=0.00431&amp;sourceID=14","0.00431")</f>
        <v>0.00431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HYPERLINK("http://141.218.60.56/~jnz1568/getInfo.php?workbook=16_08.xlsx&amp;sheet=U0&amp;row=8262&amp;col=6&amp;number=4.8&amp;sourceID=14","4.8")</f>
        <v>4.8</v>
      </c>
      <c r="G8262" s="4" t="str">
        <f>HYPERLINK("http://141.218.60.56/~jnz1568/getInfo.php?workbook=16_08.xlsx&amp;sheet=U0&amp;row=8262&amp;col=7&amp;number=0.0043&amp;sourceID=14","0.0043")</f>
        <v>0.0043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HYPERLINK("http://141.218.60.56/~jnz1568/getInfo.php?workbook=16_08.xlsx&amp;sheet=U0&amp;row=8263&amp;col=6&amp;number=4.9&amp;sourceID=14","4.9")</f>
        <v>4.9</v>
      </c>
      <c r="G8263" s="4" t="str">
        <f>HYPERLINK("http://141.218.60.56/~jnz1568/getInfo.php?workbook=16_08.xlsx&amp;sheet=U0&amp;row=8263&amp;col=7&amp;number=0.00428&amp;sourceID=14","0.00428")</f>
        <v>0.00428</v>
      </c>
    </row>
    <row r="8264" spans="1:7">
      <c r="A8264" s="3">
        <v>16</v>
      </c>
      <c r="B8264" s="3">
        <v>8</v>
      </c>
      <c r="C8264" s="3">
        <v>5</v>
      </c>
      <c r="D8264" s="3">
        <v>85</v>
      </c>
      <c r="E8264" s="3">
        <v>1</v>
      </c>
      <c r="F8264" s="4" t="str">
        <f>HYPERLINK("http://141.218.60.56/~jnz1568/getInfo.php?workbook=16_08.xlsx&amp;sheet=U0&amp;row=8264&amp;col=6&amp;number=3&amp;sourceID=14","3")</f>
        <v>3</v>
      </c>
      <c r="G8264" s="4" t="str">
        <f>HYPERLINK("http://141.218.60.56/~jnz1568/getInfo.php?workbook=16_08.xlsx&amp;sheet=U0&amp;row=8264&amp;col=7&amp;number=0.00593&amp;sourceID=14","0.00593")</f>
        <v>0.00593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HYPERLINK("http://141.218.60.56/~jnz1568/getInfo.php?workbook=16_08.xlsx&amp;sheet=U0&amp;row=8265&amp;col=6&amp;number=3.1&amp;sourceID=14","3.1")</f>
        <v>3.1</v>
      </c>
      <c r="G8265" s="4" t="str">
        <f>HYPERLINK("http://141.218.60.56/~jnz1568/getInfo.php?workbook=16_08.xlsx&amp;sheet=U0&amp;row=8265&amp;col=7&amp;number=0.00593&amp;sourceID=14","0.00593")</f>
        <v>0.00593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HYPERLINK("http://141.218.60.56/~jnz1568/getInfo.php?workbook=16_08.xlsx&amp;sheet=U0&amp;row=8266&amp;col=6&amp;number=3.2&amp;sourceID=14","3.2")</f>
        <v>3.2</v>
      </c>
      <c r="G8266" s="4" t="str">
        <f>HYPERLINK("http://141.218.60.56/~jnz1568/getInfo.php?workbook=16_08.xlsx&amp;sheet=U0&amp;row=8266&amp;col=7&amp;number=0.00593&amp;sourceID=14","0.00593")</f>
        <v>0.00593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HYPERLINK("http://141.218.60.56/~jnz1568/getInfo.php?workbook=16_08.xlsx&amp;sheet=U0&amp;row=8267&amp;col=6&amp;number=3.3&amp;sourceID=14","3.3")</f>
        <v>3.3</v>
      </c>
      <c r="G8267" s="4" t="str">
        <f>HYPERLINK("http://141.218.60.56/~jnz1568/getInfo.php?workbook=16_08.xlsx&amp;sheet=U0&amp;row=8267&amp;col=7&amp;number=0.00593&amp;sourceID=14","0.00593")</f>
        <v>0.00593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HYPERLINK("http://141.218.60.56/~jnz1568/getInfo.php?workbook=16_08.xlsx&amp;sheet=U0&amp;row=8268&amp;col=6&amp;number=3.4&amp;sourceID=14","3.4")</f>
        <v>3.4</v>
      </c>
      <c r="G8268" s="4" t="str">
        <f>HYPERLINK("http://141.218.60.56/~jnz1568/getInfo.php?workbook=16_08.xlsx&amp;sheet=U0&amp;row=8268&amp;col=7&amp;number=0.00593&amp;sourceID=14","0.00593")</f>
        <v>0.00593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HYPERLINK("http://141.218.60.56/~jnz1568/getInfo.php?workbook=16_08.xlsx&amp;sheet=U0&amp;row=8269&amp;col=6&amp;number=3.5&amp;sourceID=14","3.5")</f>
        <v>3.5</v>
      </c>
      <c r="G8269" s="4" t="str">
        <f>HYPERLINK("http://141.218.60.56/~jnz1568/getInfo.php?workbook=16_08.xlsx&amp;sheet=U0&amp;row=8269&amp;col=7&amp;number=0.00593&amp;sourceID=14","0.00593")</f>
        <v>0.00593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HYPERLINK("http://141.218.60.56/~jnz1568/getInfo.php?workbook=16_08.xlsx&amp;sheet=U0&amp;row=8270&amp;col=6&amp;number=3.6&amp;sourceID=14","3.6")</f>
        <v>3.6</v>
      </c>
      <c r="G8270" s="4" t="str">
        <f>HYPERLINK("http://141.218.60.56/~jnz1568/getInfo.php?workbook=16_08.xlsx&amp;sheet=U0&amp;row=8270&amp;col=7&amp;number=0.00593&amp;sourceID=14","0.00593")</f>
        <v>0.00593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HYPERLINK("http://141.218.60.56/~jnz1568/getInfo.php?workbook=16_08.xlsx&amp;sheet=U0&amp;row=8271&amp;col=6&amp;number=3.7&amp;sourceID=14","3.7")</f>
        <v>3.7</v>
      </c>
      <c r="G8271" s="4" t="str">
        <f>HYPERLINK("http://141.218.60.56/~jnz1568/getInfo.php?workbook=16_08.xlsx&amp;sheet=U0&amp;row=8271&amp;col=7&amp;number=0.00593&amp;sourceID=14","0.00593")</f>
        <v>0.00593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HYPERLINK("http://141.218.60.56/~jnz1568/getInfo.php?workbook=16_08.xlsx&amp;sheet=U0&amp;row=8272&amp;col=6&amp;number=3.8&amp;sourceID=14","3.8")</f>
        <v>3.8</v>
      </c>
      <c r="G8272" s="4" t="str">
        <f>HYPERLINK("http://141.218.60.56/~jnz1568/getInfo.php?workbook=16_08.xlsx&amp;sheet=U0&amp;row=8272&amp;col=7&amp;number=0.00594&amp;sourceID=14","0.00594")</f>
        <v>0.00594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HYPERLINK("http://141.218.60.56/~jnz1568/getInfo.php?workbook=16_08.xlsx&amp;sheet=U0&amp;row=8273&amp;col=6&amp;number=3.9&amp;sourceID=14","3.9")</f>
        <v>3.9</v>
      </c>
      <c r="G8273" s="4" t="str">
        <f>HYPERLINK("http://141.218.60.56/~jnz1568/getInfo.php?workbook=16_08.xlsx&amp;sheet=U0&amp;row=8273&amp;col=7&amp;number=0.00594&amp;sourceID=14","0.00594")</f>
        <v>0.00594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HYPERLINK("http://141.218.60.56/~jnz1568/getInfo.php?workbook=16_08.xlsx&amp;sheet=U0&amp;row=8274&amp;col=6&amp;number=4&amp;sourceID=14","4")</f>
        <v>4</v>
      </c>
      <c r="G8274" s="4" t="str">
        <f>HYPERLINK("http://141.218.60.56/~jnz1568/getInfo.php?workbook=16_08.xlsx&amp;sheet=U0&amp;row=8274&amp;col=7&amp;number=0.00594&amp;sourceID=14","0.00594")</f>
        <v>0.00594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HYPERLINK("http://141.218.60.56/~jnz1568/getInfo.php?workbook=16_08.xlsx&amp;sheet=U0&amp;row=8275&amp;col=6&amp;number=4.1&amp;sourceID=14","4.1")</f>
        <v>4.1</v>
      </c>
      <c r="G8275" s="4" t="str">
        <f>HYPERLINK("http://141.218.60.56/~jnz1568/getInfo.php?workbook=16_08.xlsx&amp;sheet=U0&amp;row=8275&amp;col=7&amp;number=0.00595&amp;sourceID=14","0.00595")</f>
        <v>0.00595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HYPERLINK("http://141.218.60.56/~jnz1568/getInfo.php?workbook=16_08.xlsx&amp;sheet=U0&amp;row=8276&amp;col=6&amp;number=4.2&amp;sourceID=14","4.2")</f>
        <v>4.2</v>
      </c>
      <c r="G8276" s="4" t="str">
        <f>HYPERLINK("http://141.218.60.56/~jnz1568/getInfo.php?workbook=16_08.xlsx&amp;sheet=U0&amp;row=8276&amp;col=7&amp;number=0.00595&amp;sourceID=14","0.00595")</f>
        <v>0.00595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HYPERLINK("http://141.218.60.56/~jnz1568/getInfo.php?workbook=16_08.xlsx&amp;sheet=U0&amp;row=8277&amp;col=6&amp;number=4.3&amp;sourceID=14","4.3")</f>
        <v>4.3</v>
      </c>
      <c r="G8277" s="4" t="str">
        <f>HYPERLINK("http://141.218.60.56/~jnz1568/getInfo.php?workbook=16_08.xlsx&amp;sheet=U0&amp;row=8277&amp;col=7&amp;number=0.00596&amp;sourceID=14","0.00596")</f>
        <v>0.00596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HYPERLINK("http://141.218.60.56/~jnz1568/getInfo.php?workbook=16_08.xlsx&amp;sheet=U0&amp;row=8278&amp;col=6&amp;number=4.4&amp;sourceID=14","4.4")</f>
        <v>4.4</v>
      </c>
      <c r="G8278" s="4" t="str">
        <f>HYPERLINK("http://141.218.60.56/~jnz1568/getInfo.php?workbook=16_08.xlsx&amp;sheet=U0&amp;row=8278&amp;col=7&amp;number=0.00597&amp;sourceID=14","0.00597")</f>
        <v>0.00597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HYPERLINK("http://141.218.60.56/~jnz1568/getInfo.php?workbook=16_08.xlsx&amp;sheet=U0&amp;row=8279&amp;col=6&amp;number=4.5&amp;sourceID=14","4.5")</f>
        <v>4.5</v>
      </c>
      <c r="G8279" s="4" t="str">
        <f>HYPERLINK("http://141.218.60.56/~jnz1568/getInfo.php?workbook=16_08.xlsx&amp;sheet=U0&amp;row=8279&amp;col=7&amp;number=0.00598&amp;sourceID=14","0.00598")</f>
        <v>0.00598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HYPERLINK("http://141.218.60.56/~jnz1568/getInfo.php?workbook=16_08.xlsx&amp;sheet=U0&amp;row=8280&amp;col=6&amp;number=4.6&amp;sourceID=14","4.6")</f>
        <v>4.6</v>
      </c>
      <c r="G8280" s="4" t="str">
        <f>HYPERLINK("http://141.218.60.56/~jnz1568/getInfo.php?workbook=16_08.xlsx&amp;sheet=U0&amp;row=8280&amp;col=7&amp;number=0.00599&amp;sourceID=14","0.00599")</f>
        <v>0.00599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HYPERLINK("http://141.218.60.56/~jnz1568/getInfo.php?workbook=16_08.xlsx&amp;sheet=U0&amp;row=8281&amp;col=6&amp;number=4.7&amp;sourceID=14","4.7")</f>
        <v>4.7</v>
      </c>
      <c r="G8281" s="4" t="str">
        <f>HYPERLINK("http://141.218.60.56/~jnz1568/getInfo.php?workbook=16_08.xlsx&amp;sheet=U0&amp;row=8281&amp;col=7&amp;number=0.00601&amp;sourceID=14","0.00601")</f>
        <v>0.00601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HYPERLINK("http://141.218.60.56/~jnz1568/getInfo.php?workbook=16_08.xlsx&amp;sheet=U0&amp;row=8282&amp;col=6&amp;number=4.8&amp;sourceID=14","4.8")</f>
        <v>4.8</v>
      </c>
      <c r="G8282" s="4" t="str">
        <f>HYPERLINK("http://141.218.60.56/~jnz1568/getInfo.php?workbook=16_08.xlsx&amp;sheet=U0&amp;row=8282&amp;col=7&amp;number=0.00603&amp;sourceID=14","0.00603")</f>
        <v>0.00603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HYPERLINK("http://141.218.60.56/~jnz1568/getInfo.php?workbook=16_08.xlsx&amp;sheet=U0&amp;row=8283&amp;col=6&amp;number=4.9&amp;sourceID=14","4.9")</f>
        <v>4.9</v>
      </c>
      <c r="G8283" s="4" t="str">
        <f>HYPERLINK("http://141.218.60.56/~jnz1568/getInfo.php?workbook=16_08.xlsx&amp;sheet=U0&amp;row=8283&amp;col=7&amp;number=0.00605&amp;sourceID=14","0.00605")</f>
        <v>0.00605</v>
      </c>
    </row>
    <row r="8284" spans="1:7">
      <c r="A8284" s="3">
        <v>16</v>
      </c>
      <c r="B8284" s="3">
        <v>8</v>
      </c>
      <c r="C8284" s="3">
        <v>5</v>
      </c>
      <c r="D8284" s="3">
        <v>86</v>
      </c>
      <c r="E8284" s="3">
        <v>1</v>
      </c>
      <c r="F8284" s="4" t="str">
        <f>HYPERLINK("http://141.218.60.56/~jnz1568/getInfo.php?workbook=16_08.xlsx&amp;sheet=U0&amp;row=8284&amp;col=6&amp;number=3&amp;sourceID=14","3")</f>
        <v>3</v>
      </c>
      <c r="G8284" s="4" t="str">
        <f>HYPERLINK("http://141.218.60.56/~jnz1568/getInfo.php?workbook=16_08.xlsx&amp;sheet=U0&amp;row=8284&amp;col=7&amp;number=0.132&amp;sourceID=14","0.132")</f>
        <v>0.132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HYPERLINK("http://141.218.60.56/~jnz1568/getInfo.php?workbook=16_08.xlsx&amp;sheet=U0&amp;row=8285&amp;col=6&amp;number=3.1&amp;sourceID=14","3.1")</f>
        <v>3.1</v>
      </c>
      <c r="G8285" s="4" t="str">
        <f>HYPERLINK("http://141.218.60.56/~jnz1568/getInfo.php?workbook=16_08.xlsx&amp;sheet=U0&amp;row=8285&amp;col=7&amp;number=0.132&amp;sourceID=14","0.132")</f>
        <v>0.132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HYPERLINK("http://141.218.60.56/~jnz1568/getInfo.php?workbook=16_08.xlsx&amp;sheet=U0&amp;row=8286&amp;col=6&amp;number=3.2&amp;sourceID=14","3.2")</f>
        <v>3.2</v>
      </c>
      <c r="G8286" s="4" t="str">
        <f>HYPERLINK("http://141.218.60.56/~jnz1568/getInfo.php?workbook=16_08.xlsx&amp;sheet=U0&amp;row=8286&amp;col=7&amp;number=0.132&amp;sourceID=14","0.132")</f>
        <v>0.132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HYPERLINK("http://141.218.60.56/~jnz1568/getInfo.php?workbook=16_08.xlsx&amp;sheet=U0&amp;row=8287&amp;col=6&amp;number=3.3&amp;sourceID=14","3.3")</f>
        <v>3.3</v>
      </c>
      <c r="G8287" s="4" t="str">
        <f>HYPERLINK("http://141.218.60.56/~jnz1568/getInfo.php?workbook=16_08.xlsx&amp;sheet=U0&amp;row=8287&amp;col=7&amp;number=0.132&amp;sourceID=14","0.132")</f>
        <v>0.132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HYPERLINK("http://141.218.60.56/~jnz1568/getInfo.php?workbook=16_08.xlsx&amp;sheet=U0&amp;row=8288&amp;col=6&amp;number=3.4&amp;sourceID=14","3.4")</f>
        <v>3.4</v>
      </c>
      <c r="G8288" s="4" t="str">
        <f>HYPERLINK("http://141.218.60.56/~jnz1568/getInfo.php?workbook=16_08.xlsx&amp;sheet=U0&amp;row=8288&amp;col=7&amp;number=0.132&amp;sourceID=14","0.132")</f>
        <v>0.132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HYPERLINK("http://141.218.60.56/~jnz1568/getInfo.php?workbook=16_08.xlsx&amp;sheet=U0&amp;row=8289&amp;col=6&amp;number=3.5&amp;sourceID=14","3.5")</f>
        <v>3.5</v>
      </c>
      <c r="G8289" s="4" t="str">
        <f>HYPERLINK("http://141.218.60.56/~jnz1568/getInfo.php?workbook=16_08.xlsx&amp;sheet=U0&amp;row=8289&amp;col=7&amp;number=0.132&amp;sourceID=14","0.132")</f>
        <v>0.132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HYPERLINK("http://141.218.60.56/~jnz1568/getInfo.php?workbook=16_08.xlsx&amp;sheet=U0&amp;row=8290&amp;col=6&amp;number=3.6&amp;sourceID=14","3.6")</f>
        <v>3.6</v>
      </c>
      <c r="G8290" s="4" t="str">
        <f>HYPERLINK("http://141.218.60.56/~jnz1568/getInfo.php?workbook=16_08.xlsx&amp;sheet=U0&amp;row=8290&amp;col=7&amp;number=0.132&amp;sourceID=14","0.132")</f>
        <v>0.132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HYPERLINK("http://141.218.60.56/~jnz1568/getInfo.php?workbook=16_08.xlsx&amp;sheet=U0&amp;row=8291&amp;col=6&amp;number=3.7&amp;sourceID=14","3.7")</f>
        <v>3.7</v>
      </c>
      <c r="G8291" s="4" t="str">
        <f>HYPERLINK("http://141.218.60.56/~jnz1568/getInfo.php?workbook=16_08.xlsx&amp;sheet=U0&amp;row=8291&amp;col=7&amp;number=0.132&amp;sourceID=14","0.132")</f>
        <v>0.132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HYPERLINK("http://141.218.60.56/~jnz1568/getInfo.php?workbook=16_08.xlsx&amp;sheet=U0&amp;row=8292&amp;col=6&amp;number=3.8&amp;sourceID=14","3.8")</f>
        <v>3.8</v>
      </c>
      <c r="G8292" s="4" t="str">
        <f>HYPERLINK("http://141.218.60.56/~jnz1568/getInfo.php?workbook=16_08.xlsx&amp;sheet=U0&amp;row=8292&amp;col=7&amp;number=0.132&amp;sourceID=14","0.132")</f>
        <v>0.132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HYPERLINK("http://141.218.60.56/~jnz1568/getInfo.php?workbook=16_08.xlsx&amp;sheet=U0&amp;row=8293&amp;col=6&amp;number=3.9&amp;sourceID=14","3.9")</f>
        <v>3.9</v>
      </c>
      <c r="G8293" s="4" t="str">
        <f>HYPERLINK("http://141.218.60.56/~jnz1568/getInfo.php?workbook=16_08.xlsx&amp;sheet=U0&amp;row=8293&amp;col=7&amp;number=0.132&amp;sourceID=14","0.132")</f>
        <v>0.132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HYPERLINK("http://141.218.60.56/~jnz1568/getInfo.php?workbook=16_08.xlsx&amp;sheet=U0&amp;row=8294&amp;col=6&amp;number=4&amp;sourceID=14","4")</f>
        <v>4</v>
      </c>
      <c r="G8294" s="4" t="str">
        <f>HYPERLINK("http://141.218.60.56/~jnz1568/getInfo.php?workbook=16_08.xlsx&amp;sheet=U0&amp;row=8294&amp;col=7&amp;number=0.133&amp;sourceID=14","0.133")</f>
        <v>0.133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HYPERLINK("http://141.218.60.56/~jnz1568/getInfo.php?workbook=16_08.xlsx&amp;sheet=U0&amp;row=8295&amp;col=6&amp;number=4.1&amp;sourceID=14","4.1")</f>
        <v>4.1</v>
      </c>
      <c r="G8295" s="4" t="str">
        <f>HYPERLINK("http://141.218.60.56/~jnz1568/getInfo.php?workbook=16_08.xlsx&amp;sheet=U0&amp;row=8295&amp;col=7&amp;number=0.133&amp;sourceID=14","0.133")</f>
        <v>0.133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HYPERLINK("http://141.218.60.56/~jnz1568/getInfo.php?workbook=16_08.xlsx&amp;sheet=U0&amp;row=8296&amp;col=6&amp;number=4.2&amp;sourceID=14","4.2")</f>
        <v>4.2</v>
      </c>
      <c r="G8296" s="4" t="str">
        <f>HYPERLINK("http://141.218.60.56/~jnz1568/getInfo.php?workbook=16_08.xlsx&amp;sheet=U0&amp;row=8296&amp;col=7&amp;number=0.133&amp;sourceID=14","0.133")</f>
        <v>0.133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HYPERLINK("http://141.218.60.56/~jnz1568/getInfo.php?workbook=16_08.xlsx&amp;sheet=U0&amp;row=8297&amp;col=6&amp;number=4.3&amp;sourceID=14","4.3")</f>
        <v>4.3</v>
      </c>
      <c r="G8297" s="4" t="str">
        <f>HYPERLINK("http://141.218.60.56/~jnz1568/getInfo.php?workbook=16_08.xlsx&amp;sheet=U0&amp;row=8297&amp;col=7&amp;number=0.133&amp;sourceID=14","0.133")</f>
        <v>0.133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HYPERLINK("http://141.218.60.56/~jnz1568/getInfo.php?workbook=16_08.xlsx&amp;sheet=U0&amp;row=8298&amp;col=6&amp;number=4.4&amp;sourceID=14","4.4")</f>
        <v>4.4</v>
      </c>
      <c r="G8298" s="4" t="str">
        <f>HYPERLINK("http://141.218.60.56/~jnz1568/getInfo.php?workbook=16_08.xlsx&amp;sheet=U0&amp;row=8298&amp;col=7&amp;number=0.134&amp;sourceID=14","0.134")</f>
        <v>0.134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HYPERLINK("http://141.218.60.56/~jnz1568/getInfo.php?workbook=16_08.xlsx&amp;sheet=U0&amp;row=8299&amp;col=6&amp;number=4.5&amp;sourceID=14","4.5")</f>
        <v>4.5</v>
      </c>
      <c r="G8299" s="4" t="str">
        <f>HYPERLINK("http://141.218.60.56/~jnz1568/getInfo.php?workbook=16_08.xlsx&amp;sheet=U0&amp;row=8299&amp;col=7&amp;number=0.134&amp;sourceID=14","0.134")</f>
        <v>0.134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HYPERLINK("http://141.218.60.56/~jnz1568/getInfo.php?workbook=16_08.xlsx&amp;sheet=U0&amp;row=8300&amp;col=6&amp;number=4.6&amp;sourceID=14","4.6")</f>
        <v>4.6</v>
      </c>
      <c r="G8300" s="4" t="str">
        <f>HYPERLINK("http://141.218.60.56/~jnz1568/getInfo.php?workbook=16_08.xlsx&amp;sheet=U0&amp;row=8300&amp;col=7&amp;number=0.135&amp;sourceID=14","0.135")</f>
        <v>0.135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HYPERLINK("http://141.218.60.56/~jnz1568/getInfo.php?workbook=16_08.xlsx&amp;sheet=U0&amp;row=8301&amp;col=6&amp;number=4.7&amp;sourceID=14","4.7")</f>
        <v>4.7</v>
      </c>
      <c r="G8301" s="4" t="str">
        <f>HYPERLINK("http://141.218.60.56/~jnz1568/getInfo.php?workbook=16_08.xlsx&amp;sheet=U0&amp;row=8301&amp;col=7&amp;number=0.135&amp;sourceID=14","0.135")</f>
        <v>0.135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HYPERLINK("http://141.218.60.56/~jnz1568/getInfo.php?workbook=16_08.xlsx&amp;sheet=U0&amp;row=8302&amp;col=6&amp;number=4.8&amp;sourceID=14","4.8")</f>
        <v>4.8</v>
      </c>
      <c r="G8302" s="4" t="str">
        <f>HYPERLINK("http://141.218.60.56/~jnz1568/getInfo.php?workbook=16_08.xlsx&amp;sheet=U0&amp;row=8302&amp;col=7&amp;number=0.136&amp;sourceID=14","0.136")</f>
        <v>0.136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HYPERLINK("http://141.218.60.56/~jnz1568/getInfo.php?workbook=16_08.xlsx&amp;sheet=U0&amp;row=8303&amp;col=6&amp;number=4.9&amp;sourceID=14","4.9")</f>
        <v>4.9</v>
      </c>
      <c r="G8303" s="4" t="str">
        <f>HYPERLINK("http://141.218.60.56/~jnz1568/getInfo.php?workbook=16_08.xlsx&amp;sheet=U0&amp;row=8303&amp;col=7&amp;number=0.137&amp;sourceID=14","0.137")</f>
        <v>0.137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2015-05-06T18:10:45Z</dcterms:created>
  <dcterms:modified xsi:type="dcterms:W3CDTF">2015-05-06T18:10:45Z</dcterms:modified>
</cp:coreProperties>
</file>