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<sst xmlns="http://schemas.openxmlformats.org/spreadsheetml/2006/main" count="306" uniqueCount="65">
  <si>
    <t>Fine Structure Energy Levels for C 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</si>
  <si>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</si>
  <si>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</si>
  <si>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</si>
  <si>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</si>
  <si>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</si>
  <si>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</si>
  <si>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</si>
  <si>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</si>
  <si>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</si>
  <si>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</si>
  <si>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</si>
  <si>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3d6(5D)4s  a6D</t>
  </si>
  <si>
    <t>6D</t>
  </si>
  <si>
    <t>3d7        a4F</t>
  </si>
  <si>
    <t>4F</t>
  </si>
  <si>
    <t>3d6(5D)4s  a4D</t>
  </si>
  <si>
    <t>4D</t>
  </si>
  <si>
    <t>3d7        a4P</t>
  </si>
  <si>
    <t>4P</t>
  </si>
  <si>
    <t>3d6(3P2)4s b4P</t>
  </si>
  <si>
    <t>3d6(3H)4s  a4H</t>
  </si>
  <si>
    <t>4H</t>
  </si>
  <si>
    <t>3d6(3F2)4s b4F</t>
  </si>
  <si>
    <t>3d6(3G)4s  a4G</t>
  </si>
  <si>
    <t>4G</t>
  </si>
  <si>
    <t>3d6(3D)4s  b4D</t>
  </si>
  <si>
    <t>3d6(5D)4p z6Do</t>
  </si>
  <si>
    <t>3d6(5D)4p z6Fo</t>
  </si>
  <si>
    <t>6F</t>
  </si>
  <si>
    <t>3d6(5D)4p z6Po</t>
  </si>
  <si>
    <t>6P</t>
  </si>
  <si>
    <t>3d6(5D)4p z4Do</t>
  </si>
  <si>
    <t>3d6(5D)4p z4Fo</t>
  </si>
  <si>
    <t>3d6(5D)4p z4Po</t>
  </si>
  <si>
    <t>3d6(3F1)4s c4F</t>
  </si>
  <si>
    <t>3d6(3P1)4s c4P</t>
  </si>
  <si>
    <t>3d6(3P2)4p z4S</t>
  </si>
  <si>
    <t>4S</t>
  </si>
  <si>
    <t>3d6(3P2)4p y4P</t>
  </si>
  <si>
    <t>3d6(3H)4p z4Go</t>
  </si>
  <si>
    <t>3d6(3H)4p z4Ho</t>
  </si>
  <si>
    <t>3d6(3H)4p z4Io</t>
  </si>
  <si>
    <t>4I</t>
  </si>
  <si>
    <t>3d6(3P2)4p y4D</t>
  </si>
  <si>
    <t>3d6(3F2)4p x4D</t>
  </si>
  <si>
    <t>3d6(3F2)4p y4F</t>
  </si>
  <si>
    <t>3d6(3F2)4p y4G</t>
  </si>
  <si>
    <t>3d6(3G)4p x4Fo</t>
  </si>
  <si>
    <t>3d6(3G)4p x4Go</t>
  </si>
  <si>
    <t>3d6(3G)4p y4Ho</t>
  </si>
  <si>
    <t>3d6(3D)4p w4Po</t>
  </si>
  <si>
    <t>3d6(3D)4p w4Do</t>
  </si>
  <si>
    <t>3d6(3D)4p w4Fo</t>
  </si>
  <si>
    <t>3d6(3P1)4p v4D</t>
  </si>
  <si>
    <t>3d6(3F1)4p 4Go</t>
  </si>
  <si>
    <t>3d6(3P1)4p 4So</t>
  </si>
  <si>
    <t>3d6(3P1)4p 4Po</t>
  </si>
  <si>
    <t>3d6(3F1)4p 4Do</t>
  </si>
  <si>
    <t>3d6(3F1)4p u4F</t>
  </si>
  <si>
    <t>A-values for fine-structure transitions in C III</t>
  </si>
  <si>
    <t>k</t>
  </si>
  <si>
    <t>WL Vac (A)</t>
  </si>
  <si>
    <t>A (s-1)</t>
  </si>
  <si>
    <t>A2E1(s-1)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</si>
</sst>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5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4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26</v>
      </c>
      <c r="B4" s="3">
        <v>25</v>
      </c>
      <c r="C4" s="3">
        <v>1</v>
      </c>
      <c r="D4" s="3" t="s">
        <v>12</v>
      </c>
      <c r="E4" s="3" t="s">
        <v>13</v>
      </c>
      <c r="F4" s="3">
        <v>6</v>
      </c>
      <c r="G4" s="3">
        <v>2</v>
      </c>
      <c r="H4" s="3">
        <v>0</v>
      </c>
      <c r="I4" s="3">
        <v>4.5</v>
      </c>
      <c r="J4" s="4" t="str">
        <f>HYPERLINK("http://141.218.60.56/~jnz1568/getInfo.php?workbook=26_25.xlsx&amp;sheet=E0&amp;row=4&amp;col=10&amp;number=0&amp;sourceID=14","0")</f>
        <v>0</v>
      </c>
    </row>
    <row r="5" spans="1:10">
      <c r="A5" s="3">
        <v>26</v>
      </c>
      <c r="B5" s="3">
        <v>25</v>
      </c>
      <c r="C5" s="3">
        <v>2</v>
      </c>
      <c r="D5" s="3" t="s">
        <v>12</v>
      </c>
      <c r="E5" s="3" t="s">
        <v>13</v>
      </c>
      <c r="F5" s="3">
        <v>6</v>
      </c>
      <c r="G5" s="3">
        <v>2</v>
      </c>
      <c r="H5" s="3">
        <v>0</v>
      </c>
      <c r="I5" s="3">
        <v>3.5</v>
      </c>
      <c r="J5" s="4" t="str">
        <f>HYPERLINK("http://141.218.60.56/~jnz1568/getInfo.php?workbook=26_25.xlsx&amp;sheet=E0&amp;row=5&amp;col=10&amp;number=384.79&amp;sourceID=14","384.79")</f>
        <v>384.79</v>
      </c>
    </row>
    <row r="6" spans="1:10">
      <c r="A6" s="3">
        <v>26</v>
      </c>
      <c r="B6" s="3">
        <v>25</v>
      </c>
      <c r="C6" s="3">
        <v>3</v>
      </c>
      <c r="D6" s="3" t="s">
        <v>12</v>
      </c>
      <c r="E6" s="3" t="s">
        <v>13</v>
      </c>
      <c r="F6" s="3">
        <v>6</v>
      </c>
      <c r="G6" s="3">
        <v>2</v>
      </c>
      <c r="H6" s="3">
        <v>0</v>
      </c>
      <c r="I6" s="3">
        <v>2.5</v>
      </c>
      <c r="J6" s="4" t="str">
        <f>HYPERLINK("http://141.218.60.56/~jnz1568/getInfo.php?workbook=26_25.xlsx&amp;sheet=E0&amp;row=6&amp;col=10&amp;number=667.683&amp;sourceID=14","667.683")</f>
        <v>667.683</v>
      </c>
    </row>
    <row r="7" spans="1:10">
      <c r="A7" s="3">
        <v>26</v>
      </c>
      <c r="B7" s="3">
        <v>25</v>
      </c>
      <c r="C7" s="3">
        <v>4</v>
      </c>
      <c r="D7" s="3" t="s">
        <v>12</v>
      </c>
      <c r="E7" s="3" t="s">
        <v>13</v>
      </c>
      <c r="F7" s="3">
        <v>6</v>
      </c>
      <c r="G7" s="3">
        <v>2</v>
      </c>
      <c r="H7" s="3">
        <v>0</v>
      </c>
      <c r="I7" s="3">
        <v>1.5</v>
      </c>
      <c r="J7" s="4" t="str">
        <f>HYPERLINK("http://141.218.60.56/~jnz1568/getInfo.php?workbook=26_25.xlsx&amp;sheet=E0&amp;row=7&amp;col=10&amp;number=862.613&amp;sourceID=14","862.613")</f>
        <v>862.613</v>
      </c>
    </row>
    <row r="8" spans="1:10">
      <c r="A8" s="3">
        <v>26</v>
      </c>
      <c r="B8" s="3">
        <v>25</v>
      </c>
      <c r="C8" s="3">
        <v>5</v>
      </c>
      <c r="D8" s="3" t="s">
        <v>12</v>
      </c>
      <c r="E8" s="3" t="s">
        <v>13</v>
      </c>
      <c r="F8" s="3">
        <v>6</v>
      </c>
      <c r="G8" s="3">
        <v>2</v>
      </c>
      <c r="H8" s="3">
        <v>0</v>
      </c>
      <c r="I8" s="3">
        <v>0.5</v>
      </c>
      <c r="J8" s="4" t="str">
        <f>HYPERLINK("http://141.218.60.56/~jnz1568/getInfo.php?workbook=26_25.xlsx&amp;sheet=E0&amp;row=8&amp;col=10&amp;number=977.053&amp;sourceID=14","977.053")</f>
        <v>977.053</v>
      </c>
    </row>
    <row r="9" spans="1:10">
      <c r="A9" s="3">
        <v>26</v>
      </c>
      <c r="B9" s="3">
        <v>25</v>
      </c>
      <c r="C9" s="3">
        <v>6</v>
      </c>
      <c r="D9" s="3" t="s">
        <v>14</v>
      </c>
      <c r="E9" s="3" t="s">
        <v>15</v>
      </c>
      <c r="F9" s="3">
        <v>4</v>
      </c>
      <c r="G9" s="3">
        <v>3</v>
      </c>
      <c r="H9" s="3">
        <v>1</v>
      </c>
      <c r="I9" s="3">
        <v>4.5</v>
      </c>
      <c r="J9" s="4" t="str">
        <f>HYPERLINK("http://141.218.60.56/~jnz1568/getInfo.php?workbook=26_25.xlsx&amp;sheet=E0&amp;row=9&amp;col=10&amp;number=1872.567&amp;sourceID=14","1872.567")</f>
        <v>1872.567</v>
      </c>
    </row>
    <row r="10" spans="1:10">
      <c r="A10" s="3">
        <v>26</v>
      </c>
      <c r="B10" s="3">
        <v>25</v>
      </c>
      <c r="C10" s="3">
        <v>7</v>
      </c>
      <c r="D10" s="3" t="s">
        <v>14</v>
      </c>
      <c r="E10" s="3" t="s">
        <v>15</v>
      </c>
      <c r="F10" s="3">
        <v>4</v>
      </c>
      <c r="G10" s="3">
        <v>3</v>
      </c>
      <c r="H10" s="3">
        <v>1</v>
      </c>
      <c r="I10" s="3">
        <v>3.5</v>
      </c>
      <c r="J10" s="4" t="str">
        <f>HYPERLINK("http://141.218.60.56/~jnz1568/getInfo.php?workbook=26_25.xlsx&amp;sheet=E0&amp;row=10&amp;col=10&amp;number=2430.097&amp;sourceID=14","2430.097")</f>
        <v>2430.097</v>
      </c>
    </row>
    <row r="11" spans="1:10">
      <c r="A11" s="3">
        <v>26</v>
      </c>
      <c r="B11" s="3">
        <v>25</v>
      </c>
      <c r="C11" s="3">
        <v>8</v>
      </c>
      <c r="D11" s="3" t="s">
        <v>14</v>
      </c>
      <c r="E11" s="3" t="s">
        <v>15</v>
      </c>
      <c r="F11" s="3">
        <v>4</v>
      </c>
      <c r="G11" s="3">
        <v>3</v>
      </c>
      <c r="H11" s="3">
        <v>1</v>
      </c>
      <c r="I11" s="3">
        <v>2.5</v>
      </c>
      <c r="J11" s="4" t="str">
        <f>HYPERLINK("http://141.218.60.56/~jnz1568/getInfo.php?workbook=26_25.xlsx&amp;sheet=E0&amp;row=11&amp;col=10&amp;number=2837.95&amp;sourceID=14","2837.95")</f>
        <v>2837.95</v>
      </c>
    </row>
    <row r="12" spans="1:10">
      <c r="A12" s="3">
        <v>26</v>
      </c>
      <c r="B12" s="3">
        <v>25</v>
      </c>
      <c r="C12" s="3">
        <v>9</v>
      </c>
      <c r="D12" s="3" t="s">
        <v>14</v>
      </c>
      <c r="E12" s="3" t="s">
        <v>15</v>
      </c>
      <c r="F12" s="3">
        <v>4</v>
      </c>
      <c r="G12" s="3">
        <v>3</v>
      </c>
      <c r="H12" s="3">
        <v>1</v>
      </c>
      <c r="I12" s="3">
        <v>1.5</v>
      </c>
      <c r="J12" s="4" t="str">
        <f>HYPERLINK("http://141.218.60.56/~jnz1568/getInfo.php?workbook=26_25.xlsx&amp;sheet=E0&amp;row=12&amp;col=10&amp;number=3117.461&amp;sourceID=14","3117.461")</f>
        <v>3117.461</v>
      </c>
    </row>
    <row r="13" spans="1:10">
      <c r="A13" s="3">
        <v>26</v>
      </c>
      <c r="B13" s="3">
        <v>25</v>
      </c>
      <c r="C13" s="3">
        <v>10</v>
      </c>
      <c r="D13" s="3" t="s">
        <v>16</v>
      </c>
      <c r="E13" s="3" t="s">
        <v>17</v>
      </c>
      <c r="F13" s="3">
        <v>4</v>
      </c>
      <c r="G13" s="3">
        <v>2</v>
      </c>
      <c r="H13" s="3">
        <v>0</v>
      </c>
      <c r="I13" s="3">
        <v>3.5</v>
      </c>
      <c r="J13" s="4" t="str">
        <f>HYPERLINK("http://141.218.60.56/~jnz1568/getInfo.php?workbook=26_25.xlsx&amp;sheet=E0&amp;row=13&amp;col=10&amp;number=7955.299&amp;sourceID=14","7955.299")</f>
        <v>7955.299</v>
      </c>
    </row>
    <row r="14" spans="1:10">
      <c r="A14" s="3">
        <v>26</v>
      </c>
      <c r="B14" s="3">
        <v>25</v>
      </c>
      <c r="C14" s="3">
        <v>11</v>
      </c>
      <c r="D14" s="3" t="s">
        <v>16</v>
      </c>
      <c r="E14" s="3" t="s">
        <v>17</v>
      </c>
      <c r="F14" s="3">
        <v>4</v>
      </c>
      <c r="G14" s="3">
        <v>2</v>
      </c>
      <c r="H14" s="3">
        <v>0</v>
      </c>
      <c r="I14" s="3">
        <v>2.5</v>
      </c>
      <c r="J14" s="4" t="str">
        <f>HYPERLINK("http://141.218.60.56/~jnz1568/getInfo.php?workbook=26_25.xlsx&amp;sheet=E0&amp;row=14&amp;col=10&amp;number=8391.938&amp;sourceID=14","8391.938")</f>
        <v>8391.938</v>
      </c>
    </row>
    <row r="15" spans="1:10">
      <c r="A15" s="3">
        <v>26</v>
      </c>
      <c r="B15" s="3">
        <v>25</v>
      </c>
      <c r="C15" s="3">
        <v>12</v>
      </c>
      <c r="D15" s="3" t="s">
        <v>16</v>
      </c>
      <c r="E15" s="3" t="s">
        <v>17</v>
      </c>
      <c r="F15" s="3">
        <v>4</v>
      </c>
      <c r="G15" s="3">
        <v>2</v>
      </c>
      <c r="H15" s="3">
        <v>0</v>
      </c>
      <c r="I15" s="3">
        <v>1.5</v>
      </c>
      <c r="J15" s="4" t="str">
        <f>HYPERLINK("http://141.218.60.56/~jnz1568/getInfo.php?workbook=26_25.xlsx&amp;sheet=E0&amp;row=15&amp;col=10&amp;number=8680.454&amp;sourceID=14","8680.454")</f>
        <v>8680.454</v>
      </c>
    </row>
    <row r="16" spans="1:10">
      <c r="A16" s="3">
        <v>26</v>
      </c>
      <c r="B16" s="3">
        <v>25</v>
      </c>
      <c r="C16" s="3">
        <v>13</v>
      </c>
      <c r="D16" s="3" t="s">
        <v>16</v>
      </c>
      <c r="E16" s="3" t="s">
        <v>17</v>
      </c>
      <c r="F16" s="3">
        <v>4</v>
      </c>
      <c r="G16" s="3">
        <v>2</v>
      </c>
      <c r="H16" s="3">
        <v>0</v>
      </c>
      <c r="I16" s="3">
        <v>0.5</v>
      </c>
      <c r="J16" s="4" t="str">
        <f>HYPERLINK("http://141.218.60.56/~jnz1568/getInfo.php?workbook=26_25.xlsx&amp;sheet=E0&amp;row=16&amp;col=10&amp;number=8846.768&amp;sourceID=14","8846.768")</f>
        <v>8846.768</v>
      </c>
    </row>
    <row r="17" spans="1:10">
      <c r="A17" s="3">
        <v>26</v>
      </c>
      <c r="B17" s="3">
        <v>25</v>
      </c>
      <c r="C17" s="3">
        <v>14</v>
      </c>
      <c r="D17" s="3" t="s">
        <v>18</v>
      </c>
      <c r="E17" s="3" t="s">
        <v>19</v>
      </c>
      <c r="F17" s="3">
        <v>4</v>
      </c>
      <c r="G17" s="3">
        <v>1</v>
      </c>
      <c r="H17" s="3">
        <v>1</v>
      </c>
      <c r="I17" s="3">
        <v>2.5</v>
      </c>
      <c r="J17" s="4" t="str">
        <f>HYPERLINK("http://141.218.60.56/~jnz1568/getInfo.php?workbook=26_25.xlsx&amp;sheet=E0&amp;row=17&amp;col=10&amp;number=13474.411&amp;sourceID=14","13474.411")</f>
        <v>13474.411</v>
      </c>
    </row>
    <row r="18" spans="1:10">
      <c r="A18" s="3">
        <v>26</v>
      </c>
      <c r="B18" s="3">
        <v>25</v>
      </c>
      <c r="C18" s="3">
        <v>15</v>
      </c>
      <c r="D18" s="3" t="s">
        <v>18</v>
      </c>
      <c r="E18" s="3" t="s">
        <v>19</v>
      </c>
      <c r="F18" s="3">
        <v>4</v>
      </c>
      <c r="G18" s="3">
        <v>1</v>
      </c>
      <c r="H18" s="3">
        <v>1</v>
      </c>
      <c r="I18" s="3">
        <v>1.5</v>
      </c>
      <c r="J18" s="4" t="str">
        <f>HYPERLINK("http://141.218.60.56/~jnz1568/getInfo.php?workbook=26_25.xlsx&amp;sheet=E0&amp;row=18&amp;col=10&amp;number=13673.185&amp;sourceID=14","13673.185")</f>
        <v>13673.185</v>
      </c>
    </row>
    <row r="19" spans="1:10">
      <c r="A19" s="3">
        <v>26</v>
      </c>
      <c r="B19" s="3">
        <v>25</v>
      </c>
      <c r="C19" s="3">
        <v>16</v>
      </c>
      <c r="D19" s="3" t="s">
        <v>18</v>
      </c>
      <c r="E19" s="3" t="s">
        <v>19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HYPERLINK("http://141.218.60.56/~jnz1568/getInfo.php?workbook=26_25.xlsx&amp;sheet=E0&amp;row=19&amp;col=10&amp;number=13904.824&amp;sourceID=14","13904.824")</f>
        <v>13904.824</v>
      </c>
    </row>
    <row r="20" spans="1:10">
      <c r="A20" s="3">
        <v>26</v>
      </c>
      <c r="B20" s="3">
        <v>25</v>
      </c>
      <c r="C20" s="3">
        <v>17</v>
      </c>
      <c r="D20" s="3" t="s">
        <v>20</v>
      </c>
      <c r="E20" s="3" t="s">
        <v>19</v>
      </c>
      <c r="F20" s="3">
        <v>4</v>
      </c>
      <c r="G20" s="3">
        <v>1</v>
      </c>
      <c r="H20" s="3">
        <v>1</v>
      </c>
      <c r="I20" s="3">
        <v>2.5</v>
      </c>
      <c r="J20" s="4" t="str">
        <f>HYPERLINK("http://141.218.60.56/~jnz1568/getInfo.php?workbook=26_25.xlsx&amp;sheet=E0&amp;row=20&amp;col=10&amp;number=20830.582&amp;sourceID=14","20830.582")</f>
        <v>20830.582</v>
      </c>
    </row>
    <row r="21" spans="1:10">
      <c r="A21" s="3">
        <v>26</v>
      </c>
      <c r="B21" s="3">
        <v>25</v>
      </c>
      <c r="C21" s="3">
        <v>18</v>
      </c>
      <c r="D21" s="3" t="s">
        <v>20</v>
      </c>
      <c r="E21" s="3" t="s">
        <v>19</v>
      </c>
      <c r="F21" s="3">
        <v>4</v>
      </c>
      <c r="G21" s="3">
        <v>1</v>
      </c>
      <c r="H21" s="3">
        <v>1</v>
      </c>
      <c r="I21" s="3">
        <v>1.5</v>
      </c>
      <c r="J21" s="4" t="str">
        <f>HYPERLINK("http://141.218.60.56/~jnz1568/getInfo.php?workbook=26_25.xlsx&amp;sheet=E0&amp;row=21&amp;col=10&amp;number=21812.055&amp;sourceID=14","21812.055")</f>
        <v>21812.055</v>
      </c>
    </row>
    <row r="22" spans="1:10">
      <c r="A22" s="3">
        <v>26</v>
      </c>
      <c r="B22" s="3">
        <v>25</v>
      </c>
      <c r="C22" s="3">
        <v>19</v>
      </c>
      <c r="D22" s="3" t="s">
        <v>20</v>
      </c>
      <c r="E22" s="3" t="s">
        <v>19</v>
      </c>
      <c r="F22" s="3">
        <v>4</v>
      </c>
      <c r="G22" s="3">
        <v>1</v>
      </c>
      <c r="H22" s="3">
        <v>1</v>
      </c>
      <c r="I22" s="3">
        <v>0.5</v>
      </c>
      <c r="J22" s="4" t="str">
        <f>HYPERLINK("http://141.218.60.56/~jnz1568/getInfo.php?workbook=26_25.xlsx&amp;sheet=E0&amp;row=22&amp;col=10&amp;number=22409.852&amp;sourceID=14","22409.852")</f>
        <v>22409.852</v>
      </c>
    </row>
    <row r="23" spans="1:10">
      <c r="A23" s="3">
        <v>26</v>
      </c>
      <c r="B23" s="3">
        <v>25</v>
      </c>
      <c r="C23" s="3">
        <v>20</v>
      </c>
      <c r="D23" s="3" t="s">
        <v>21</v>
      </c>
      <c r="E23" s="3" t="s">
        <v>22</v>
      </c>
      <c r="F23" s="3">
        <v>4</v>
      </c>
      <c r="G23" s="3">
        <v>5</v>
      </c>
      <c r="H23" s="3">
        <v>1</v>
      </c>
      <c r="I23" s="3">
        <v>6.5</v>
      </c>
      <c r="J23" s="4" t="str">
        <f>HYPERLINK("http://141.218.60.56/~jnz1568/getInfo.php?workbook=26_25.xlsx&amp;sheet=E0&amp;row=23&amp;col=10&amp;number=21251.607&amp;sourceID=14","21251.607")</f>
        <v>21251.607</v>
      </c>
    </row>
    <row r="24" spans="1:10">
      <c r="A24" s="3">
        <v>26</v>
      </c>
      <c r="B24" s="3">
        <v>25</v>
      </c>
      <c r="C24" s="3">
        <v>21</v>
      </c>
      <c r="D24" s="3" t="s">
        <v>21</v>
      </c>
      <c r="E24" s="3" t="s">
        <v>22</v>
      </c>
      <c r="F24" s="3">
        <v>4</v>
      </c>
      <c r="G24" s="3">
        <v>5</v>
      </c>
      <c r="H24" s="3">
        <v>1</v>
      </c>
      <c r="I24" s="3">
        <v>5.5</v>
      </c>
      <c r="J24" s="4" t="str">
        <f>HYPERLINK("http://141.218.60.56/~jnz1568/getInfo.php?workbook=26_25.xlsx&amp;sheet=E0&amp;row=24&amp;col=10&amp;number=21430.359&amp;sourceID=14","21430.359")</f>
        <v>21430.359</v>
      </c>
    </row>
    <row r="25" spans="1:10">
      <c r="A25" s="3">
        <v>26</v>
      </c>
      <c r="B25" s="3">
        <v>25</v>
      </c>
      <c r="C25" s="3">
        <v>22</v>
      </c>
      <c r="D25" s="3" t="s">
        <v>21</v>
      </c>
      <c r="E25" s="3" t="s">
        <v>22</v>
      </c>
      <c r="F25" s="3">
        <v>4</v>
      </c>
      <c r="G25" s="3">
        <v>5</v>
      </c>
      <c r="H25" s="3">
        <v>1</v>
      </c>
      <c r="I25" s="3">
        <v>4.5</v>
      </c>
      <c r="J25" s="4" t="str">
        <f>HYPERLINK("http://141.218.60.56/~jnz1568/getInfo.php?workbook=26_25.xlsx&amp;sheet=E0&amp;row=25&amp;col=10&amp;number=21581.639&amp;sourceID=14","21581.639")</f>
        <v>21581.639</v>
      </c>
    </row>
    <row r="26" spans="1:10">
      <c r="A26" s="3">
        <v>26</v>
      </c>
      <c r="B26" s="3">
        <v>25</v>
      </c>
      <c r="C26" s="3">
        <v>23</v>
      </c>
      <c r="D26" s="3" t="s">
        <v>21</v>
      </c>
      <c r="E26" s="3" t="s">
        <v>22</v>
      </c>
      <c r="F26" s="3">
        <v>4</v>
      </c>
      <c r="G26" s="3">
        <v>5</v>
      </c>
      <c r="H26" s="3">
        <v>1</v>
      </c>
      <c r="I26" s="3">
        <v>3.5</v>
      </c>
      <c r="J26" s="4" t="str">
        <f>HYPERLINK("http://141.218.60.56/~jnz1568/getInfo.php?workbook=26_25.xlsx&amp;sheet=E0&amp;row=26&amp;col=10&amp;number=21711.918&amp;sourceID=14","21711.918")</f>
        <v>21711.918</v>
      </c>
    </row>
    <row r="27" spans="1:10">
      <c r="A27" s="3">
        <v>26</v>
      </c>
      <c r="B27" s="3">
        <v>25</v>
      </c>
      <c r="C27" s="3">
        <v>24</v>
      </c>
      <c r="D27" s="3" t="s">
        <v>23</v>
      </c>
      <c r="E27" s="3" t="s">
        <v>15</v>
      </c>
      <c r="F27" s="3">
        <v>4</v>
      </c>
      <c r="G27" s="3">
        <v>3</v>
      </c>
      <c r="H27" s="3">
        <v>1</v>
      </c>
      <c r="I27" s="3">
        <v>4.5</v>
      </c>
      <c r="J27" s="4" t="str">
        <f>HYPERLINK("http://141.218.60.56/~jnz1568/getInfo.php?workbook=26_25.xlsx&amp;sheet=E0&amp;row=27&amp;col=10&amp;number=22637.205&amp;sourceID=14","22637.205")</f>
        <v>22637.205</v>
      </c>
    </row>
    <row r="28" spans="1:10">
      <c r="A28" s="3">
        <v>26</v>
      </c>
      <c r="B28" s="3">
        <v>25</v>
      </c>
      <c r="C28" s="3">
        <v>25</v>
      </c>
      <c r="D28" s="3" t="s">
        <v>23</v>
      </c>
      <c r="E28" s="3" t="s">
        <v>15</v>
      </c>
      <c r="F28" s="3">
        <v>4</v>
      </c>
      <c r="G28" s="3">
        <v>3</v>
      </c>
      <c r="H28" s="3">
        <v>1</v>
      </c>
      <c r="I28" s="3">
        <v>3.5</v>
      </c>
      <c r="J28" s="4" t="str">
        <f>HYPERLINK("http://141.218.60.56/~jnz1568/getInfo.php?workbook=26_25.xlsx&amp;sheet=E0&amp;row=28&amp;col=10&amp;number=22810.357&amp;sourceID=14","22810.357")</f>
        <v>22810.357</v>
      </c>
    </row>
    <row r="29" spans="1:10">
      <c r="A29" s="3">
        <v>26</v>
      </c>
      <c r="B29" s="3">
        <v>25</v>
      </c>
      <c r="C29" s="3">
        <v>26</v>
      </c>
      <c r="D29" s="3" t="s">
        <v>23</v>
      </c>
      <c r="E29" s="3" t="s">
        <v>15</v>
      </c>
      <c r="F29" s="3">
        <v>4</v>
      </c>
      <c r="G29" s="3">
        <v>3</v>
      </c>
      <c r="H29" s="3">
        <v>1</v>
      </c>
      <c r="I29" s="3">
        <v>2.5</v>
      </c>
      <c r="J29" s="4" t="str">
        <f>HYPERLINK("http://141.218.60.56/~jnz1568/getInfo.php?workbook=26_25.xlsx&amp;sheet=E0&amp;row=29&amp;col=10&amp;number=22939.357&amp;sourceID=14","22939.357")</f>
        <v>22939.357</v>
      </c>
    </row>
    <row r="30" spans="1:10">
      <c r="A30" s="3">
        <v>26</v>
      </c>
      <c r="B30" s="3">
        <v>25</v>
      </c>
      <c r="C30" s="3">
        <v>27</v>
      </c>
      <c r="D30" s="3" t="s">
        <v>23</v>
      </c>
      <c r="E30" s="3" t="s">
        <v>15</v>
      </c>
      <c r="F30" s="3">
        <v>4</v>
      </c>
      <c r="G30" s="3">
        <v>3</v>
      </c>
      <c r="H30" s="3">
        <v>1</v>
      </c>
      <c r="I30" s="3">
        <v>1.5</v>
      </c>
      <c r="J30" s="4" t="str">
        <f>HYPERLINK("http://141.218.60.56/~jnz1568/getInfo.php?workbook=26_25.xlsx&amp;sheet=E0&amp;row=30&amp;col=10&amp;number=23031.301&amp;sourceID=14","23031.301")</f>
        <v>23031.301</v>
      </c>
    </row>
    <row r="31" spans="1:10">
      <c r="A31" s="3">
        <v>26</v>
      </c>
      <c r="B31" s="3">
        <v>25</v>
      </c>
      <c r="C31" s="3">
        <v>28</v>
      </c>
      <c r="D31" s="3" t="s">
        <v>24</v>
      </c>
      <c r="E31" s="3" t="s">
        <v>25</v>
      </c>
      <c r="F31" s="3">
        <v>4</v>
      </c>
      <c r="G31" s="3">
        <v>4</v>
      </c>
      <c r="H31" s="3">
        <v>0</v>
      </c>
      <c r="I31" s="3">
        <v>5.5</v>
      </c>
      <c r="J31" s="4" t="str">
        <f>HYPERLINK("http://141.218.60.56/~jnz1568/getInfo.php?workbook=26_25.xlsx&amp;sheet=E0&amp;row=31&amp;col=10&amp;number=25428.783&amp;sourceID=14","25428.783")</f>
        <v>25428.783</v>
      </c>
    </row>
    <row r="32" spans="1:10">
      <c r="A32" s="3">
        <v>26</v>
      </c>
      <c r="B32" s="3">
        <v>25</v>
      </c>
      <c r="C32" s="3">
        <v>29</v>
      </c>
      <c r="D32" s="3" t="s">
        <v>24</v>
      </c>
      <c r="E32" s="3" t="s">
        <v>25</v>
      </c>
      <c r="F32" s="3">
        <v>4</v>
      </c>
      <c r="G32" s="3">
        <v>4</v>
      </c>
      <c r="H32" s="3">
        <v>0</v>
      </c>
      <c r="I32" s="3">
        <v>4.5</v>
      </c>
      <c r="J32" s="4" t="str">
        <f>HYPERLINK("http://141.218.60.56/~jnz1568/getInfo.php?workbook=26_25.xlsx&amp;sheet=E0&amp;row=32&amp;col=10&amp;number=25805.328&amp;sourceID=14","25805.328")</f>
        <v>25805.328</v>
      </c>
    </row>
    <row r="33" spans="1:10">
      <c r="A33" s="3">
        <v>26</v>
      </c>
      <c r="B33" s="3">
        <v>25</v>
      </c>
      <c r="C33" s="3">
        <v>30</v>
      </c>
      <c r="D33" s="3" t="s">
        <v>24</v>
      </c>
      <c r="E33" s="3" t="s">
        <v>25</v>
      </c>
      <c r="F33" s="3">
        <v>4</v>
      </c>
      <c r="G33" s="3">
        <v>4</v>
      </c>
      <c r="H33" s="3">
        <v>0</v>
      </c>
      <c r="I33" s="3">
        <v>3.5</v>
      </c>
      <c r="J33" s="4" t="str">
        <f>HYPERLINK("http://141.218.60.56/~jnz1568/getInfo.php?workbook=26_25.xlsx&amp;sheet=E0&amp;row=33&amp;col=10&amp;number=25981.629&amp;sourceID=14","25981.629")</f>
        <v>25981.629</v>
      </c>
    </row>
    <row r="34" spans="1:10">
      <c r="A34" s="3">
        <v>26</v>
      </c>
      <c r="B34" s="3">
        <v>25</v>
      </c>
      <c r="C34" s="3">
        <v>31</v>
      </c>
      <c r="D34" s="3" t="s">
        <v>24</v>
      </c>
      <c r="E34" s="3" t="s">
        <v>25</v>
      </c>
      <c r="F34" s="3">
        <v>4</v>
      </c>
      <c r="G34" s="3">
        <v>4</v>
      </c>
      <c r="H34" s="3">
        <v>0</v>
      </c>
      <c r="I34" s="3">
        <v>2.5</v>
      </c>
      <c r="J34" s="4" t="str">
        <f>HYPERLINK("http://141.218.60.56/~jnz1568/getInfo.php?workbook=26_25.xlsx&amp;sheet=E0&amp;row=34&amp;col=10&amp;number=26055.424&amp;sourceID=14","26055.424")</f>
        <v>26055.424</v>
      </c>
    </row>
    <row r="35" spans="1:10">
      <c r="A35" s="3">
        <v>26</v>
      </c>
      <c r="B35" s="3">
        <v>25</v>
      </c>
      <c r="C35" s="3">
        <v>32</v>
      </c>
      <c r="D35" s="3" t="s">
        <v>26</v>
      </c>
      <c r="E35" s="3" t="s">
        <v>17</v>
      </c>
      <c r="F35" s="3">
        <v>4</v>
      </c>
      <c r="G35" s="3">
        <v>2</v>
      </c>
      <c r="H35" s="3">
        <v>0</v>
      </c>
      <c r="I35" s="3">
        <v>3.5</v>
      </c>
      <c r="J35" s="4" t="str">
        <f>HYPERLINK("http://141.218.60.56/~jnz1568/getInfo.php?workbook=26_25.xlsx&amp;sheet=E0&amp;row=35&amp;col=10&amp;number=31483.176&amp;sourceID=14","31483.176")</f>
        <v>31483.176</v>
      </c>
    </row>
    <row r="36" spans="1:10">
      <c r="A36" s="3">
        <v>26</v>
      </c>
      <c r="B36" s="3">
        <v>25</v>
      </c>
      <c r="C36" s="3">
        <v>33</v>
      </c>
      <c r="D36" s="3" t="s">
        <v>26</v>
      </c>
      <c r="E36" s="3" t="s">
        <v>17</v>
      </c>
      <c r="F36" s="3">
        <v>4</v>
      </c>
      <c r="G36" s="3">
        <v>2</v>
      </c>
      <c r="H36" s="3">
        <v>0</v>
      </c>
      <c r="I36" s="3">
        <v>2.5</v>
      </c>
      <c r="J36" s="4" t="str">
        <f>HYPERLINK("http://141.218.60.56/~jnz1568/getInfo.php?workbook=26_25.xlsx&amp;sheet=E0&amp;row=36&amp;col=10&amp;number=31387.947&amp;sourceID=14","31387.947")</f>
        <v>31387.947</v>
      </c>
    </row>
    <row r="37" spans="1:10">
      <c r="A37" s="3">
        <v>26</v>
      </c>
      <c r="B37" s="3">
        <v>25</v>
      </c>
      <c r="C37" s="3">
        <v>34</v>
      </c>
      <c r="D37" s="3" t="s">
        <v>26</v>
      </c>
      <c r="E37" s="3" t="s">
        <v>17</v>
      </c>
      <c r="F37" s="3">
        <v>4</v>
      </c>
      <c r="G37" s="3">
        <v>2</v>
      </c>
      <c r="H37" s="3">
        <v>0</v>
      </c>
      <c r="I37" s="3">
        <v>1.5</v>
      </c>
      <c r="J37" s="4" t="str">
        <f>HYPERLINK("http://141.218.60.56/~jnz1568/getInfo.php?workbook=26_25.xlsx&amp;sheet=E0&amp;row=37&amp;col=10&amp;number=31364.439&amp;sourceID=14","31364.439")</f>
        <v>31364.439</v>
      </c>
    </row>
    <row r="38" spans="1:10">
      <c r="A38" s="3">
        <v>26</v>
      </c>
      <c r="B38" s="3">
        <v>25</v>
      </c>
      <c r="C38" s="3">
        <v>35</v>
      </c>
      <c r="D38" s="3" t="s">
        <v>26</v>
      </c>
      <c r="E38" s="3" t="s">
        <v>17</v>
      </c>
      <c r="F38" s="3">
        <v>4</v>
      </c>
      <c r="G38" s="3">
        <v>2</v>
      </c>
      <c r="H38" s="3">
        <v>0</v>
      </c>
      <c r="I38" s="3">
        <v>0.5</v>
      </c>
      <c r="J38" s="4" t="str">
        <f>HYPERLINK("http://141.218.60.56/~jnz1568/getInfo.php?workbook=26_25.xlsx&amp;sheet=E0&amp;row=38&amp;col=10&amp;number=31368.449&amp;sourceID=14","31368.449")</f>
        <v>31368.449</v>
      </c>
    </row>
    <row r="39" spans="1:10">
      <c r="A39" s="3">
        <v>26</v>
      </c>
      <c r="B39" s="3">
        <v>25</v>
      </c>
      <c r="C39" s="3">
        <v>36</v>
      </c>
      <c r="D39" s="3" t="s">
        <v>27</v>
      </c>
      <c r="E39" s="3" t="s">
        <v>13</v>
      </c>
      <c r="F39" s="3">
        <v>6</v>
      </c>
      <c r="G39" s="3">
        <v>2</v>
      </c>
      <c r="H39" s="3">
        <v>0</v>
      </c>
      <c r="I39" s="3">
        <v>4.5</v>
      </c>
      <c r="J39" s="4" t="str">
        <f>HYPERLINK("http://141.218.60.56/~jnz1568/getInfo.php?workbook=26_25.xlsx&amp;sheet=E0&amp;row=39&amp;col=10&amp;number=38458.98&amp;sourceID=14","38458.98")</f>
        <v>38458.98</v>
      </c>
    </row>
    <row r="40" spans="1:10">
      <c r="A40" s="3">
        <v>26</v>
      </c>
      <c r="B40" s="3">
        <v>25</v>
      </c>
      <c r="C40" s="3">
        <v>37</v>
      </c>
      <c r="D40" s="3" t="s">
        <v>27</v>
      </c>
      <c r="E40" s="3" t="s">
        <v>13</v>
      </c>
      <c r="F40" s="3">
        <v>6</v>
      </c>
      <c r="G40" s="3">
        <v>2</v>
      </c>
      <c r="H40" s="3">
        <v>0</v>
      </c>
      <c r="I40" s="3">
        <v>3.5</v>
      </c>
      <c r="J40" s="4" t="str">
        <f>HYPERLINK("http://141.218.60.56/~jnz1568/getInfo.php?workbook=26_25.xlsx&amp;sheet=E0&amp;row=40&amp;col=10&amp;number=38660.043&amp;sourceID=14","38660.043")</f>
        <v>38660.043</v>
      </c>
    </row>
    <row r="41" spans="1:10">
      <c r="A41" s="3">
        <v>26</v>
      </c>
      <c r="B41" s="3">
        <v>25</v>
      </c>
      <c r="C41" s="3">
        <v>38</v>
      </c>
      <c r="D41" s="3" t="s">
        <v>27</v>
      </c>
      <c r="E41" s="3" t="s">
        <v>13</v>
      </c>
      <c r="F41" s="3">
        <v>6</v>
      </c>
      <c r="G41" s="3">
        <v>2</v>
      </c>
      <c r="H41" s="3">
        <v>0</v>
      </c>
      <c r="I41" s="3">
        <v>2.5</v>
      </c>
      <c r="J41" s="4" t="str">
        <f>HYPERLINK("http://141.218.60.56/~jnz1568/getInfo.php?workbook=26_25.xlsx&amp;sheet=E0&amp;row=41&amp;col=10&amp;number=38858.957&amp;sourceID=14","38858.957")</f>
        <v>38858.957</v>
      </c>
    </row>
    <row r="42" spans="1:10">
      <c r="A42" s="3">
        <v>26</v>
      </c>
      <c r="B42" s="3">
        <v>25</v>
      </c>
      <c r="C42" s="3">
        <v>39</v>
      </c>
      <c r="D42" s="3" t="s">
        <v>27</v>
      </c>
      <c r="E42" s="3" t="s">
        <v>13</v>
      </c>
      <c r="F42" s="3">
        <v>6</v>
      </c>
      <c r="G42" s="3">
        <v>2</v>
      </c>
      <c r="H42" s="3">
        <v>0</v>
      </c>
      <c r="I42" s="3">
        <v>1.5</v>
      </c>
      <c r="J42" s="4" t="str">
        <f>HYPERLINK("http://141.218.60.56/~jnz1568/getInfo.php?workbook=26_25.xlsx&amp;sheet=E0&amp;row=42&amp;col=10&amp;number=39013.207&amp;sourceID=14","39013.207")</f>
        <v>39013.207</v>
      </c>
    </row>
    <row r="43" spans="1:10">
      <c r="A43" s="3">
        <v>26</v>
      </c>
      <c r="B43" s="3">
        <v>25</v>
      </c>
      <c r="C43" s="3">
        <v>40</v>
      </c>
      <c r="D43" s="3" t="s">
        <v>27</v>
      </c>
      <c r="E43" s="3" t="s">
        <v>13</v>
      </c>
      <c r="F43" s="3">
        <v>6</v>
      </c>
      <c r="G43" s="3">
        <v>2</v>
      </c>
      <c r="H43" s="3">
        <v>0</v>
      </c>
      <c r="I43" s="3">
        <v>0.5</v>
      </c>
      <c r="J43" s="4" t="str">
        <f>HYPERLINK("http://141.218.60.56/~jnz1568/getInfo.php?workbook=26_25.xlsx&amp;sheet=E0&amp;row=43&amp;col=10&amp;number=39109.309&amp;sourceID=14","39109.309")</f>
        <v>39109.309</v>
      </c>
    </row>
    <row r="44" spans="1:10">
      <c r="A44" s="3">
        <v>26</v>
      </c>
      <c r="B44" s="3">
        <v>25</v>
      </c>
      <c r="C44" s="3">
        <v>41</v>
      </c>
      <c r="D44" s="3" t="s">
        <v>28</v>
      </c>
      <c r="E44" s="3" t="s">
        <v>29</v>
      </c>
      <c r="F44" s="3">
        <v>6</v>
      </c>
      <c r="G44" s="3">
        <v>3</v>
      </c>
      <c r="H44" s="3">
        <v>1</v>
      </c>
      <c r="I44" s="3">
        <v>5.5</v>
      </c>
      <c r="J44" s="4" t="str">
        <f>HYPERLINK("http://141.218.60.56/~jnz1568/getInfo.php?workbook=26_25.xlsx&amp;sheet=E0&amp;row=44&amp;col=10&amp;number=41968.047&amp;sourceID=14","41968.047")</f>
        <v>41968.047</v>
      </c>
    </row>
    <row r="45" spans="1:10">
      <c r="A45" s="3">
        <v>26</v>
      </c>
      <c r="B45" s="3">
        <v>25</v>
      </c>
      <c r="C45" s="3">
        <v>42</v>
      </c>
      <c r="D45" s="3" t="s">
        <v>28</v>
      </c>
      <c r="E45" s="3" t="s">
        <v>29</v>
      </c>
      <c r="F45" s="3">
        <v>6</v>
      </c>
      <c r="G45" s="3">
        <v>3</v>
      </c>
      <c r="H45" s="3">
        <v>1</v>
      </c>
      <c r="I45" s="3">
        <v>4.5</v>
      </c>
      <c r="J45" s="4" t="str">
        <f>HYPERLINK("http://141.218.60.56/~jnz1568/getInfo.php?workbook=26_25.xlsx&amp;sheet=E0&amp;row=45&amp;col=10&amp;number=42114.816&amp;sourceID=14","42114.816")</f>
        <v>42114.816</v>
      </c>
    </row>
    <row r="46" spans="1:10">
      <c r="A46" s="3">
        <v>26</v>
      </c>
      <c r="B46" s="3">
        <v>25</v>
      </c>
      <c r="C46" s="3">
        <v>43</v>
      </c>
      <c r="D46" s="3" t="s">
        <v>28</v>
      </c>
      <c r="E46" s="3" t="s">
        <v>29</v>
      </c>
      <c r="F46" s="3">
        <v>6</v>
      </c>
      <c r="G46" s="3">
        <v>3</v>
      </c>
      <c r="H46" s="3">
        <v>1</v>
      </c>
      <c r="I46" s="3">
        <v>3.5</v>
      </c>
      <c r="J46" s="4" t="str">
        <f>HYPERLINK("http://141.218.60.56/~jnz1568/getInfo.php?workbook=26_25.xlsx&amp;sheet=E0&amp;row=46&amp;col=10&amp;number=42237.031&amp;sourceID=14","42237.031")</f>
        <v>42237.031</v>
      </c>
    </row>
    <row r="47" spans="1:10">
      <c r="A47" s="3">
        <v>26</v>
      </c>
      <c r="B47" s="3">
        <v>25</v>
      </c>
      <c r="C47" s="3">
        <v>44</v>
      </c>
      <c r="D47" s="3" t="s">
        <v>28</v>
      </c>
      <c r="E47" s="3" t="s">
        <v>29</v>
      </c>
      <c r="F47" s="3">
        <v>6</v>
      </c>
      <c r="G47" s="3">
        <v>3</v>
      </c>
      <c r="H47" s="3">
        <v>1</v>
      </c>
      <c r="I47" s="3">
        <v>2.5</v>
      </c>
      <c r="J47" s="4" t="str">
        <f>HYPERLINK("http://141.218.60.56/~jnz1568/getInfo.php?workbook=26_25.xlsx&amp;sheet=E0&amp;row=47&amp;col=10&amp;number=42334.82&amp;sourceID=14","42334.82")</f>
        <v>42334.82</v>
      </c>
    </row>
    <row r="48" spans="1:10">
      <c r="A48" s="3">
        <v>26</v>
      </c>
      <c r="B48" s="3">
        <v>25</v>
      </c>
      <c r="C48" s="3">
        <v>45</v>
      </c>
      <c r="D48" s="3" t="s">
        <v>28</v>
      </c>
      <c r="E48" s="3" t="s">
        <v>29</v>
      </c>
      <c r="F48" s="3">
        <v>6</v>
      </c>
      <c r="G48" s="3">
        <v>3</v>
      </c>
      <c r="H48" s="3">
        <v>1</v>
      </c>
      <c r="I48" s="3">
        <v>1.5</v>
      </c>
      <c r="J48" s="4" t="str">
        <f>HYPERLINK("http://141.218.60.56/~jnz1568/getInfo.php?workbook=26_25.xlsx&amp;sheet=E0&amp;row=48&amp;col=10&amp;number=42401.301&amp;sourceID=14","42401.301")</f>
        <v>42401.301</v>
      </c>
    </row>
    <row r="49" spans="1:10">
      <c r="A49" s="3">
        <v>26</v>
      </c>
      <c r="B49" s="3">
        <v>25</v>
      </c>
      <c r="C49" s="3">
        <v>46</v>
      </c>
      <c r="D49" s="3" t="s">
        <v>28</v>
      </c>
      <c r="E49" s="3" t="s">
        <v>29</v>
      </c>
      <c r="F49" s="3">
        <v>6</v>
      </c>
      <c r="G49" s="3">
        <v>3</v>
      </c>
      <c r="H49" s="3">
        <v>1</v>
      </c>
      <c r="I49" s="3">
        <v>0.5</v>
      </c>
      <c r="J49" s="4" t="str">
        <f>HYPERLINK("http://141.218.60.56/~jnz1568/getInfo.php?workbook=26_25.xlsx&amp;sheet=E0&amp;row=49&amp;col=10&amp;number=42439.82&amp;sourceID=14","42439.82")</f>
        <v>42439.82</v>
      </c>
    </row>
    <row r="50" spans="1:10">
      <c r="A50" s="3">
        <v>26</v>
      </c>
      <c r="B50" s="3">
        <v>25</v>
      </c>
      <c r="C50" s="3">
        <v>47</v>
      </c>
      <c r="D50" s="3" t="s">
        <v>30</v>
      </c>
      <c r="E50" s="3" t="s">
        <v>31</v>
      </c>
      <c r="F50" s="3">
        <v>6</v>
      </c>
      <c r="G50" s="3">
        <v>1</v>
      </c>
      <c r="H50" s="3">
        <v>1</v>
      </c>
      <c r="I50" s="3">
        <v>3.5</v>
      </c>
      <c r="J50" s="4" t="str">
        <f>HYPERLINK("http://141.218.60.56/~jnz1568/getInfo.php?workbook=26_25.xlsx&amp;sheet=E0&amp;row=50&amp;col=10&amp;number=42658.223&amp;sourceID=14","42658.223")</f>
        <v>42658.223</v>
      </c>
    </row>
    <row r="51" spans="1:10">
      <c r="A51" s="3">
        <v>26</v>
      </c>
      <c r="B51" s="3">
        <v>25</v>
      </c>
      <c r="C51" s="3">
        <v>48</v>
      </c>
      <c r="D51" s="3" t="s">
        <v>30</v>
      </c>
      <c r="E51" s="3" t="s">
        <v>31</v>
      </c>
      <c r="F51" s="3">
        <v>6</v>
      </c>
      <c r="G51" s="3">
        <v>1</v>
      </c>
      <c r="H51" s="3">
        <v>1</v>
      </c>
      <c r="I51" s="3">
        <v>2.5</v>
      </c>
      <c r="J51" s="4" t="str">
        <f>HYPERLINK("http://141.218.60.56/~jnz1568/getInfo.php?workbook=26_25.xlsx&amp;sheet=E0&amp;row=51&amp;col=10&amp;number=43238.586&amp;sourceID=14","43238.586")</f>
        <v>43238.586</v>
      </c>
    </row>
    <row r="52" spans="1:10">
      <c r="A52" s="3">
        <v>26</v>
      </c>
      <c r="B52" s="3">
        <v>25</v>
      </c>
      <c r="C52" s="3">
        <v>49</v>
      </c>
      <c r="D52" s="3" t="s">
        <v>30</v>
      </c>
      <c r="E52" s="3" t="s">
        <v>31</v>
      </c>
      <c r="F52" s="3">
        <v>6</v>
      </c>
      <c r="G52" s="3">
        <v>1</v>
      </c>
      <c r="H52" s="3">
        <v>1</v>
      </c>
      <c r="I52" s="3">
        <v>1.5</v>
      </c>
      <c r="J52" s="4" t="str">
        <f>HYPERLINK("http://141.218.60.56/~jnz1568/getInfo.php?workbook=26_25.xlsx&amp;sheet=E0&amp;row=52&amp;col=10&amp;number=43620.957&amp;sourceID=14","43620.957")</f>
        <v>43620.957</v>
      </c>
    </row>
    <row r="53" spans="1:10">
      <c r="A53" s="3">
        <v>26</v>
      </c>
      <c r="B53" s="3">
        <v>25</v>
      </c>
      <c r="C53" s="3">
        <v>50</v>
      </c>
      <c r="D53" s="3" t="s">
        <v>32</v>
      </c>
      <c r="E53" s="3" t="s">
        <v>17</v>
      </c>
      <c r="F53" s="3">
        <v>4</v>
      </c>
      <c r="G53" s="3">
        <v>2</v>
      </c>
      <c r="H53" s="3">
        <v>0</v>
      </c>
      <c r="I53" s="3">
        <v>3.5</v>
      </c>
      <c r="J53" s="4" t="str">
        <f>HYPERLINK("http://141.218.60.56/~jnz1568/getInfo.php?workbook=26_25.xlsx&amp;sheet=E0&amp;row=53&amp;col=10&amp;number=44446.879&amp;sourceID=14","44446.879")</f>
        <v>44446.879</v>
      </c>
    </row>
    <row r="54" spans="1:10">
      <c r="A54" s="3">
        <v>26</v>
      </c>
      <c r="B54" s="3">
        <v>25</v>
      </c>
      <c r="C54" s="3">
        <v>51</v>
      </c>
      <c r="D54" s="3" t="s">
        <v>32</v>
      </c>
      <c r="E54" s="3" t="s">
        <v>17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HYPERLINK("http://141.218.60.56/~jnz1568/getInfo.php?workbook=26_25.xlsx&amp;sheet=E0&amp;row=54&amp;col=10&amp;number=44784.762&amp;sourceID=14","44784.762")</f>
        <v>44784.762</v>
      </c>
    </row>
    <row r="55" spans="1:10">
      <c r="A55" s="3">
        <v>26</v>
      </c>
      <c r="B55" s="3">
        <v>25</v>
      </c>
      <c r="C55" s="3">
        <v>52</v>
      </c>
      <c r="D55" s="3" t="s">
        <v>32</v>
      </c>
      <c r="E55" s="3" t="s">
        <v>17</v>
      </c>
      <c r="F55" s="3">
        <v>4</v>
      </c>
      <c r="G55" s="3">
        <v>2</v>
      </c>
      <c r="H55" s="3">
        <v>0</v>
      </c>
      <c r="I55" s="3">
        <v>1.5</v>
      </c>
      <c r="J55" s="4" t="str">
        <f>HYPERLINK("http://141.218.60.56/~jnz1568/getInfo.php?workbook=26_25.xlsx&amp;sheet=E0&amp;row=55&amp;col=10&amp;number=45044.168&amp;sourceID=14","45044.168")</f>
        <v>45044.168</v>
      </c>
    </row>
    <row r="56" spans="1:10">
      <c r="A56" s="3">
        <v>26</v>
      </c>
      <c r="B56" s="3">
        <v>25</v>
      </c>
      <c r="C56" s="3">
        <v>53</v>
      </c>
      <c r="D56" s="3" t="s">
        <v>32</v>
      </c>
      <c r="E56" s="3" t="s">
        <v>17</v>
      </c>
      <c r="F56" s="3">
        <v>4</v>
      </c>
      <c r="G56" s="3">
        <v>2</v>
      </c>
      <c r="H56" s="3">
        <v>0</v>
      </c>
      <c r="I56" s="3">
        <v>0.5</v>
      </c>
      <c r="J56" s="4" t="str">
        <f>HYPERLINK("http://141.218.60.56/~jnz1568/getInfo.php?workbook=26_25.xlsx&amp;sheet=E0&amp;row=56&amp;col=10&amp;number=45206.449&amp;sourceID=14","45206.449")</f>
        <v>45206.449</v>
      </c>
    </row>
    <row r="57" spans="1:10">
      <c r="A57" s="3">
        <v>26</v>
      </c>
      <c r="B57" s="3">
        <v>25</v>
      </c>
      <c r="C57" s="3">
        <v>54</v>
      </c>
      <c r="D57" s="3" t="s">
        <v>33</v>
      </c>
      <c r="E57" s="3" t="s">
        <v>15</v>
      </c>
      <c r="F57" s="3">
        <v>4</v>
      </c>
      <c r="G57" s="3">
        <v>3</v>
      </c>
      <c r="H57" s="3">
        <v>1</v>
      </c>
      <c r="I57" s="3">
        <v>4.5</v>
      </c>
      <c r="J57" s="4" t="str">
        <f>HYPERLINK("http://141.218.60.56/~jnz1568/getInfo.php?workbook=26_25.xlsx&amp;sheet=E0&amp;row=57&amp;col=10&amp;number=44232.512&amp;sourceID=14","44232.512")</f>
        <v>44232.512</v>
      </c>
    </row>
    <row r="58" spans="1:10">
      <c r="A58" s="3">
        <v>26</v>
      </c>
      <c r="B58" s="3">
        <v>25</v>
      </c>
      <c r="C58" s="3">
        <v>55</v>
      </c>
      <c r="D58" s="3" t="s">
        <v>33</v>
      </c>
      <c r="E58" s="3" t="s">
        <v>15</v>
      </c>
      <c r="F58" s="3">
        <v>4</v>
      </c>
      <c r="G58" s="3">
        <v>3</v>
      </c>
      <c r="H58" s="3">
        <v>1</v>
      </c>
      <c r="I58" s="3">
        <v>3.5</v>
      </c>
      <c r="J58" s="4" t="str">
        <f>HYPERLINK("http://141.218.60.56/~jnz1568/getInfo.php?workbook=26_25.xlsx&amp;sheet=E0&amp;row=58&amp;col=10&amp;number=44753.801&amp;sourceID=14","44753.801")</f>
        <v>44753.801</v>
      </c>
    </row>
    <row r="59" spans="1:10">
      <c r="A59" s="3">
        <v>26</v>
      </c>
      <c r="B59" s="3">
        <v>25</v>
      </c>
      <c r="C59" s="3">
        <v>56</v>
      </c>
      <c r="D59" s="3" t="s">
        <v>33</v>
      </c>
      <c r="E59" s="3" t="s">
        <v>15</v>
      </c>
      <c r="F59" s="3">
        <v>4</v>
      </c>
      <c r="G59" s="3">
        <v>3</v>
      </c>
      <c r="H59" s="3">
        <v>1</v>
      </c>
      <c r="I59" s="3">
        <v>2.5</v>
      </c>
      <c r="J59" s="4" t="str">
        <f>HYPERLINK("http://141.218.60.56/~jnz1568/getInfo.php?workbook=26_25.xlsx&amp;sheet=E0&amp;row=59&amp;col=10&amp;number=45079.879&amp;sourceID=14","45079.879")</f>
        <v>45079.879</v>
      </c>
    </row>
    <row r="60" spans="1:10">
      <c r="A60" s="3">
        <v>26</v>
      </c>
      <c r="B60" s="3">
        <v>25</v>
      </c>
      <c r="C60" s="3">
        <v>57</v>
      </c>
      <c r="D60" s="3" t="s">
        <v>33</v>
      </c>
      <c r="E60" s="3" t="s">
        <v>15</v>
      </c>
      <c r="F60" s="3">
        <v>4</v>
      </c>
      <c r="G60" s="3">
        <v>3</v>
      </c>
      <c r="H60" s="3">
        <v>1</v>
      </c>
      <c r="I60" s="3">
        <v>1.5</v>
      </c>
      <c r="J60" s="4" t="str">
        <f>HYPERLINK("http://141.218.60.56/~jnz1568/getInfo.php?workbook=26_25.xlsx&amp;sheet=E0&amp;row=60&amp;col=10&amp;number=45289.801&amp;sourceID=14","45289.801")</f>
        <v>45289.801</v>
      </c>
    </row>
    <row r="61" spans="1:10">
      <c r="A61" s="3">
        <v>26</v>
      </c>
      <c r="B61" s="3">
        <v>25</v>
      </c>
      <c r="C61" s="3">
        <v>58</v>
      </c>
      <c r="D61" s="3" t="s">
        <v>34</v>
      </c>
      <c r="E61" s="3" t="s">
        <v>19</v>
      </c>
      <c r="F61" s="3">
        <v>4</v>
      </c>
      <c r="G61" s="3">
        <v>1</v>
      </c>
      <c r="H61" s="3">
        <v>1</v>
      </c>
      <c r="I61" s="3">
        <v>2.5</v>
      </c>
      <c r="J61" s="4" t="str">
        <f>HYPERLINK("http://141.218.60.56/~jnz1568/getInfo.php?workbook=26_25.xlsx&amp;sheet=E0&amp;row=61&amp;col=10&amp;number=46967.445&amp;sourceID=14","46967.445")</f>
        <v>46967.445</v>
      </c>
    </row>
    <row r="62" spans="1:10">
      <c r="A62" s="3">
        <v>26</v>
      </c>
      <c r="B62" s="3">
        <v>25</v>
      </c>
      <c r="C62" s="3">
        <v>59</v>
      </c>
      <c r="D62" s="3" t="s">
        <v>34</v>
      </c>
      <c r="E62" s="3" t="s">
        <v>19</v>
      </c>
      <c r="F62" s="3">
        <v>4</v>
      </c>
      <c r="G62" s="3">
        <v>1</v>
      </c>
      <c r="H62" s="3">
        <v>1</v>
      </c>
      <c r="I62" s="3">
        <v>1.5</v>
      </c>
      <c r="J62" s="4" t="str">
        <f>HYPERLINK("http://141.218.60.56/~jnz1568/getInfo.php?workbook=26_25.xlsx&amp;sheet=E0&amp;row=62&amp;col=10&amp;number=47389.777&amp;sourceID=14","47389.777")</f>
        <v>47389.777</v>
      </c>
    </row>
    <row r="63" spans="1:10">
      <c r="A63" s="3">
        <v>26</v>
      </c>
      <c r="B63" s="3">
        <v>25</v>
      </c>
      <c r="C63" s="3">
        <v>60</v>
      </c>
      <c r="D63" s="3" t="s">
        <v>34</v>
      </c>
      <c r="E63" s="3" t="s">
        <v>19</v>
      </c>
      <c r="F63" s="3">
        <v>4</v>
      </c>
      <c r="G63" s="3">
        <v>1</v>
      </c>
      <c r="H63" s="3">
        <v>1</v>
      </c>
      <c r="I63" s="3">
        <v>0.5</v>
      </c>
      <c r="J63" s="4" t="str">
        <f>HYPERLINK("http://141.218.60.56/~jnz1568/getInfo.php?workbook=26_25.xlsx&amp;sheet=E0&amp;row=63&amp;col=10&amp;number=47626.074&amp;sourceID=14","47626.074")</f>
        <v>47626.074</v>
      </c>
    </row>
    <row r="64" spans="1:10">
      <c r="A64" s="3">
        <v>26</v>
      </c>
      <c r="B64" s="3">
        <v>25</v>
      </c>
      <c r="C64" s="3">
        <v>61</v>
      </c>
      <c r="D64" s="3" t="s">
        <v>35</v>
      </c>
      <c r="E64" s="3" t="s">
        <v>15</v>
      </c>
      <c r="F64" s="3">
        <v>4</v>
      </c>
      <c r="G64" s="3">
        <v>3</v>
      </c>
      <c r="H64" s="3">
        <v>1</v>
      </c>
      <c r="I64" s="3">
        <v>4.5</v>
      </c>
      <c r="J64" s="4" t="str">
        <f>HYPERLINK("http://141.218.60.56/~jnz1568/getInfo.php?workbook=26_25.xlsx&amp;sheet=E0&amp;row=64&amp;col=10&amp;number=50157.453&amp;sourceID=14","50157.453")</f>
        <v>50157.453</v>
      </c>
    </row>
    <row r="65" spans="1:10">
      <c r="A65" s="3">
        <v>26</v>
      </c>
      <c r="B65" s="3">
        <v>25</v>
      </c>
      <c r="C65" s="3">
        <v>62</v>
      </c>
      <c r="D65" s="3" t="s">
        <v>35</v>
      </c>
      <c r="E65" s="3" t="s">
        <v>15</v>
      </c>
      <c r="F65" s="3">
        <v>4</v>
      </c>
      <c r="G65" s="3">
        <v>3</v>
      </c>
      <c r="H65" s="3">
        <v>1</v>
      </c>
      <c r="I65" s="3">
        <v>3.5</v>
      </c>
      <c r="J65" s="4" t="str">
        <f>HYPERLINK("http://141.218.60.56/~jnz1568/getInfo.php?workbook=26_25.xlsx&amp;sheet=E0&amp;row=65&amp;col=10&amp;number=50187.812&amp;sourceID=14","50187.812")</f>
        <v>50187.812</v>
      </c>
    </row>
    <row r="66" spans="1:10">
      <c r="A66" s="3">
        <v>26</v>
      </c>
      <c r="B66" s="3">
        <v>25</v>
      </c>
      <c r="C66" s="3">
        <v>63</v>
      </c>
      <c r="D66" s="3" t="s">
        <v>35</v>
      </c>
      <c r="E66" s="3" t="s">
        <v>15</v>
      </c>
      <c r="F66" s="3">
        <v>4</v>
      </c>
      <c r="G66" s="3">
        <v>3</v>
      </c>
      <c r="H66" s="3">
        <v>1</v>
      </c>
      <c r="I66" s="3">
        <v>2.5</v>
      </c>
      <c r="J66" s="4" t="str">
        <f>HYPERLINK("http://141.218.60.56/~jnz1568/getInfo.php?workbook=26_25.xlsx&amp;sheet=E0&amp;row=66&amp;col=10&amp;number=50142.785&amp;sourceID=14","50142.785")</f>
        <v>50142.785</v>
      </c>
    </row>
    <row r="67" spans="1:10">
      <c r="A67" s="3">
        <v>26</v>
      </c>
      <c r="B67" s="3">
        <v>25</v>
      </c>
      <c r="C67" s="3">
        <v>64</v>
      </c>
      <c r="D67" s="3" t="s">
        <v>35</v>
      </c>
      <c r="E67" s="3" t="s">
        <v>15</v>
      </c>
      <c r="F67" s="3">
        <v>4</v>
      </c>
      <c r="G67" s="3">
        <v>3</v>
      </c>
      <c r="H67" s="3">
        <v>1</v>
      </c>
      <c r="I67" s="3">
        <v>1.5</v>
      </c>
      <c r="J67" s="4" t="str">
        <f>HYPERLINK("http://141.218.60.56/~jnz1568/getInfo.php?workbook=26_25.xlsx&amp;sheet=E0&amp;row=67&amp;col=10&amp;number=50075.91&amp;sourceID=14","50075.91")</f>
        <v>50075.91</v>
      </c>
    </row>
    <row r="68" spans="1:10">
      <c r="A68" s="3">
        <v>26</v>
      </c>
      <c r="B68" s="3">
        <v>25</v>
      </c>
      <c r="C68" s="3">
        <v>65</v>
      </c>
      <c r="D68" s="3" t="s">
        <v>36</v>
      </c>
      <c r="E68" s="3" t="s">
        <v>19</v>
      </c>
      <c r="F68" s="3">
        <v>4</v>
      </c>
      <c r="G68" s="3">
        <v>1</v>
      </c>
      <c r="H68" s="3">
        <v>1</v>
      </c>
      <c r="I68" s="3">
        <v>2.5</v>
      </c>
      <c r="J68" s="4" t="str">
        <f>HYPERLINK("http://141.218.60.56/~jnz1568/getInfo.php?workbook=26_25.xlsx&amp;sheet=E0&amp;row=68&amp;col=10&amp;number=50212.824&amp;sourceID=14","50212.824")</f>
        <v>50212.824</v>
      </c>
    </row>
    <row r="69" spans="1:10">
      <c r="A69" s="3">
        <v>26</v>
      </c>
      <c r="B69" s="3">
        <v>25</v>
      </c>
      <c r="C69" s="3">
        <v>66</v>
      </c>
      <c r="D69" s="3" t="s">
        <v>36</v>
      </c>
      <c r="E69" s="3" t="s">
        <v>19</v>
      </c>
      <c r="F69" s="3">
        <v>4</v>
      </c>
      <c r="G69" s="3">
        <v>1</v>
      </c>
      <c r="H69" s="3">
        <v>1</v>
      </c>
      <c r="I69" s="3">
        <v>1.5</v>
      </c>
      <c r="J69" s="4" t="str">
        <f>HYPERLINK("http://141.218.60.56/~jnz1568/getInfo.php?workbook=26_25.xlsx&amp;sheet=E0&amp;row=69&amp;col=10&amp;number=49506.934&amp;sourceID=14","49506.934")</f>
        <v>49506.934</v>
      </c>
    </row>
    <row r="70" spans="1:10">
      <c r="A70" s="3">
        <v>26</v>
      </c>
      <c r="B70" s="3">
        <v>25</v>
      </c>
      <c r="C70" s="3">
        <v>67</v>
      </c>
      <c r="D70" s="3" t="s">
        <v>36</v>
      </c>
      <c r="E70" s="3" t="s">
        <v>19</v>
      </c>
      <c r="F70" s="3">
        <v>4</v>
      </c>
      <c r="G70" s="3">
        <v>1</v>
      </c>
      <c r="H70" s="3">
        <v>1</v>
      </c>
      <c r="I70" s="3">
        <v>0.5</v>
      </c>
      <c r="J70" s="4" t="str">
        <f>HYPERLINK("http://141.218.60.56/~jnz1568/getInfo.php?workbook=26_25.xlsx&amp;sheet=E0&amp;row=70&amp;col=10&amp;number=49100.977&amp;sourceID=14","49100.977")</f>
        <v>49100.977</v>
      </c>
    </row>
    <row r="71" spans="1:10">
      <c r="A71" s="3">
        <v>26</v>
      </c>
      <c r="B71" s="3">
        <v>25</v>
      </c>
      <c r="C71" s="3">
        <v>68</v>
      </c>
      <c r="D71" s="3" t="s">
        <v>37</v>
      </c>
      <c r="E71" s="3" t="s">
        <v>38</v>
      </c>
      <c r="F71" s="3">
        <v>4</v>
      </c>
      <c r="G71" s="3">
        <v>0</v>
      </c>
      <c r="H71" s="3">
        <v>0</v>
      </c>
      <c r="I71" s="3">
        <v>1.5</v>
      </c>
      <c r="J71" s="4" t="str">
        <f>HYPERLINK("http://141.218.60.56/~jnz1568/getInfo.php?workbook=26_25.xlsx&amp;sheet=E0&amp;row=71&amp;col=10&amp;number=59663.457&amp;sourceID=14","59663.457")</f>
        <v>59663.457</v>
      </c>
    </row>
    <row r="72" spans="1:10">
      <c r="A72" s="3">
        <v>26</v>
      </c>
      <c r="B72" s="3">
        <v>25</v>
      </c>
      <c r="C72" s="3">
        <v>69</v>
      </c>
      <c r="D72" s="3" t="s">
        <v>39</v>
      </c>
      <c r="E72" s="3" t="s">
        <v>19</v>
      </c>
      <c r="F72" s="3">
        <v>4</v>
      </c>
      <c r="G72" s="3">
        <v>1</v>
      </c>
      <c r="H72" s="3">
        <v>1</v>
      </c>
      <c r="I72" s="3">
        <v>2.5</v>
      </c>
      <c r="J72" s="4" t="str">
        <f>HYPERLINK("http://141.218.60.56/~jnz1568/getInfo.php?workbook=26_25.xlsx&amp;sheet=E0&amp;row=72&amp;col=10&amp;number=60402.344&amp;sourceID=14","60402.344")</f>
        <v>60402.344</v>
      </c>
    </row>
    <row r="73" spans="1:10">
      <c r="A73" s="3">
        <v>26</v>
      </c>
      <c r="B73" s="3">
        <v>25</v>
      </c>
      <c r="C73" s="3">
        <v>70</v>
      </c>
      <c r="D73" s="3" t="s">
        <v>39</v>
      </c>
      <c r="E73" s="3" t="s">
        <v>19</v>
      </c>
      <c r="F73" s="3">
        <v>4</v>
      </c>
      <c r="G73" s="3">
        <v>1</v>
      </c>
      <c r="H73" s="3">
        <v>1</v>
      </c>
      <c r="I73" s="3">
        <v>1.5</v>
      </c>
      <c r="J73" s="4" t="str">
        <f>HYPERLINK("http://141.218.60.56/~jnz1568/getInfo.php?workbook=26_25.xlsx&amp;sheet=E0&amp;row=73&amp;col=10&amp;number=61332.766&amp;sourceID=14","61332.766")</f>
        <v>61332.766</v>
      </c>
    </row>
    <row r="74" spans="1:10">
      <c r="A74" s="3">
        <v>26</v>
      </c>
      <c r="B74" s="3">
        <v>25</v>
      </c>
      <c r="C74" s="3">
        <v>71</v>
      </c>
      <c r="D74" s="3" t="s">
        <v>39</v>
      </c>
      <c r="E74" s="3" t="s">
        <v>19</v>
      </c>
      <c r="F74" s="3">
        <v>4</v>
      </c>
      <c r="G74" s="3">
        <v>1</v>
      </c>
      <c r="H74" s="3">
        <v>1</v>
      </c>
      <c r="I74" s="3">
        <v>0.5</v>
      </c>
      <c r="J74" s="4" t="str">
        <f>HYPERLINK("http://141.218.60.56/~jnz1568/getInfo.php?workbook=26_25.xlsx&amp;sheet=E0&amp;row=74&amp;col=10&amp;number=61035.285&amp;sourceID=14","61035.285")</f>
        <v>61035.285</v>
      </c>
    </row>
    <row r="75" spans="1:10">
      <c r="A75" s="3">
        <v>26</v>
      </c>
      <c r="B75" s="3">
        <v>25</v>
      </c>
      <c r="C75" s="3">
        <v>72</v>
      </c>
      <c r="D75" s="3" t="s">
        <v>40</v>
      </c>
      <c r="E75" s="3" t="s">
        <v>25</v>
      </c>
      <c r="F75" s="3">
        <v>4</v>
      </c>
      <c r="G75" s="3">
        <v>4</v>
      </c>
      <c r="H75" s="3">
        <v>0</v>
      </c>
      <c r="I75" s="3">
        <v>5.5</v>
      </c>
      <c r="J75" s="4" t="str">
        <f>HYPERLINK("http://141.218.60.56/~jnz1568/getInfo.php?workbook=26_25.xlsx&amp;sheet=E0&amp;row=75&amp;col=10&amp;number=60625.449&amp;sourceID=14","60625.449")</f>
        <v>60625.449</v>
      </c>
    </row>
    <row r="76" spans="1:10">
      <c r="A76" s="3">
        <v>26</v>
      </c>
      <c r="B76" s="3">
        <v>25</v>
      </c>
      <c r="C76" s="3">
        <v>73</v>
      </c>
      <c r="D76" s="3" t="s">
        <v>40</v>
      </c>
      <c r="E76" s="3" t="s">
        <v>25</v>
      </c>
      <c r="F76" s="3">
        <v>4</v>
      </c>
      <c r="G76" s="3">
        <v>4</v>
      </c>
      <c r="H76" s="3">
        <v>0</v>
      </c>
      <c r="I76" s="3">
        <v>4.5</v>
      </c>
      <c r="J76" s="4" t="str">
        <f>HYPERLINK("http://141.218.60.56/~jnz1568/getInfo.php?workbook=26_25.xlsx&amp;sheet=E0&amp;row=76&amp;col=10&amp;number=60807.23&amp;sourceID=14","60807.23")</f>
        <v>60807.23</v>
      </c>
    </row>
    <row r="77" spans="1:10">
      <c r="A77" s="3">
        <v>26</v>
      </c>
      <c r="B77" s="3">
        <v>25</v>
      </c>
      <c r="C77" s="3">
        <v>74</v>
      </c>
      <c r="D77" s="3" t="s">
        <v>40</v>
      </c>
      <c r="E77" s="3" t="s">
        <v>25</v>
      </c>
      <c r="F77" s="3">
        <v>4</v>
      </c>
      <c r="G77" s="3">
        <v>4</v>
      </c>
      <c r="H77" s="3">
        <v>0</v>
      </c>
      <c r="I77" s="3">
        <v>3.5</v>
      </c>
      <c r="J77" s="4" t="str">
        <f>HYPERLINK("http://141.218.60.56/~jnz1568/getInfo.php?workbook=26_25.xlsx&amp;sheet=E0&amp;row=77&amp;col=10&amp;number=60956.781&amp;sourceID=14","60956.781")</f>
        <v>60956.781</v>
      </c>
    </row>
    <row r="78" spans="1:10">
      <c r="A78" s="3">
        <v>26</v>
      </c>
      <c r="B78" s="3">
        <v>25</v>
      </c>
      <c r="C78" s="3">
        <v>75</v>
      </c>
      <c r="D78" s="3" t="s">
        <v>40</v>
      </c>
      <c r="E78" s="3" t="s">
        <v>25</v>
      </c>
      <c r="F78" s="3">
        <v>4</v>
      </c>
      <c r="G78" s="3">
        <v>4</v>
      </c>
      <c r="H78" s="3">
        <v>0</v>
      </c>
      <c r="I78" s="3">
        <v>2.5</v>
      </c>
      <c r="J78" s="4" t="str">
        <f>HYPERLINK("http://141.218.60.56/~jnz1568/getInfo.php?workbook=26_25.xlsx&amp;sheet=E0&amp;row=78&amp;col=10&amp;number=61041.746&amp;sourceID=14","61041.746")</f>
        <v>61041.746</v>
      </c>
    </row>
    <row r="79" spans="1:10">
      <c r="A79" s="3">
        <v>26</v>
      </c>
      <c r="B79" s="3">
        <v>25</v>
      </c>
      <c r="C79" s="3">
        <v>76</v>
      </c>
      <c r="D79" s="3" t="s">
        <v>41</v>
      </c>
      <c r="E79" s="3" t="s">
        <v>22</v>
      </c>
      <c r="F79" s="3">
        <v>4</v>
      </c>
      <c r="G79" s="3">
        <v>5</v>
      </c>
      <c r="H79" s="3">
        <v>1</v>
      </c>
      <c r="I79" s="3">
        <v>6.5</v>
      </c>
      <c r="J79" s="4" t="str">
        <f>HYPERLINK("http://141.218.60.56/~jnz1568/getInfo.php?workbook=26_25.xlsx&amp;sheet=E0&amp;row=79&amp;col=10&amp;number=60837.57&amp;sourceID=14","60837.57")</f>
        <v>60837.57</v>
      </c>
    </row>
    <row r="80" spans="1:10">
      <c r="A80" s="3">
        <v>26</v>
      </c>
      <c r="B80" s="3">
        <v>25</v>
      </c>
      <c r="C80" s="3">
        <v>77</v>
      </c>
      <c r="D80" s="3" t="s">
        <v>41</v>
      </c>
      <c r="E80" s="3" t="s">
        <v>22</v>
      </c>
      <c r="F80" s="3">
        <v>4</v>
      </c>
      <c r="G80" s="3">
        <v>5</v>
      </c>
      <c r="H80" s="3">
        <v>1</v>
      </c>
      <c r="I80" s="3">
        <v>5.5</v>
      </c>
      <c r="J80" s="4" t="str">
        <f>HYPERLINK("http://141.218.60.56/~jnz1568/getInfo.php?workbook=26_25.xlsx&amp;sheet=E0&amp;row=80&amp;col=10&amp;number=60887.598&amp;sourceID=14","60887.598")</f>
        <v>60887.598</v>
      </c>
    </row>
    <row r="81" spans="1:10">
      <c r="A81" s="3">
        <v>26</v>
      </c>
      <c r="B81" s="3">
        <v>25</v>
      </c>
      <c r="C81" s="3">
        <v>78</v>
      </c>
      <c r="D81" s="3" t="s">
        <v>41</v>
      </c>
      <c r="E81" s="3" t="s">
        <v>22</v>
      </c>
      <c r="F81" s="3">
        <v>4</v>
      </c>
      <c r="G81" s="3">
        <v>5</v>
      </c>
      <c r="H81" s="3">
        <v>1</v>
      </c>
      <c r="I81" s="3">
        <v>4.5</v>
      </c>
      <c r="J81" s="4" t="str">
        <f>HYPERLINK("http://141.218.60.56/~jnz1568/getInfo.php?workbook=26_25.xlsx&amp;sheet=E0&amp;row=81&amp;col=10&amp;number=60989.445&amp;sourceID=14","60989.445")</f>
        <v>60989.445</v>
      </c>
    </row>
    <row r="82" spans="1:10">
      <c r="A82" s="3">
        <v>26</v>
      </c>
      <c r="B82" s="3">
        <v>25</v>
      </c>
      <c r="C82" s="3">
        <v>79</v>
      </c>
      <c r="D82" s="3" t="s">
        <v>41</v>
      </c>
      <c r="E82" s="3" t="s">
        <v>22</v>
      </c>
      <c r="F82" s="3">
        <v>4</v>
      </c>
      <c r="G82" s="3">
        <v>5</v>
      </c>
      <c r="H82" s="3">
        <v>1</v>
      </c>
      <c r="I82" s="3">
        <v>3.5</v>
      </c>
      <c r="J82" s="4" t="str">
        <f>HYPERLINK("http://141.218.60.56/~jnz1568/getInfo.php?workbook=26_25.xlsx&amp;sheet=E0&amp;row=82&amp;col=10&amp;number=61156.836&amp;sourceID=14","61156.836")</f>
        <v>61156.836</v>
      </c>
    </row>
    <row r="83" spans="1:10">
      <c r="A83" s="3">
        <v>26</v>
      </c>
      <c r="B83" s="3">
        <v>25</v>
      </c>
      <c r="C83" s="3">
        <v>80</v>
      </c>
      <c r="D83" s="3" t="s">
        <v>42</v>
      </c>
      <c r="E83" s="3" t="s">
        <v>43</v>
      </c>
      <c r="F83" s="3">
        <v>4</v>
      </c>
      <c r="G83" s="3">
        <v>6</v>
      </c>
      <c r="H83" s="3">
        <v>0</v>
      </c>
      <c r="I83" s="3">
        <v>7.5</v>
      </c>
      <c r="J83" s="4" t="str">
        <f>HYPERLINK("http://141.218.60.56/~jnz1568/getInfo.php?workbook=26_25.xlsx&amp;sheet=E0&amp;row=83&amp;col=10&amp;number=61347.613&amp;sourceID=14","61347.613")</f>
        <v>61347.613</v>
      </c>
    </row>
    <row r="84" spans="1:10">
      <c r="A84" s="3">
        <v>26</v>
      </c>
      <c r="B84" s="3">
        <v>25</v>
      </c>
      <c r="C84" s="3">
        <v>81</v>
      </c>
      <c r="D84" s="3" t="s">
        <v>42</v>
      </c>
      <c r="E84" s="3" t="s">
        <v>43</v>
      </c>
      <c r="F84" s="3">
        <v>4</v>
      </c>
      <c r="G84" s="3">
        <v>6</v>
      </c>
      <c r="H84" s="3">
        <v>0</v>
      </c>
      <c r="I84" s="3">
        <v>6.5</v>
      </c>
      <c r="J84" s="4" t="str">
        <f>HYPERLINK("http://141.218.60.56/~jnz1568/getInfo.php?workbook=26_25.xlsx&amp;sheet=E0&amp;row=84&amp;col=10&amp;number=61527.617&amp;sourceID=14","61527.617")</f>
        <v>61527.617</v>
      </c>
    </row>
    <row r="85" spans="1:10">
      <c r="A85" s="3">
        <v>26</v>
      </c>
      <c r="B85" s="3">
        <v>25</v>
      </c>
      <c r="C85" s="3">
        <v>82</v>
      </c>
      <c r="D85" s="3" t="s">
        <v>42</v>
      </c>
      <c r="E85" s="3" t="s">
        <v>43</v>
      </c>
      <c r="F85" s="3">
        <v>4</v>
      </c>
      <c r="G85" s="3">
        <v>6</v>
      </c>
      <c r="H85" s="3">
        <v>0</v>
      </c>
      <c r="I85" s="3">
        <v>5.5</v>
      </c>
      <c r="J85" s="4" t="str">
        <f>HYPERLINK("http://141.218.60.56/~jnz1568/getInfo.php?workbook=26_25.xlsx&amp;sheet=E0&amp;row=85&amp;col=10&amp;number=61587.215&amp;sourceID=14","61587.215")</f>
        <v>61587.215</v>
      </c>
    </row>
    <row r="86" spans="1:10">
      <c r="A86" s="3">
        <v>26</v>
      </c>
      <c r="B86" s="3">
        <v>25</v>
      </c>
      <c r="C86" s="3">
        <v>83</v>
      </c>
      <c r="D86" s="3" t="s">
        <v>42</v>
      </c>
      <c r="E86" s="3" t="s">
        <v>43</v>
      </c>
      <c r="F86" s="3">
        <v>4</v>
      </c>
      <c r="G86" s="3">
        <v>6</v>
      </c>
      <c r="H86" s="3">
        <v>0</v>
      </c>
      <c r="I86" s="3">
        <v>4.5</v>
      </c>
      <c r="J86" s="4" t="str">
        <f>HYPERLINK("http://141.218.60.56/~jnz1568/getInfo.php?workbook=26_25.xlsx&amp;sheet=E0&amp;row=86&amp;col=10&amp;number=61512.633&amp;sourceID=14","61512.633")</f>
        <v>61512.633</v>
      </c>
    </row>
    <row r="87" spans="1:10">
      <c r="A87" s="3">
        <v>26</v>
      </c>
      <c r="B87" s="3">
        <v>25</v>
      </c>
      <c r="C87" s="3">
        <v>84</v>
      </c>
      <c r="D87" s="3" t="s">
        <v>44</v>
      </c>
      <c r="E87" s="3" t="s">
        <v>17</v>
      </c>
      <c r="F87" s="3">
        <v>4</v>
      </c>
      <c r="G87" s="3">
        <v>2</v>
      </c>
      <c r="H87" s="3">
        <v>0</v>
      </c>
      <c r="I87" s="3">
        <v>3.5</v>
      </c>
      <c r="J87" s="4" t="str">
        <f>HYPERLINK("http://141.218.60.56/~jnz1568/getInfo.php?workbook=26_25.xlsx&amp;sheet=E0&amp;row=87&amp;col=10&amp;number=61726.078&amp;sourceID=14","61726.078")</f>
        <v>61726.078</v>
      </c>
    </row>
    <row r="88" spans="1:10">
      <c r="A88" s="3">
        <v>26</v>
      </c>
      <c r="B88" s="3">
        <v>25</v>
      </c>
      <c r="C88" s="3">
        <v>85</v>
      </c>
      <c r="D88" s="3" t="s">
        <v>44</v>
      </c>
      <c r="E88" s="3" t="s">
        <v>17</v>
      </c>
      <c r="F88" s="3">
        <v>4</v>
      </c>
      <c r="G88" s="3">
        <v>2</v>
      </c>
      <c r="H88" s="3">
        <v>0</v>
      </c>
      <c r="I88" s="3">
        <v>2.5</v>
      </c>
      <c r="J88" s="4" t="str">
        <f>HYPERLINK("http://141.218.60.56/~jnz1568/getInfo.php?workbook=26_25.xlsx&amp;sheet=E0&amp;row=88&amp;col=10&amp;number=62689.879&amp;sourceID=14","62689.879")</f>
        <v>62689.879</v>
      </c>
    </row>
    <row r="89" spans="1:10">
      <c r="A89" s="3">
        <v>26</v>
      </c>
      <c r="B89" s="3">
        <v>25</v>
      </c>
      <c r="C89" s="3">
        <v>86</v>
      </c>
      <c r="D89" s="3" t="s">
        <v>44</v>
      </c>
      <c r="E89" s="3" t="s">
        <v>17</v>
      </c>
      <c r="F89" s="3">
        <v>4</v>
      </c>
      <c r="G89" s="3">
        <v>2</v>
      </c>
      <c r="H89" s="3">
        <v>0</v>
      </c>
      <c r="I89" s="3">
        <v>1.5</v>
      </c>
      <c r="J89" s="4" t="str">
        <f>HYPERLINK("http://141.218.60.56/~jnz1568/getInfo.php?workbook=26_25.xlsx&amp;sheet=E0&amp;row=89&amp;col=10&amp;number=62962.203&amp;sourceID=14","62962.203")</f>
        <v>62962.203</v>
      </c>
    </row>
    <row r="90" spans="1:10">
      <c r="A90" s="3">
        <v>26</v>
      </c>
      <c r="B90" s="3">
        <v>25</v>
      </c>
      <c r="C90" s="3">
        <v>87</v>
      </c>
      <c r="D90" s="3" t="s">
        <v>44</v>
      </c>
      <c r="E90" s="3" t="s">
        <v>17</v>
      </c>
      <c r="F90" s="3">
        <v>4</v>
      </c>
      <c r="G90" s="3">
        <v>2</v>
      </c>
      <c r="H90" s="3">
        <v>0</v>
      </c>
      <c r="I90" s="3">
        <v>0.5</v>
      </c>
      <c r="J90" s="4" t="str">
        <f>HYPERLINK("http://141.218.60.56/~jnz1568/getInfo.php?workbook=26_25.xlsx&amp;sheet=E0&amp;row=90&amp;col=10&amp;number=62829.074&amp;sourceID=14","62829.074")</f>
        <v>62829.074</v>
      </c>
    </row>
    <row r="91" spans="1:10">
      <c r="A91" s="3">
        <v>26</v>
      </c>
      <c r="B91" s="3">
        <v>25</v>
      </c>
      <c r="C91" s="3">
        <v>88</v>
      </c>
      <c r="D91" s="3" t="s">
        <v>45</v>
      </c>
      <c r="E91" s="3" t="s">
        <v>17</v>
      </c>
      <c r="F91" s="3">
        <v>4</v>
      </c>
      <c r="G91" s="3">
        <v>2</v>
      </c>
      <c r="H91" s="3">
        <v>0</v>
      </c>
      <c r="I91" s="3">
        <v>3.5</v>
      </c>
      <c r="J91" s="4" t="str">
        <f>HYPERLINK("http://141.218.60.56/~jnz1568/getInfo.php?workbook=26_25.xlsx&amp;sheet=E0&amp;row=91&amp;col=10&amp;number=62945.039&amp;sourceID=14","62945.039")</f>
        <v>62945.039</v>
      </c>
    </row>
    <row r="92" spans="1:10">
      <c r="A92" s="3">
        <v>26</v>
      </c>
      <c r="B92" s="3">
        <v>25</v>
      </c>
      <c r="C92" s="3">
        <v>89</v>
      </c>
      <c r="D92" s="3" t="s">
        <v>45</v>
      </c>
      <c r="E92" s="3" t="s">
        <v>17</v>
      </c>
      <c r="F92" s="3">
        <v>4</v>
      </c>
      <c r="G92" s="3">
        <v>2</v>
      </c>
      <c r="H92" s="3">
        <v>0</v>
      </c>
      <c r="I92" s="3">
        <v>2.5</v>
      </c>
      <c r="J92" s="4" t="str">
        <f>HYPERLINK("http://141.218.60.56/~jnz1568/getInfo.php?workbook=26_25.xlsx&amp;sheet=E0&amp;row=92&amp;col=10&amp;number=63272.977&amp;sourceID=14","63272.977")</f>
        <v>63272.977</v>
      </c>
    </row>
    <row r="93" spans="1:10">
      <c r="A93" s="3">
        <v>26</v>
      </c>
      <c r="B93" s="3">
        <v>25</v>
      </c>
      <c r="C93" s="3">
        <v>90</v>
      </c>
      <c r="D93" s="3" t="s">
        <v>45</v>
      </c>
      <c r="E93" s="3" t="s">
        <v>17</v>
      </c>
      <c r="F93" s="3">
        <v>4</v>
      </c>
      <c r="G93" s="3">
        <v>2</v>
      </c>
      <c r="H93" s="3">
        <v>0</v>
      </c>
      <c r="I93" s="3">
        <v>1.5</v>
      </c>
      <c r="J93" s="4" t="str">
        <f>HYPERLINK("http://141.218.60.56/~jnz1568/getInfo.php?workbook=26_25.xlsx&amp;sheet=E0&amp;row=93&amp;col=10&amp;number=63465.109&amp;sourceID=14","63465.109")</f>
        <v>63465.109</v>
      </c>
    </row>
    <row r="94" spans="1:10">
      <c r="A94" s="3">
        <v>26</v>
      </c>
      <c r="B94" s="3">
        <v>25</v>
      </c>
      <c r="C94" s="3">
        <v>91</v>
      </c>
      <c r="D94" s="3" t="s">
        <v>45</v>
      </c>
      <c r="E94" s="3" t="s">
        <v>17</v>
      </c>
      <c r="F94" s="3">
        <v>4</v>
      </c>
      <c r="G94" s="3">
        <v>2</v>
      </c>
      <c r="H94" s="3">
        <v>0</v>
      </c>
      <c r="I94" s="3">
        <v>0.5</v>
      </c>
      <c r="J94" s="4" t="str">
        <f>HYPERLINK("http://141.218.60.56/~jnz1568/getInfo.php?workbook=26_25.xlsx&amp;sheet=E0&amp;row=94&amp;col=10&amp;number=63559.488&amp;sourceID=14","63559.488")</f>
        <v>63559.488</v>
      </c>
    </row>
    <row r="95" spans="1:10">
      <c r="A95" s="3">
        <v>26</v>
      </c>
      <c r="B95" s="3">
        <v>25</v>
      </c>
      <c r="C95" s="3">
        <v>92</v>
      </c>
      <c r="D95" s="3" t="s">
        <v>46</v>
      </c>
      <c r="E95" s="3" t="s">
        <v>15</v>
      </c>
      <c r="F95" s="3">
        <v>4</v>
      </c>
      <c r="G95" s="3">
        <v>3</v>
      </c>
      <c r="H95" s="3">
        <v>1</v>
      </c>
      <c r="I95" s="3">
        <v>4.5</v>
      </c>
      <c r="J95" s="4" t="str">
        <f>HYPERLINK("http://141.218.60.56/~jnz1568/getInfo.php?workbook=26_25.xlsx&amp;sheet=E0&amp;row=95&amp;col=10&amp;number=62158.109&amp;sourceID=14","62158.109")</f>
        <v>62158.109</v>
      </c>
    </row>
    <row r="96" spans="1:10">
      <c r="A96" s="3">
        <v>26</v>
      </c>
      <c r="B96" s="3">
        <v>25</v>
      </c>
      <c r="C96" s="3">
        <v>93</v>
      </c>
      <c r="D96" s="3" t="s">
        <v>46</v>
      </c>
      <c r="E96" s="3" t="s">
        <v>15</v>
      </c>
      <c r="F96" s="3">
        <v>4</v>
      </c>
      <c r="G96" s="3">
        <v>3</v>
      </c>
      <c r="H96" s="3">
        <v>1</v>
      </c>
      <c r="I96" s="3">
        <v>3.5</v>
      </c>
      <c r="J96" s="4" t="str">
        <f>HYPERLINK("http://141.218.60.56/~jnz1568/getInfo.php?workbook=26_25.xlsx&amp;sheet=E0&amp;row=96&amp;col=10&amp;number=62065.52&amp;sourceID=14","62065.52")</f>
        <v>62065.52</v>
      </c>
    </row>
    <row r="97" spans="1:10">
      <c r="A97" s="3">
        <v>26</v>
      </c>
      <c r="B97" s="3">
        <v>25</v>
      </c>
      <c r="C97" s="3">
        <v>94</v>
      </c>
      <c r="D97" s="3" t="s">
        <v>46</v>
      </c>
      <c r="E97" s="3" t="s">
        <v>15</v>
      </c>
      <c r="F97" s="3">
        <v>4</v>
      </c>
      <c r="G97" s="3">
        <v>3</v>
      </c>
      <c r="H97" s="3">
        <v>1</v>
      </c>
      <c r="I97" s="3">
        <v>2.5</v>
      </c>
      <c r="J97" s="4" t="str">
        <f>HYPERLINK("http://141.218.60.56/~jnz1568/getInfo.php?workbook=26_25.xlsx&amp;sheet=E0&amp;row=97&amp;col=10&amp;number=62151.562&amp;sourceID=14","62151.562")</f>
        <v>62151.562</v>
      </c>
    </row>
    <row r="98" spans="1:10">
      <c r="A98" s="3">
        <v>26</v>
      </c>
      <c r="B98" s="3">
        <v>25</v>
      </c>
      <c r="C98" s="3">
        <v>95</v>
      </c>
      <c r="D98" s="3" t="s">
        <v>46</v>
      </c>
      <c r="E98" s="3" t="s">
        <v>15</v>
      </c>
      <c r="F98" s="3">
        <v>4</v>
      </c>
      <c r="G98" s="3">
        <v>3</v>
      </c>
      <c r="H98" s="3">
        <v>1</v>
      </c>
      <c r="I98" s="3">
        <v>1.5</v>
      </c>
      <c r="J98" s="4" t="str">
        <f>HYPERLINK("http://141.218.60.56/~jnz1568/getInfo.php?workbook=26_25.xlsx&amp;sheet=E0&amp;row=98&amp;col=10&amp;number=62244.52&amp;sourceID=14","62244.52")</f>
        <v>62244.52</v>
      </c>
    </row>
    <row r="99" spans="1:10">
      <c r="A99" s="3">
        <v>26</v>
      </c>
      <c r="B99" s="3">
        <v>25</v>
      </c>
      <c r="C99" s="3">
        <v>96</v>
      </c>
      <c r="D99" s="3" t="s">
        <v>47</v>
      </c>
      <c r="E99" s="3" t="s">
        <v>25</v>
      </c>
      <c r="F99" s="3">
        <v>4</v>
      </c>
      <c r="G99" s="3">
        <v>4</v>
      </c>
      <c r="H99" s="3">
        <v>0</v>
      </c>
      <c r="I99" s="3">
        <v>5.5</v>
      </c>
      <c r="J99" s="4" t="str">
        <f>HYPERLINK("http://141.218.60.56/~jnz1568/getInfo.php?workbook=26_25.xlsx&amp;sheet=E0&amp;row=99&amp;col=10&amp;number=63876.316&amp;sourceID=14","63876.316")</f>
        <v>63876.316</v>
      </c>
    </row>
    <row r="100" spans="1:10">
      <c r="A100" s="3">
        <v>26</v>
      </c>
      <c r="B100" s="3">
        <v>25</v>
      </c>
      <c r="C100" s="3">
        <v>97</v>
      </c>
      <c r="D100" s="3" t="s">
        <v>47</v>
      </c>
      <c r="E100" s="3" t="s">
        <v>25</v>
      </c>
      <c r="F100" s="3">
        <v>4</v>
      </c>
      <c r="G100" s="3">
        <v>4</v>
      </c>
      <c r="H100" s="3">
        <v>0</v>
      </c>
      <c r="I100" s="3">
        <v>4.5</v>
      </c>
      <c r="J100" s="4" t="str">
        <f>HYPERLINK("http://141.218.60.56/~jnz1568/getInfo.php?workbook=26_25.xlsx&amp;sheet=E0&amp;row=100&amp;col=10&amp;number=63948.789&amp;sourceID=14","63948.789")</f>
        <v>63948.789</v>
      </c>
    </row>
    <row r="101" spans="1:10">
      <c r="A101" s="3">
        <v>26</v>
      </c>
      <c r="B101" s="3">
        <v>25</v>
      </c>
      <c r="C101" s="3">
        <v>98</v>
      </c>
      <c r="D101" s="3" t="s">
        <v>47</v>
      </c>
      <c r="E101" s="3" t="s">
        <v>25</v>
      </c>
      <c r="F101" s="3">
        <v>4</v>
      </c>
      <c r="G101" s="3">
        <v>4</v>
      </c>
      <c r="H101" s="3">
        <v>0</v>
      </c>
      <c r="I101" s="3">
        <v>3.5</v>
      </c>
      <c r="J101" s="4" t="str">
        <f>HYPERLINK("http://141.218.60.56/~jnz1568/getInfo.php?workbook=26_25.xlsx&amp;sheet=E0&amp;row=101&amp;col=10&amp;number=64040.887&amp;sourceID=14","64040.887")</f>
        <v>64040.887</v>
      </c>
    </row>
    <row r="102" spans="1:10">
      <c r="A102" s="3">
        <v>26</v>
      </c>
      <c r="B102" s="3">
        <v>25</v>
      </c>
      <c r="C102" s="3">
        <v>99</v>
      </c>
      <c r="D102" s="3" t="s">
        <v>47</v>
      </c>
      <c r="E102" s="3" t="s">
        <v>25</v>
      </c>
      <c r="F102" s="3">
        <v>4</v>
      </c>
      <c r="G102" s="3">
        <v>4</v>
      </c>
      <c r="H102" s="3">
        <v>0</v>
      </c>
      <c r="I102" s="3">
        <v>2.5</v>
      </c>
      <c r="J102" s="4" t="str">
        <f>HYPERLINK("http://141.218.60.56/~jnz1568/getInfo.php?workbook=26_25.xlsx&amp;sheet=E0&amp;row=102&amp;col=10&amp;number=64087.418&amp;sourceID=14","64087.418")</f>
        <v>64087.418</v>
      </c>
    </row>
    <row r="103" spans="1:10">
      <c r="A103" s="3">
        <v>26</v>
      </c>
      <c r="B103" s="3">
        <v>25</v>
      </c>
      <c r="C103" s="3">
        <v>100</v>
      </c>
      <c r="D103" s="3" t="s">
        <v>48</v>
      </c>
      <c r="E103" s="3" t="s">
        <v>15</v>
      </c>
      <c r="F103" s="3">
        <v>4</v>
      </c>
      <c r="G103" s="3">
        <v>3</v>
      </c>
      <c r="H103" s="3">
        <v>1</v>
      </c>
      <c r="I103" s="3">
        <v>4.5</v>
      </c>
      <c r="J103" s="4" t="str">
        <f>HYPERLINK("http://141.218.60.56/~jnz1568/getInfo.php?workbook=26_25.xlsx&amp;sheet=E0&amp;row=103&amp;col=10&amp;number=66012.75&amp;sourceID=14","66012.75")</f>
        <v>66012.75</v>
      </c>
    </row>
    <row r="104" spans="1:10">
      <c r="A104" s="3">
        <v>26</v>
      </c>
      <c r="B104" s="3">
        <v>25</v>
      </c>
      <c r="C104" s="3">
        <v>101</v>
      </c>
      <c r="D104" s="3" t="s">
        <v>48</v>
      </c>
      <c r="E104" s="3" t="s">
        <v>15</v>
      </c>
      <c r="F104" s="3">
        <v>4</v>
      </c>
      <c r="G104" s="3">
        <v>3</v>
      </c>
      <c r="H104" s="3">
        <v>1</v>
      </c>
      <c r="I104" s="3">
        <v>3.5</v>
      </c>
      <c r="J104" s="4" t="str">
        <f>HYPERLINK("http://141.218.60.56/~jnz1568/getInfo.php?workbook=26_25.xlsx&amp;sheet=E0&amp;row=104&amp;col=10&amp;number=66377.281&amp;sourceID=14","66377.281")</f>
        <v>66377.281</v>
      </c>
    </row>
    <row r="105" spans="1:10">
      <c r="A105" s="3">
        <v>26</v>
      </c>
      <c r="B105" s="3">
        <v>25</v>
      </c>
      <c r="C105" s="3">
        <v>102</v>
      </c>
      <c r="D105" s="3" t="s">
        <v>48</v>
      </c>
      <c r="E105" s="3" t="s">
        <v>15</v>
      </c>
      <c r="F105" s="3">
        <v>4</v>
      </c>
      <c r="G105" s="3">
        <v>3</v>
      </c>
      <c r="H105" s="3">
        <v>1</v>
      </c>
      <c r="I105" s="3">
        <v>2.5</v>
      </c>
      <c r="J105" s="4" t="str">
        <f>HYPERLINK("http://141.218.60.56/~jnz1568/getInfo.php?workbook=26_25.xlsx&amp;sheet=E0&amp;row=105&amp;col=10&amp;number=66522.305&amp;sourceID=14","66522.305")</f>
        <v>66522.305</v>
      </c>
    </row>
    <row r="106" spans="1:10">
      <c r="A106" s="3">
        <v>26</v>
      </c>
      <c r="B106" s="3">
        <v>25</v>
      </c>
      <c r="C106" s="3">
        <v>103</v>
      </c>
      <c r="D106" s="3" t="s">
        <v>48</v>
      </c>
      <c r="E106" s="3" t="s">
        <v>15</v>
      </c>
      <c r="F106" s="3">
        <v>4</v>
      </c>
      <c r="G106" s="3">
        <v>3</v>
      </c>
      <c r="H106" s="3">
        <v>1</v>
      </c>
      <c r="I106" s="3">
        <v>1.5</v>
      </c>
      <c r="J106" s="4" t="str">
        <f>HYPERLINK("http://141.218.60.56/~jnz1568/getInfo.php?workbook=26_25.xlsx&amp;sheet=E0&amp;row=106&amp;col=10&amp;number=66612.656&amp;sourceID=14","66612.656")</f>
        <v>66612.656</v>
      </c>
    </row>
    <row r="107" spans="1:10">
      <c r="A107" s="3">
        <v>26</v>
      </c>
      <c r="B107" s="3">
        <v>25</v>
      </c>
      <c r="C107" s="3">
        <v>104</v>
      </c>
      <c r="D107" s="3" t="s">
        <v>49</v>
      </c>
      <c r="E107" s="3" t="s">
        <v>25</v>
      </c>
      <c r="F107" s="3">
        <v>4</v>
      </c>
      <c r="G107" s="3">
        <v>4</v>
      </c>
      <c r="H107" s="3">
        <v>0</v>
      </c>
      <c r="I107" s="3">
        <v>5.5</v>
      </c>
      <c r="J107" s="4" t="str">
        <f>HYPERLINK("http://141.218.60.56/~jnz1568/getInfo.php?workbook=26_25.xlsx&amp;sheet=E0&amp;row=107&amp;col=10&amp;number=65580.039&amp;sourceID=14","65580.039")</f>
        <v>65580.039</v>
      </c>
    </row>
    <row r="108" spans="1:10">
      <c r="A108" s="3">
        <v>26</v>
      </c>
      <c r="B108" s="3">
        <v>25</v>
      </c>
      <c r="C108" s="3">
        <v>105</v>
      </c>
      <c r="D108" s="3" t="s">
        <v>49</v>
      </c>
      <c r="E108" s="3" t="s">
        <v>25</v>
      </c>
      <c r="F108" s="3">
        <v>4</v>
      </c>
      <c r="G108" s="3">
        <v>4</v>
      </c>
      <c r="H108" s="3">
        <v>0</v>
      </c>
      <c r="I108" s="3">
        <v>4.5</v>
      </c>
      <c r="J108" s="4" t="str">
        <f>HYPERLINK("http://141.218.60.56/~jnz1568/getInfo.php?workbook=26_25.xlsx&amp;sheet=E0&amp;row=108&amp;col=10&amp;number=65696.039&amp;sourceID=14","65696.039")</f>
        <v>65696.039</v>
      </c>
    </row>
    <row r="109" spans="1:10">
      <c r="A109" s="3">
        <v>26</v>
      </c>
      <c r="B109" s="3">
        <v>25</v>
      </c>
      <c r="C109" s="3">
        <v>106</v>
      </c>
      <c r="D109" s="3" t="s">
        <v>49</v>
      </c>
      <c r="E109" s="3" t="s">
        <v>25</v>
      </c>
      <c r="F109" s="3">
        <v>4</v>
      </c>
      <c r="G109" s="3">
        <v>4</v>
      </c>
      <c r="H109" s="3">
        <v>0</v>
      </c>
      <c r="I109" s="3">
        <v>3.5</v>
      </c>
      <c r="J109" s="4" t="str">
        <f>HYPERLINK("http://141.218.60.56/~jnz1568/getInfo.php?workbook=26_25.xlsx&amp;sheet=E0&amp;row=109&amp;col=10&amp;number=65931.336&amp;sourceID=14","65931.336")</f>
        <v>65931.336</v>
      </c>
    </row>
    <row r="110" spans="1:10">
      <c r="A110" s="3">
        <v>26</v>
      </c>
      <c r="B110" s="3">
        <v>25</v>
      </c>
      <c r="C110" s="3">
        <v>107</v>
      </c>
      <c r="D110" s="3" t="s">
        <v>49</v>
      </c>
      <c r="E110" s="3" t="s">
        <v>25</v>
      </c>
      <c r="F110" s="3">
        <v>4</v>
      </c>
      <c r="G110" s="3">
        <v>4</v>
      </c>
      <c r="H110" s="3">
        <v>0</v>
      </c>
      <c r="I110" s="3">
        <v>2.5</v>
      </c>
      <c r="J110" s="4" t="str">
        <f>HYPERLINK("http://141.218.60.56/~jnz1568/getInfo.php?workbook=26_25.xlsx&amp;sheet=E0&amp;row=110&amp;col=10&amp;number=66078.266&amp;sourceID=14","66078.266")</f>
        <v>66078.266</v>
      </c>
    </row>
    <row r="111" spans="1:10">
      <c r="A111" s="3">
        <v>26</v>
      </c>
      <c r="B111" s="3">
        <v>25</v>
      </c>
      <c r="C111" s="3">
        <v>108</v>
      </c>
      <c r="D111" s="3" t="s">
        <v>50</v>
      </c>
      <c r="E111" s="3" t="s">
        <v>22</v>
      </c>
      <c r="F111" s="3">
        <v>4</v>
      </c>
      <c r="G111" s="3">
        <v>5</v>
      </c>
      <c r="H111" s="3">
        <v>1</v>
      </c>
      <c r="I111" s="3">
        <v>6.5</v>
      </c>
      <c r="J111" s="4" t="str">
        <f>HYPERLINK("http://141.218.60.56/~jnz1568/getInfo.php?workbook=26_25.xlsx&amp;sheet=E0&amp;row=111&amp;col=10&amp;number=66411.688&amp;sourceID=14","66411.688")</f>
        <v>66411.688</v>
      </c>
    </row>
    <row r="112" spans="1:10">
      <c r="A112" s="3">
        <v>26</v>
      </c>
      <c r="B112" s="3">
        <v>25</v>
      </c>
      <c r="C112" s="3">
        <v>109</v>
      </c>
      <c r="D112" s="3" t="s">
        <v>50</v>
      </c>
      <c r="E112" s="3" t="s">
        <v>22</v>
      </c>
      <c r="F112" s="3">
        <v>4</v>
      </c>
      <c r="G112" s="3">
        <v>5</v>
      </c>
      <c r="H112" s="3">
        <v>1</v>
      </c>
      <c r="I112" s="3">
        <v>5.5</v>
      </c>
      <c r="J112" s="4" t="str">
        <f>HYPERLINK("http://141.218.60.56/~jnz1568/getInfo.php?workbook=26_25.xlsx&amp;sheet=E0&amp;row=112&amp;col=10&amp;number=66463.531&amp;sourceID=14","66463.531")</f>
        <v>66463.531</v>
      </c>
    </row>
    <row r="113" spans="1:10">
      <c r="A113" s="3">
        <v>26</v>
      </c>
      <c r="B113" s="3">
        <v>25</v>
      </c>
      <c r="C113" s="3">
        <v>110</v>
      </c>
      <c r="D113" s="3" t="s">
        <v>50</v>
      </c>
      <c r="E113" s="3" t="s">
        <v>22</v>
      </c>
      <c r="F113" s="3">
        <v>4</v>
      </c>
      <c r="G113" s="3">
        <v>5</v>
      </c>
      <c r="H113" s="3">
        <v>1</v>
      </c>
      <c r="I113" s="3">
        <v>4.5</v>
      </c>
      <c r="J113" s="4" t="str">
        <f>HYPERLINK("http://141.218.60.56/~jnz1568/getInfo.php?workbook=26_25.xlsx&amp;sheet=E0&amp;row=113&amp;col=10&amp;number=66589.008&amp;sourceID=14","66589.008")</f>
        <v>66589.008</v>
      </c>
    </row>
    <row r="114" spans="1:10">
      <c r="A114" s="3">
        <v>26</v>
      </c>
      <c r="B114" s="3">
        <v>25</v>
      </c>
      <c r="C114" s="3">
        <v>111</v>
      </c>
      <c r="D114" s="3" t="s">
        <v>50</v>
      </c>
      <c r="E114" s="3" t="s">
        <v>22</v>
      </c>
      <c r="F114" s="3">
        <v>4</v>
      </c>
      <c r="G114" s="3">
        <v>5</v>
      </c>
      <c r="H114" s="3">
        <v>1</v>
      </c>
      <c r="I114" s="3">
        <v>3.5</v>
      </c>
      <c r="J114" s="4" t="str">
        <f>HYPERLINK("http://141.218.60.56/~jnz1568/getInfo.php?workbook=26_25.xlsx&amp;sheet=E0&amp;row=114&amp;col=10&amp;number=66672.336&amp;sourceID=14","66672.336")</f>
        <v>66672.336</v>
      </c>
    </row>
    <row r="115" spans="1:10">
      <c r="A115" s="3">
        <v>26</v>
      </c>
      <c r="B115" s="3">
        <v>25</v>
      </c>
      <c r="C115" s="3">
        <v>112</v>
      </c>
      <c r="D115" s="3" t="s">
        <v>51</v>
      </c>
      <c r="E115" s="3" t="s">
        <v>19</v>
      </c>
      <c r="F115" s="3">
        <v>4</v>
      </c>
      <c r="G115" s="3">
        <v>1</v>
      </c>
      <c r="H115" s="3">
        <v>1</v>
      </c>
      <c r="I115" s="3">
        <v>2.5</v>
      </c>
      <c r="J115" s="4" t="str">
        <f>HYPERLINK("http://141.218.60.56/~jnz1568/getInfo.php?workbook=26_25.xlsx&amp;sheet=E0&amp;row=115&amp;col=10&amp;number=71964.711&amp;sourceID=14","71964.711")</f>
        <v>71964.711</v>
      </c>
    </row>
    <row r="116" spans="1:10">
      <c r="A116" s="3">
        <v>26</v>
      </c>
      <c r="B116" s="3">
        <v>25</v>
      </c>
      <c r="C116" s="3">
        <v>113</v>
      </c>
      <c r="D116" s="3" t="s">
        <v>51</v>
      </c>
      <c r="E116" s="3" t="s">
        <v>19</v>
      </c>
      <c r="F116" s="3">
        <v>4</v>
      </c>
      <c r="G116" s="3">
        <v>1</v>
      </c>
      <c r="H116" s="3">
        <v>1</v>
      </c>
      <c r="I116" s="3">
        <v>1.5</v>
      </c>
      <c r="J116" s="4" t="str">
        <f>HYPERLINK("http://141.218.60.56/~jnz1568/getInfo.php?workbook=26_25.xlsx&amp;sheet=E0&amp;row=116&amp;col=10&amp;number=72043.023&amp;sourceID=14","72043.023")</f>
        <v>72043.023</v>
      </c>
    </row>
    <row r="117" spans="1:10">
      <c r="A117" s="3">
        <v>26</v>
      </c>
      <c r="B117" s="3">
        <v>25</v>
      </c>
      <c r="C117" s="3">
        <v>114</v>
      </c>
      <c r="D117" s="3" t="s">
        <v>51</v>
      </c>
      <c r="E117" s="3" t="s">
        <v>19</v>
      </c>
      <c r="F117" s="3">
        <v>4</v>
      </c>
      <c r="G117" s="3">
        <v>1</v>
      </c>
      <c r="H117" s="3">
        <v>1</v>
      </c>
      <c r="I117" s="3">
        <v>0.5</v>
      </c>
      <c r="J117" s="4" t="str">
        <f>HYPERLINK("http://141.218.60.56/~jnz1568/getInfo.php?workbook=26_25.xlsx&amp;sheet=E0&amp;row=117&amp;col=10&amp;number=72212.977&amp;sourceID=14","72212.977")</f>
        <v>72212.977</v>
      </c>
    </row>
    <row r="118" spans="1:10">
      <c r="A118" s="3">
        <v>26</v>
      </c>
      <c r="B118" s="3">
        <v>25</v>
      </c>
      <c r="C118" s="3">
        <v>115</v>
      </c>
      <c r="D118" s="3" t="s">
        <v>52</v>
      </c>
      <c r="E118" s="3" t="s">
        <v>17</v>
      </c>
      <c r="F118" s="3">
        <v>4</v>
      </c>
      <c r="G118" s="3">
        <v>2</v>
      </c>
      <c r="H118" s="3">
        <v>0</v>
      </c>
      <c r="I118" s="3">
        <v>3.5</v>
      </c>
      <c r="J118" s="4" t="str">
        <f>HYPERLINK("http://141.218.60.56/~jnz1568/getInfo.php?workbook=26_25.xlsx&amp;sheet=E0&amp;row=118&amp;col=10&amp;number=72651.875&amp;sourceID=14","72651.875")</f>
        <v>72651.875</v>
      </c>
    </row>
    <row r="119" spans="1:10">
      <c r="A119" s="3">
        <v>26</v>
      </c>
      <c r="B119" s="3">
        <v>25</v>
      </c>
      <c r="C119" s="3">
        <v>116</v>
      </c>
      <c r="D119" s="3" t="s">
        <v>52</v>
      </c>
      <c r="E119" s="3" t="s">
        <v>17</v>
      </c>
      <c r="F119" s="3">
        <v>4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HYPERLINK("http://141.218.60.56/~jnz1568/getInfo.php?workbook=26_25.xlsx&amp;sheet=E0&amp;row=119&amp;col=10&amp;number=72619.492&amp;sourceID=14","72619.492")</f>
        <v>72619.492</v>
      </c>
    </row>
    <row r="120" spans="1:10">
      <c r="A120" s="3">
        <v>26</v>
      </c>
      <c r="B120" s="3">
        <v>25</v>
      </c>
      <c r="C120" s="3">
        <v>117</v>
      </c>
      <c r="D120" s="3" t="s">
        <v>52</v>
      </c>
      <c r="E120" s="3" t="s">
        <v>17</v>
      </c>
      <c r="F120" s="3">
        <v>4</v>
      </c>
      <c r="G120" s="3">
        <v>2</v>
      </c>
      <c r="H120" s="3">
        <v>0</v>
      </c>
      <c r="I120" s="3">
        <v>1.5</v>
      </c>
      <c r="J120" s="4" t="str">
        <f>HYPERLINK("http://141.218.60.56/~jnz1568/getInfo.php?workbook=26_25.xlsx&amp;sheet=E0&amp;row=120&amp;col=10&amp;number=72524.562&amp;sourceID=14","72524.562")</f>
        <v>72524.562</v>
      </c>
    </row>
    <row r="121" spans="1:10">
      <c r="A121" s="3">
        <v>26</v>
      </c>
      <c r="B121" s="3">
        <v>25</v>
      </c>
      <c r="C121" s="3">
        <v>118</v>
      </c>
      <c r="D121" s="3" t="s">
        <v>52</v>
      </c>
      <c r="E121" s="3" t="s">
        <v>17</v>
      </c>
      <c r="F121" s="3">
        <v>4</v>
      </c>
      <c r="G121" s="3">
        <v>2</v>
      </c>
      <c r="H121" s="3">
        <v>0</v>
      </c>
      <c r="I121" s="3">
        <v>0.5</v>
      </c>
      <c r="J121" s="4" t="str">
        <f>HYPERLINK("http://141.218.60.56/~jnz1568/getInfo.php?workbook=26_25.xlsx&amp;sheet=E0&amp;row=121&amp;col=10&amp;number=72429.711&amp;sourceID=14","72429.711")</f>
        <v>72429.711</v>
      </c>
    </row>
    <row r="122" spans="1:10">
      <c r="A122" s="3">
        <v>26</v>
      </c>
      <c r="B122" s="3">
        <v>25</v>
      </c>
      <c r="C122" s="3">
        <v>119</v>
      </c>
      <c r="D122" s="3" t="s">
        <v>53</v>
      </c>
      <c r="E122" s="3" t="s">
        <v>15</v>
      </c>
      <c r="F122" s="3">
        <v>4</v>
      </c>
      <c r="G122" s="3">
        <v>3</v>
      </c>
      <c r="H122" s="3">
        <v>1</v>
      </c>
      <c r="I122" s="3">
        <v>4.5</v>
      </c>
      <c r="J122" s="4" t="str">
        <f>HYPERLINK("http://141.218.60.56/~jnz1568/getInfo.php?workbook=26_25.xlsx&amp;sheet=E0&amp;row=122&amp;col=10&amp;number=72650.656&amp;sourceID=14","72650.656")</f>
        <v>72650.656</v>
      </c>
    </row>
    <row r="123" spans="1:10">
      <c r="A123" s="3">
        <v>26</v>
      </c>
      <c r="B123" s="3">
        <v>25</v>
      </c>
      <c r="C123" s="3">
        <v>120</v>
      </c>
      <c r="D123" s="3" t="s">
        <v>53</v>
      </c>
      <c r="E123" s="3" t="s">
        <v>15</v>
      </c>
      <c r="F123" s="3">
        <v>4</v>
      </c>
      <c r="G123" s="3">
        <v>3</v>
      </c>
      <c r="H123" s="3">
        <v>1</v>
      </c>
      <c r="I123" s="3">
        <v>3.5</v>
      </c>
      <c r="J123" s="4" t="str">
        <f>HYPERLINK("http://141.218.60.56/~jnz1568/getInfo.php?workbook=26_25.xlsx&amp;sheet=E0&amp;row=123&amp;col=10&amp;number=72352.023&amp;sourceID=14","72352.023")</f>
        <v>72352.023</v>
      </c>
    </row>
    <row r="124" spans="1:10">
      <c r="A124" s="3">
        <v>26</v>
      </c>
      <c r="B124" s="3">
        <v>25</v>
      </c>
      <c r="C124" s="3">
        <v>121</v>
      </c>
      <c r="D124" s="3" t="s">
        <v>53</v>
      </c>
      <c r="E124" s="3" t="s">
        <v>15</v>
      </c>
      <c r="F124" s="3">
        <v>4</v>
      </c>
      <c r="G124" s="3">
        <v>3</v>
      </c>
      <c r="H124" s="3">
        <v>1</v>
      </c>
      <c r="I124" s="3">
        <v>2.5</v>
      </c>
      <c r="J124" s="4" t="str">
        <f>HYPERLINK("http://141.218.60.56/~jnz1568/getInfo.php?workbook=26_25.xlsx&amp;sheet=E0&amp;row=124&amp;col=10&amp;number=72238.516&amp;sourceID=14","72238.516")</f>
        <v>72238.516</v>
      </c>
    </row>
    <row r="125" spans="1:10">
      <c r="A125" s="3">
        <v>26</v>
      </c>
      <c r="B125" s="3">
        <v>25</v>
      </c>
      <c r="C125" s="3">
        <v>122</v>
      </c>
      <c r="D125" s="3" t="s">
        <v>53</v>
      </c>
      <c r="E125" s="3" t="s">
        <v>15</v>
      </c>
      <c r="F125" s="3">
        <v>4</v>
      </c>
      <c r="G125" s="3">
        <v>3</v>
      </c>
      <c r="H125" s="3">
        <v>1</v>
      </c>
      <c r="I125" s="3">
        <v>1.5</v>
      </c>
      <c r="J125" s="4" t="str">
        <f>HYPERLINK("http://141.218.60.56/~jnz1568/getInfo.php?workbook=26_25.xlsx&amp;sheet=E0&amp;row=125&amp;col=10&amp;number=72169&amp;sourceID=14","72169")</f>
        <v>72169</v>
      </c>
    </row>
    <row r="126" spans="1:10">
      <c r="A126" s="3">
        <v>26</v>
      </c>
      <c r="B126" s="3">
        <v>25</v>
      </c>
      <c r="C126" s="3">
        <v>123</v>
      </c>
      <c r="D126" s="3" t="s">
        <v>54</v>
      </c>
      <c r="E126" s="3" t="s">
        <v>17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HYPERLINK("http://141.218.60.56/~jnz1568/getInfo.php?workbook=26_25.xlsx&amp;sheet=E0&amp;row=126&amp;col=10&amp;number=86929.648&amp;sourceID=14","86929.648")</f>
        <v>86929.648</v>
      </c>
    </row>
    <row r="127" spans="1:10">
      <c r="A127" s="3">
        <v>26</v>
      </c>
      <c r="B127" s="3">
        <v>25</v>
      </c>
      <c r="C127" s="3">
        <v>124</v>
      </c>
      <c r="D127" s="3" t="s">
        <v>54</v>
      </c>
      <c r="E127" s="3" t="s">
        <v>17</v>
      </c>
      <c r="F127" s="3">
        <v>4</v>
      </c>
      <c r="G127" s="3">
        <v>2</v>
      </c>
      <c r="H127" s="3">
        <v>0</v>
      </c>
      <c r="I127" s="3">
        <v>2.5</v>
      </c>
      <c r="J127" s="4" t="str">
        <f>HYPERLINK("http://141.218.60.56/~jnz1568/getInfo.php?workbook=26_25.xlsx&amp;sheet=E0&amp;row=127&amp;col=10&amp;number=86767.578&amp;sourceID=14","86767.578")</f>
        <v>86767.578</v>
      </c>
    </row>
    <row r="128" spans="1:10">
      <c r="A128" s="3">
        <v>26</v>
      </c>
      <c r="B128" s="3">
        <v>25</v>
      </c>
      <c r="C128" s="3">
        <v>125</v>
      </c>
      <c r="D128" s="3" t="s">
        <v>54</v>
      </c>
      <c r="E128" s="3" t="s">
        <v>17</v>
      </c>
      <c r="F128" s="3">
        <v>4</v>
      </c>
      <c r="G128" s="3">
        <v>2</v>
      </c>
      <c r="H128" s="3">
        <v>0</v>
      </c>
      <c r="I128" s="3">
        <v>1.5</v>
      </c>
      <c r="J128" s="4" t="str">
        <f>HYPERLINK("http://141.218.60.56/~jnz1568/getInfo.php?workbook=26_25.xlsx&amp;sheet=E0&amp;row=128&amp;col=10&amp;number=86543.977&amp;sourceID=14","86543.977")</f>
        <v>86543.977</v>
      </c>
    </row>
    <row r="129" spans="1:10">
      <c r="A129" s="3">
        <v>26</v>
      </c>
      <c r="B129" s="3">
        <v>25</v>
      </c>
      <c r="C129" s="3">
        <v>126</v>
      </c>
      <c r="D129" s="3" t="s">
        <v>54</v>
      </c>
      <c r="E129" s="3" t="s">
        <v>17</v>
      </c>
      <c r="F129" s="3">
        <v>4</v>
      </c>
      <c r="G129" s="3">
        <v>2</v>
      </c>
      <c r="H129" s="3">
        <v>0</v>
      </c>
      <c r="I129" s="3">
        <v>0.5</v>
      </c>
      <c r="J129" s="4" t="str">
        <f>HYPERLINK("http://141.218.60.56/~jnz1568/getInfo.php?workbook=26_25.xlsx&amp;sheet=E0&amp;row=129&amp;col=10&amp;number=86388.82&amp;sourceID=14","86388.82")</f>
        <v>86388.82</v>
      </c>
    </row>
    <row r="130" spans="1:10">
      <c r="A130" s="3">
        <v>26</v>
      </c>
      <c r="B130" s="3">
        <v>25</v>
      </c>
      <c r="C130" s="3">
        <v>127</v>
      </c>
      <c r="D130" s="3" t="s">
        <v>55</v>
      </c>
      <c r="E130" s="3" t="s">
        <v>25</v>
      </c>
      <c r="F130" s="3">
        <v>4</v>
      </c>
      <c r="G130" s="3">
        <v>4</v>
      </c>
      <c r="H130" s="3">
        <v>0</v>
      </c>
      <c r="I130" s="3">
        <v>5.5</v>
      </c>
      <c r="J130" s="4" t="str">
        <f>HYPERLINK("http://141.218.60.56/~jnz1568/getInfo.php?workbook=26_25.xlsx&amp;sheet=E0&amp;row=130&amp;col=10&amp;number=90211.703&amp;sourceID=14","90211.703")</f>
        <v>90211.703</v>
      </c>
    </row>
    <row r="131" spans="1:10">
      <c r="A131" s="3">
        <v>26</v>
      </c>
      <c r="B131" s="3">
        <v>25</v>
      </c>
      <c r="C131" s="3">
        <v>128</v>
      </c>
      <c r="D131" s="3" t="s">
        <v>55</v>
      </c>
      <c r="E131" s="3" t="s">
        <v>25</v>
      </c>
      <c r="F131" s="3">
        <v>4</v>
      </c>
      <c r="G131" s="3">
        <v>4</v>
      </c>
      <c r="H131" s="3">
        <v>0</v>
      </c>
      <c r="I131" s="3">
        <v>4.5</v>
      </c>
      <c r="J131" s="4" t="str">
        <f>HYPERLINK("http://141.218.60.56/~jnz1568/getInfo.php?workbook=26_25.xlsx&amp;sheet=E0&amp;row=131&amp;col=10&amp;number=90042.781&amp;sourceID=14","90042.781")</f>
        <v>90042.781</v>
      </c>
    </row>
    <row r="132" spans="1:10">
      <c r="A132" s="3">
        <v>26</v>
      </c>
      <c r="B132" s="3">
        <v>25</v>
      </c>
      <c r="C132" s="3">
        <v>129</v>
      </c>
      <c r="D132" s="3" t="s">
        <v>55</v>
      </c>
      <c r="E132" s="3" t="s">
        <v>25</v>
      </c>
      <c r="F132" s="3">
        <v>4</v>
      </c>
      <c r="G132" s="3">
        <v>4</v>
      </c>
      <c r="H132" s="3">
        <v>0</v>
      </c>
      <c r="I132" s="3">
        <v>3.5</v>
      </c>
      <c r="J132" s="4" t="str">
        <f>HYPERLINK("http://141.218.60.56/~jnz1568/getInfo.php?workbook=26_25.xlsx&amp;sheet=E0&amp;row=132&amp;col=10&amp;number=89890.375&amp;sourceID=14","89890.375")</f>
        <v>89890.375</v>
      </c>
    </row>
    <row r="133" spans="1:10">
      <c r="A133" s="3">
        <v>26</v>
      </c>
      <c r="B133" s="3">
        <v>25</v>
      </c>
      <c r="C133" s="3">
        <v>130</v>
      </c>
      <c r="D133" s="3" t="s">
        <v>55</v>
      </c>
      <c r="E133" s="3" t="s">
        <v>25</v>
      </c>
      <c r="F133" s="3">
        <v>4</v>
      </c>
      <c r="G133" s="3">
        <v>4</v>
      </c>
      <c r="H133" s="3">
        <v>0</v>
      </c>
      <c r="I133" s="3">
        <v>2.5</v>
      </c>
      <c r="J133" s="4" t="str">
        <f>HYPERLINK("http://141.218.60.56/~jnz1568/getInfo.php?workbook=26_25.xlsx&amp;sheet=E0&amp;row=133&amp;col=10&amp;number=89727.344&amp;sourceID=14","89727.344")</f>
        <v>89727.344</v>
      </c>
    </row>
    <row r="134" spans="1:10">
      <c r="A134" s="3">
        <v>26</v>
      </c>
      <c r="B134" s="3">
        <v>25</v>
      </c>
      <c r="C134" s="3">
        <v>131</v>
      </c>
      <c r="D134" s="3" t="s">
        <v>56</v>
      </c>
      <c r="E134" s="3" t="s">
        <v>38</v>
      </c>
      <c r="F134" s="3">
        <v>4</v>
      </c>
      <c r="G134" s="3">
        <v>0</v>
      </c>
      <c r="H134" s="3">
        <v>0</v>
      </c>
      <c r="I134" s="3">
        <v>1.5</v>
      </c>
      <c r="J134" s="4" t="str">
        <f>HYPERLINK("http://141.218.60.56/~jnz1568/getInfo.php?workbook=26_25.xlsx&amp;sheet=E0&amp;row=134&amp;col=10&amp;number=90629.898&amp;sourceID=14","90629.898")</f>
        <v>90629.898</v>
      </c>
    </row>
    <row r="135" spans="1:10">
      <c r="A135" s="3">
        <v>26</v>
      </c>
      <c r="B135" s="3">
        <v>25</v>
      </c>
      <c r="C135" s="3">
        <v>132</v>
      </c>
      <c r="D135" s="3" t="s">
        <v>57</v>
      </c>
      <c r="E135" s="3" t="s">
        <v>19</v>
      </c>
      <c r="F135" s="3">
        <v>4</v>
      </c>
      <c r="G135" s="3">
        <v>1</v>
      </c>
      <c r="H135" s="3">
        <v>1</v>
      </c>
      <c r="I135" s="3">
        <v>2.5</v>
      </c>
      <c r="J135" s="4" t="str">
        <f>HYPERLINK("http://141.218.60.56/~jnz1568/getInfo.php?workbook=26_25.xlsx&amp;sheet=E0&amp;row=135&amp;col=10&amp;number=92274.117&amp;sourceID=14","92274.117")</f>
        <v>92274.117</v>
      </c>
    </row>
    <row r="136" spans="1:10">
      <c r="A136" s="3">
        <v>26</v>
      </c>
      <c r="B136" s="3">
        <v>25</v>
      </c>
      <c r="C136" s="3">
        <v>133</v>
      </c>
      <c r="D136" s="3" t="s">
        <v>57</v>
      </c>
      <c r="E136" s="3" t="s">
        <v>19</v>
      </c>
      <c r="F136" s="3">
        <v>4</v>
      </c>
      <c r="G136" s="3">
        <v>1</v>
      </c>
      <c r="H136" s="3">
        <v>1</v>
      </c>
      <c r="I136" s="3">
        <v>1.5</v>
      </c>
      <c r="J136" s="4" t="str">
        <f>HYPERLINK("http://141.218.60.56/~jnz1568/getInfo.php?workbook=26_25.xlsx&amp;sheet=E0&amp;row=136&amp;col=10&amp;number=90898.875&amp;sourceID=14","90898.875")</f>
        <v>90898.875</v>
      </c>
    </row>
    <row r="137" spans="1:10">
      <c r="A137" s="3">
        <v>26</v>
      </c>
      <c r="B137" s="3">
        <v>25</v>
      </c>
      <c r="C137" s="3">
        <v>134</v>
      </c>
      <c r="D137" s="3" t="s">
        <v>57</v>
      </c>
      <c r="E137" s="3" t="s">
        <v>19</v>
      </c>
      <c r="F137" s="3">
        <v>4</v>
      </c>
      <c r="G137" s="3">
        <v>1</v>
      </c>
      <c r="H137" s="3">
        <v>1</v>
      </c>
      <c r="I137" s="3">
        <v>0.5</v>
      </c>
      <c r="J137" s="4" t="str">
        <f>HYPERLINK("http://141.218.60.56/~jnz1568/getInfo.php?workbook=26_25.xlsx&amp;sheet=E0&amp;row=137&amp;col=10&amp;number=90839.484&amp;sourceID=14","90839.484")</f>
        <v>90839.484</v>
      </c>
    </row>
    <row r="138" spans="1:10">
      <c r="A138" s="3">
        <v>26</v>
      </c>
      <c r="B138" s="3">
        <v>25</v>
      </c>
      <c r="C138" s="3">
        <v>135</v>
      </c>
      <c r="D138" s="3" t="s">
        <v>58</v>
      </c>
      <c r="E138" s="3" t="s">
        <v>17</v>
      </c>
      <c r="F138" s="3">
        <v>4</v>
      </c>
      <c r="G138" s="3">
        <v>2</v>
      </c>
      <c r="H138" s="3">
        <v>0</v>
      </c>
      <c r="I138" s="3">
        <v>3.5</v>
      </c>
      <c r="J138" s="4" t="str">
        <f>HYPERLINK("http://141.218.60.56/~jnz1568/getInfo.php?workbook=26_25.xlsx&amp;sheet=E0&amp;row=138&amp;col=10&amp;number=93129.898&amp;sourceID=14","93129.898")</f>
        <v>93129.898</v>
      </c>
    </row>
    <row r="139" spans="1:10">
      <c r="A139" s="3">
        <v>26</v>
      </c>
      <c r="B139" s="3">
        <v>25</v>
      </c>
      <c r="C139" s="3">
        <v>136</v>
      </c>
      <c r="D139" s="3" t="s">
        <v>58</v>
      </c>
      <c r="E139" s="3" t="s">
        <v>17</v>
      </c>
      <c r="F139" s="3">
        <v>4</v>
      </c>
      <c r="G139" s="3">
        <v>2</v>
      </c>
      <c r="H139" s="3">
        <v>0</v>
      </c>
      <c r="I139" s="3">
        <v>2.5</v>
      </c>
      <c r="J139" s="4" t="str">
        <f>HYPERLINK("http://141.218.60.56/~jnz1568/getInfo.php?workbook=26_25.xlsx&amp;sheet=E0&amp;row=139&amp;col=10&amp;number=92899.203&amp;sourceID=14","92899.203")</f>
        <v>92899.203</v>
      </c>
    </row>
    <row r="140" spans="1:10">
      <c r="A140" s="3">
        <v>26</v>
      </c>
      <c r="B140" s="3">
        <v>25</v>
      </c>
      <c r="C140" s="3">
        <v>137</v>
      </c>
      <c r="D140" s="3" t="s">
        <v>58</v>
      </c>
      <c r="E140" s="3" t="s">
        <v>17</v>
      </c>
      <c r="F140" s="3">
        <v>4</v>
      </c>
      <c r="G140" s="3">
        <v>2</v>
      </c>
      <c r="H140" s="3">
        <v>0</v>
      </c>
      <c r="I140" s="3">
        <v>1.5</v>
      </c>
      <c r="J140" s="4" t="str">
        <f>HYPERLINK("http://141.218.60.56/~jnz1568/getInfo.php?workbook=26_25.xlsx&amp;sheet=E0&amp;row=140&amp;col=10&amp;number=92647.508&amp;sourceID=14","92647.508")</f>
        <v>92647.508</v>
      </c>
    </row>
    <row r="141" spans="1:10">
      <c r="A141" s="3">
        <v>26</v>
      </c>
      <c r="B141" s="3">
        <v>25</v>
      </c>
      <c r="C141" s="3">
        <v>138</v>
      </c>
      <c r="D141" s="3" t="s">
        <v>58</v>
      </c>
      <c r="E141" s="3" t="s">
        <v>17</v>
      </c>
      <c r="F141" s="3">
        <v>4</v>
      </c>
      <c r="G141" s="3">
        <v>2</v>
      </c>
      <c r="H141" s="3">
        <v>0</v>
      </c>
      <c r="I141" s="3">
        <v>0.5</v>
      </c>
      <c r="J141" s="4" t="str">
        <f>HYPERLINK("http://141.218.60.56/~jnz1568/getInfo.php?workbook=26_25.xlsx&amp;sheet=E0&amp;row=141&amp;col=10&amp;number=92453.461&amp;sourceID=14","92453.461")</f>
        <v>92453.461</v>
      </c>
    </row>
    <row r="142" spans="1:10">
      <c r="A142" s="3">
        <v>26</v>
      </c>
      <c r="B142" s="3">
        <v>25</v>
      </c>
      <c r="C142" s="3">
        <v>139</v>
      </c>
      <c r="D142" s="3" t="s">
        <v>59</v>
      </c>
      <c r="E142" s="3" t="s">
        <v>15</v>
      </c>
      <c r="F142" s="3">
        <v>4</v>
      </c>
      <c r="G142" s="3">
        <v>3</v>
      </c>
      <c r="H142" s="3">
        <v>1</v>
      </c>
      <c r="I142" s="3">
        <v>4.5</v>
      </c>
      <c r="J142" s="4" t="str">
        <f>HYPERLINK("http://141.218.60.56/~jnz1568/getInfo.php?workbook=26_25.xlsx&amp;sheet=E0&amp;row=142&amp;col=10&amp;number=93484.578&amp;sourceID=14","93484.578")</f>
        <v>93484.578</v>
      </c>
    </row>
    <row r="143" spans="1:10">
      <c r="A143" s="3">
        <v>26</v>
      </c>
      <c r="B143" s="3">
        <v>25</v>
      </c>
      <c r="C143" s="3">
        <v>140</v>
      </c>
      <c r="D143" s="3" t="s">
        <v>59</v>
      </c>
      <c r="E143" s="3" t="s">
        <v>15</v>
      </c>
      <c r="F143" s="3">
        <v>4</v>
      </c>
      <c r="G143" s="3">
        <v>3</v>
      </c>
      <c r="H143" s="3">
        <v>1</v>
      </c>
      <c r="I143" s="3">
        <v>3.5</v>
      </c>
      <c r="J143" s="4" t="str">
        <f>HYPERLINK("http://141.218.60.56/~jnz1568/getInfo.php?workbook=26_25.xlsx&amp;sheet=E0&amp;row=143&amp;col=10&amp;number=93487.648&amp;sourceID=14","93487.648")</f>
        <v>93487.648</v>
      </c>
    </row>
    <row r="144" spans="1:10">
      <c r="A144" s="3">
        <v>26</v>
      </c>
      <c r="B144" s="3">
        <v>25</v>
      </c>
      <c r="C144" s="3">
        <v>141</v>
      </c>
      <c r="D144" s="3" t="s">
        <v>59</v>
      </c>
      <c r="E144" s="3" t="s">
        <v>15</v>
      </c>
      <c r="F144" s="3">
        <v>4</v>
      </c>
      <c r="G144" s="3">
        <v>3</v>
      </c>
      <c r="H144" s="3">
        <v>1</v>
      </c>
      <c r="I144" s="3">
        <v>2.5</v>
      </c>
      <c r="J144" s="4" t="str">
        <f>HYPERLINK("http://141.218.60.56/~jnz1568/getInfo.php?workbook=26_25.xlsx&amp;sheet=E0&amp;row=144&amp;col=10&amp;number=93395.359&amp;sourceID=14","93395.359")</f>
        <v>93395.359</v>
      </c>
    </row>
    <row r="145" spans="1:10">
      <c r="A145" s="3">
        <v>26</v>
      </c>
      <c r="B145" s="3">
        <v>25</v>
      </c>
      <c r="C145" s="3">
        <v>142</v>
      </c>
      <c r="D145" s="3" t="s">
        <v>59</v>
      </c>
      <c r="E145" s="3" t="s">
        <v>15</v>
      </c>
      <c r="F145" s="3">
        <v>4</v>
      </c>
      <c r="G145" s="3">
        <v>3</v>
      </c>
      <c r="H145" s="3">
        <v>1</v>
      </c>
      <c r="I145" s="3">
        <v>1.5</v>
      </c>
      <c r="J145" s="4" t="str">
        <f>HYPERLINK("http://141.218.60.56/~jnz1568/getInfo.php?workbook=26_25.xlsx&amp;sheet=E0&amp;row=145&amp;col=10&amp;number=93328.477&amp;sourceID=14","93328.477")</f>
        <v>93328.477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71"/>
  <sheetViews>
    <sheetView workbookViewId="0"/>
  </sheetViews>
  <sheetFormatPr defaultRowHeight="15"/>
  <cols>
    <col min="1" max="1" width="3.7109375" customWidth="1"/>
    <col min="2" max="2" width="3.7109375" customWidth="1"/>
    <col min="3" max="3" width="4.7109375" customWidth="1"/>
    <col min="4" max="4" width="3.7109375" customWidth="1"/>
    <col min="5" max="5" width="11.7109375" customWidth="1"/>
    <col min="6" max="6" width="10.7109375" customWidth="1"/>
    <col min="7" max="7" width="10.7109375" customWidth="1"/>
  </cols>
  <sheetData>
    <row r="1" spans="1:7">
      <c r="A1" s="1" t="s">
        <v>60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61</v>
      </c>
      <c r="D3" s="2" t="s">
        <v>4</v>
      </c>
      <c r="E3" s="2" t="s">
        <v>62</v>
      </c>
      <c r="F3" s="2" t="s">
        <v>63</v>
      </c>
      <c r="G3" s="2" t="s">
        <v>64</v>
      </c>
    </row>
    <row r="4" spans="1:7">
      <c r="A4" s="3">
        <v>26</v>
      </c>
      <c r="B4" s="3">
        <v>25</v>
      </c>
      <c r="C4" s="3">
        <v>2</v>
      </c>
      <c r="D4" s="3">
        <v>1</v>
      </c>
      <c r="E4" s="3">
        <v>259882.008</v>
      </c>
      <c r="F4" s="4" t="str">
        <f>HYPERLINK("http://141.218.60.56/~jnz1568/getInfo.php?workbook=26_25.xlsx&amp;sheet=A0&amp;row=4&amp;col=6&amp;number=0.00213&amp;sourceID=14","0.00213")</f>
        <v>0.00213</v>
      </c>
      <c r="G4" s="4" t="str">
        <f>HYPERLINK("http://141.218.60.56/~jnz1568/getInfo.php?workbook=26_25.xlsx&amp;sheet=A0&amp;row=4&amp;col=7&amp;number=0&amp;sourceID=14","0")</f>
        <v>0</v>
      </c>
    </row>
    <row r="5" spans="1:7">
      <c r="A5" s="3">
        <v>26</v>
      </c>
      <c r="B5" s="3">
        <v>25</v>
      </c>
      <c r="C5" s="3">
        <v>3</v>
      </c>
      <c r="D5" s="3">
        <v>2</v>
      </c>
      <c r="E5" s="3">
        <v>353490.574</v>
      </c>
      <c r="F5" s="4" t="str">
        <f>HYPERLINK("http://141.218.60.56/~jnz1568/getInfo.php?workbook=26_25.xlsx&amp;sheet=A0&amp;row=5&amp;col=6&amp;number=0.00157&amp;sourceID=14","0.00157")</f>
        <v>0.00157</v>
      </c>
      <c r="G5" s="4" t="str">
        <f>HYPERLINK("http://141.218.60.56/~jnz1568/getInfo.php?workbook=26_25.xlsx&amp;sheet=A0&amp;row=5&amp;col=7&amp;number=0&amp;sourceID=14","0")</f>
        <v>0</v>
      </c>
    </row>
    <row r="6" spans="1:7">
      <c r="A6" s="3">
        <v>26</v>
      </c>
      <c r="B6" s="3">
        <v>25</v>
      </c>
      <c r="C6" s="3">
        <v>4</v>
      </c>
      <c r="D6" s="3">
        <v>3</v>
      </c>
      <c r="E6" s="3">
        <v>513004.688</v>
      </c>
      <c r="F6" s="4" t="str">
        <f>HYPERLINK("http://141.218.60.56/~jnz1568/getInfo.php?workbook=26_25.xlsx&amp;sheet=A0&amp;row=6&amp;col=6&amp;number=0.000718&amp;sourceID=14","0.000718")</f>
        <v>0.000718</v>
      </c>
      <c r="G6" s="4" t="str">
        <f>HYPERLINK("http://141.218.60.56/~jnz1568/getInfo.php?workbook=26_25.xlsx&amp;sheet=A0&amp;row=6&amp;col=7&amp;number=0&amp;sourceID=14","0")</f>
        <v>0</v>
      </c>
    </row>
    <row r="7" spans="1:7">
      <c r="A7" s="3">
        <v>26</v>
      </c>
      <c r="B7" s="3">
        <v>25</v>
      </c>
      <c r="C7" s="3">
        <v>5</v>
      </c>
      <c r="D7" s="3">
        <v>4</v>
      </c>
      <c r="E7" s="3">
        <v>873820.324</v>
      </c>
      <c r="F7" s="4" t="str">
        <f>HYPERLINK("http://141.218.60.56/~jnz1568/getInfo.php?workbook=26_25.xlsx&amp;sheet=A0&amp;row=7&amp;col=6&amp;number=0.000188&amp;sourceID=14","0.000188")</f>
        <v>0.000188</v>
      </c>
      <c r="G7" s="4" t="str">
        <f>HYPERLINK("http://141.218.60.56/~jnz1568/getInfo.php?workbook=26_25.xlsx&amp;sheet=A0&amp;row=7&amp;col=7&amp;number=0&amp;sourceID=14","0")</f>
        <v>0</v>
      </c>
    </row>
    <row r="8" spans="1:7">
      <c r="A8" s="3">
        <v>26</v>
      </c>
      <c r="B8" s="3">
        <v>25</v>
      </c>
      <c r="C8" s="3">
        <v>6</v>
      </c>
      <c r="D8" s="3">
        <v>1</v>
      </c>
      <c r="E8" s="3">
        <v>53402.628</v>
      </c>
      <c r="F8" s="4" t="str">
        <f>HYPERLINK("http://141.218.60.56/~jnz1568/getInfo.php?workbook=26_25.xlsx&amp;sheet=A0&amp;row=8&amp;col=6&amp;number=0.00028&amp;sourceID=14","0.00028")</f>
        <v>0.00028</v>
      </c>
      <c r="G8" s="4" t="str">
        <f>HYPERLINK("http://141.218.60.56/~jnz1568/getInfo.php?workbook=26_25.xlsx&amp;sheet=A0&amp;row=8&amp;col=7&amp;number=0&amp;sourceID=14","0")</f>
        <v>0</v>
      </c>
    </row>
    <row r="9" spans="1:7">
      <c r="A9" s="3">
        <v>26</v>
      </c>
      <c r="B9" s="3">
        <v>25</v>
      </c>
      <c r="C9" s="3">
        <v>7</v>
      </c>
      <c r="D9" s="3">
        <v>2</v>
      </c>
      <c r="E9" s="3">
        <v>48892.418</v>
      </c>
      <c r="F9" s="4" t="str">
        <f>HYPERLINK("http://141.218.60.56/~jnz1568/getInfo.php?workbook=26_25.xlsx&amp;sheet=A0&amp;row=9&amp;col=6&amp;number=0.00018&amp;sourceID=14","0.00018")</f>
        <v>0.00018</v>
      </c>
      <c r="G9" s="4" t="str">
        <f>HYPERLINK("http://141.218.60.56/~jnz1568/getInfo.php?workbook=26_25.xlsx&amp;sheet=A0&amp;row=9&amp;col=7&amp;number=0&amp;sourceID=14","0")</f>
        <v>0</v>
      </c>
    </row>
    <row r="10" spans="1:7">
      <c r="A10" s="3">
        <v>26</v>
      </c>
      <c r="B10" s="3">
        <v>25</v>
      </c>
      <c r="C10" s="3">
        <v>7</v>
      </c>
      <c r="D10" s="3">
        <v>1</v>
      </c>
      <c r="E10" s="3">
        <v>41150.622</v>
      </c>
      <c r="F10" s="4" t="str">
        <f>HYPERLINK("http://141.218.60.56/~jnz1568/getInfo.php?workbook=26_25.xlsx&amp;sheet=A0&amp;row=10&amp;col=6&amp;number=0.0001&amp;sourceID=14","0.0001")</f>
        <v>0.0001</v>
      </c>
      <c r="G10" s="4" t="str">
        <f>HYPERLINK("http://141.218.60.56/~jnz1568/getInfo.php?workbook=26_25.xlsx&amp;sheet=A0&amp;row=10&amp;col=7&amp;number=0&amp;sourceID=14","0")</f>
        <v>0</v>
      </c>
    </row>
    <row r="11" spans="1:7">
      <c r="A11" s="3">
        <v>26</v>
      </c>
      <c r="B11" s="3">
        <v>25</v>
      </c>
      <c r="C11" s="3">
        <v>7</v>
      </c>
      <c r="D11" s="3">
        <v>3</v>
      </c>
      <c r="E11" s="3">
        <v>56740.359</v>
      </c>
      <c r="F11" s="4" t="str">
        <f>HYPERLINK("http://141.218.60.56/~jnz1568/getInfo.php?workbook=26_25.xlsx&amp;sheet=A0&amp;row=11&amp;col=6&amp;number=3.4e-05&amp;sourceID=14","3.4e-05")</f>
        <v>3.4e-05</v>
      </c>
      <c r="G11" s="4" t="str">
        <f>HYPERLINK("http://141.218.60.56/~jnz1568/getInfo.php?workbook=26_25.xlsx&amp;sheet=A0&amp;row=11&amp;col=7&amp;number=0&amp;sourceID=14","0")</f>
        <v>0</v>
      </c>
    </row>
    <row r="12" spans="1:7">
      <c r="A12" s="3">
        <v>26</v>
      </c>
      <c r="B12" s="3">
        <v>25</v>
      </c>
      <c r="C12" s="3">
        <v>7</v>
      </c>
      <c r="D12" s="3">
        <v>6</v>
      </c>
      <c r="E12" s="3">
        <v>179362.575</v>
      </c>
      <c r="F12" s="4" t="str">
        <f>HYPERLINK("http://141.218.60.56/~jnz1568/getInfo.php?workbook=26_25.xlsx&amp;sheet=A0&amp;row=12&amp;col=6&amp;number=0.00612&amp;sourceID=14","0.00612")</f>
        <v>0.00612</v>
      </c>
      <c r="G12" s="4" t="str">
        <f>HYPERLINK("http://141.218.60.56/~jnz1568/getInfo.php?workbook=26_25.xlsx&amp;sheet=A0&amp;row=12&amp;col=7&amp;number=0&amp;sourceID=14","0")</f>
        <v>0</v>
      </c>
    </row>
    <row r="13" spans="1:7">
      <c r="A13" s="3">
        <v>26</v>
      </c>
      <c r="B13" s="3">
        <v>25</v>
      </c>
      <c r="C13" s="3">
        <v>8</v>
      </c>
      <c r="D13" s="3">
        <v>3</v>
      </c>
      <c r="E13" s="3">
        <v>46077.278</v>
      </c>
      <c r="F13" s="4" t="str">
        <f>HYPERLINK("http://141.218.60.56/~jnz1568/getInfo.php?workbook=26_25.xlsx&amp;sheet=A0&amp;row=13&amp;col=6&amp;number=0.0001&amp;sourceID=14","0.0001")</f>
        <v>0.0001</v>
      </c>
      <c r="G13" s="4" t="str">
        <f>HYPERLINK("http://141.218.60.56/~jnz1568/getInfo.php?workbook=26_25.xlsx&amp;sheet=A0&amp;row=13&amp;col=7&amp;number=0&amp;sourceID=14","0")</f>
        <v>0</v>
      </c>
    </row>
    <row r="14" spans="1:7">
      <c r="A14" s="3">
        <v>26</v>
      </c>
      <c r="B14" s="3">
        <v>25</v>
      </c>
      <c r="C14" s="3">
        <v>8</v>
      </c>
      <c r="D14" s="3">
        <v>2</v>
      </c>
      <c r="E14" s="3">
        <v>40763.751</v>
      </c>
      <c r="F14" s="4" t="str">
        <f>HYPERLINK("http://141.218.60.56/~jnz1568/getInfo.php?workbook=26_25.xlsx&amp;sheet=A0&amp;row=14&amp;col=6&amp;number=0.00069&amp;sourceID=14","0.00069")</f>
        <v>0.00069</v>
      </c>
      <c r="G14" s="4" t="str">
        <f>HYPERLINK("http://141.218.60.56/~jnz1568/getInfo.php?workbook=26_25.xlsx&amp;sheet=A0&amp;row=14&amp;col=7&amp;number=0&amp;sourceID=14","0")</f>
        <v>0</v>
      </c>
    </row>
    <row r="15" spans="1:7">
      <c r="A15" s="3">
        <v>26</v>
      </c>
      <c r="B15" s="3">
        <v>25</v>
      </c>
      <c r="C15" s="3">
        <v>8</v>
      </c>
      <c r="D15" s="3">
        <v>4</v>
      </c>
      <c r="E15" s="3">
        <v>50624.275</v>
      </c>
      <c r="F15" s="4" t="str">
        <f>HYPERLINK("http://141.218.60.56/~jnz1568/getInfo.php?workbook=26_25.xlsx&amp;sheet=A0&amp;row=15&amp;col=6&amp;number=2.5e-05&amp;sourceID=14","2.5e-05")</f>
        <v>2.5e-05</v>
      </c>
      <c r="G15" s="4" t="str">
        <f>HYPERLINK("http://141.218.60.56/~jnz1568/getInfo.php?workbook=26_25.xlsx&amp;sheet=A0&amp;row=15&amp;col=7&amp;number=0&amp;sourceID=14","0")</f>
        <v>0</v>
      </c>
    </row>
    <row r="16" spans="1:7">
      <c r="A16" s="3">
        <v>26</v>
      </c>
      <c r="B16" s="3">
        <v>25</v>
      </c>
      <c r="C16" s="3">
        <v>8</v>
      </c>
      <c r="D16" s="3">
        <v>7</v>
      </c>
      <c r="E16" s="3">
        <v>245186.362</v>
      </c>
      <c r="F16" s="4" t="str">
        <f>HYPERLINK("http://141.218.60.56/~jnz1568/getInfo.php?workbook=26_25.xlsx&amp;sheet=A0&amp;row=16&amp;col=6&amp;number=0.00366&amp;sourceID=14","0.00366")</f>
        <v>0.00366</v>
      </c>
      <c r="G16" s="4" t="str">
        <f>HYPERLINK("http://141.218.60.56/~jnz1568/getInfo.php?workbook=26_25.xlsx&amp;sheet=A0&amp;row=16&amp;col=7&amp;number=0&amp;sourceID=14","0")</f>
        <v>0</v>
      </c>
    </row>
    <row r="17" spans="1:7">
      <c r="A17" s="3">
        <v>26</v>
      </c>
      <c r="B17" s="3">
        <v>25</v>
      </c>
      <c r="C17" s="3">
        <v>9</v>
      </c>
      <c r="D17" s="3">
        <v>4</v>
      </c>
      <c r="E17" s="3">
        <v>44348.889</v>
      </c>
      <c r="F17" s="4" t="str">
        <f>HYPERLINK("http://141.218.60.56/~jnz1568/getInfo.php?workbook=26_25.xlsx&amp;sheet=A0&amp;row=17&amp;col=6&amp;number=4e-05&amp;sourceID=14","4e-05")</f>
        <v>4e-05</v>
      </c>
      <c r="G17" s="4" t="str">
        <f>HYPERLINK("http://141.218.60.56/~jnz1568/getInfo.php?workbook=26_25.xlsx&amp;sheet=A0&amp;row=17&amp;col=7&amp;number=0&amp;sourceID=14","0")</f>
        <v>0</v>
      </c>
    </row>
    <row r="18" spans="1:7">
      <c r="A18" s="3">
        <v>26</v>
      </c>
      <c r="B18" s="3">
        <v>25</v>
      </c>
      <c r="C18" s="3">
        <v>9</v>
      </c>
      <c r="D18" s="3">
        <v>3</v>
      </c>
      <c r="E18" s="3">
        <v>40820.028</v>
      </c>
      <c r="F18" s="4" t="str">
        <f>HYPERLINK("http://141.218.60.56/~jnz1568/getInfo.php?workbook=26_25.xlsx&amp;sheet=A0&amp;row=18&amp;col=6&amp;number=2.8e-05&amp;sourceID=14","2.8e-05")</f>
        <v>2.8e-05</v>
      </c>
      <c r="G18" s="4" t="str">
        <f>HYPERLINK("http://141.218.60.56/~jnz1568/getInfo.php?workbook=26_25.xlsx&amp;sheet=A0&amp;row=18&amp;col=7&amp;number=0&amp;sourceID=14","0")</f>
        <v>0</v>
      </c>
    </row>
    <row r="19" spans="1:7">
      <c r="A19" s="3">
        <v>26</v>
      </c>
      <c r="B19" s="3">
        <v>25</v>
      </c>
      <c r="C19" s="3">
        <v>9</v>
      </c>
      <c r="D19" s="3">
        <v>5</v>
      </c>
      <c r="E19" s="3">
        <v>46720.065</v>
      </c>
      <c r="F19" s="4" t="str">
        <f>HYPERLINK("http://141.218.60.56/~jnz1568/getInfo.php?workbook=26_25.xlsx&amp;sheet=A0&amp;row=19&amp;col=6&amp;number=9.9e-06&amp;sourceID=14","9.9e-06")</f>
        <v>9.9e-06</v>
      </c>
      <c r="G19" s="4" t="str">
        <f>HYPERLINK("http://141.218.60.56/~jnz1568/getInfo.php?workbook=26_25.xlsx&amp;sheet=A0&amp;row=19&amp;col=7&amp;number=0&amp;sourceID=14","0")</f>
        <v>0</v>
      </c>
    </row>
    <row r="20" spans="1:7">
      <c r="A20" s="3">
        <v>26</v>
      </c>
      <c r="B20" s="3">
        <v>25</v>
      </c>
      <c r="C20" s="3">
        <v>9</v>
      </c>
      <c r="D20" s="3">
        <v>8</v>
      </c>
      <c r="E20" s="3">
        <v>357767.69</v>
      </c>
      <c r="F20" s="4" t="str">
        <f>HYPERLINK("http://141.218.60.56/~jnz1568/getInfo.php?workbook=26_25.xlsx&amp;sheet=A0&amp;row=20&amp;col=6&amp;number=0.00141&amp;sourceID=14","0.00141")</f>
        <v>0.00141</v>
      </c>
      <c r="G20" s="4" t="str">
        <f>HYPERLINK("http://141.218.60.56/~jnz1568/getInfo.php?workbook=26_25.xlsx&amp;sheet=A0&amp;row=20&amp;col=7&amp;number=0&amp;sourceID=14","0")</f>
        <v>0</v>
      </c>
    </row>
    <row r="21" spans="1:7">
      <c r="A21" s="3">
        <v>26</v>
      </c>
      <c r="B21" s="3">
        <v>25</v>
      </c>
      <c r="C21" s="3">
        <v>10</v>
      </c>
      <c r="D21" s="3">
        <v>1</v>
      </c>
      <c r="E21" s="3">
        <v>12570.238</v>
      </c>
      <c r="F21" s="4" t="str">
        <f>HYPERLINK("http://141.218.60.56/~jnz1568/getInfo.php?workbook=26_25.xlsx&amp;sheet=A0&amp;row=21&amp;col=6&amp;number=0.0056&amp;sourceID=14","0.0056")</f>
        <v>0.0056</v>
      </c>
      <c r="G21" s="4" t="str">
        <f>HYPERLINK("http://141.218.60.56/~jnz1568/getInfo.php?workbook=26_25.xlsx&amp;sheet=A0&amp;row=21&amp;col=7&amp;number=0&amp;sourceID=14","0")</f>
        <v>0</v>
      </c>
    </row>
    <row r="22" spans="1:7">
      <c r="A22" s="3">
        <v>26</v>
      </c>
      <c r="B22" s="3">
        <v>25</v>
      </c>
      <c r="C22" s="3">
        <v>10</v>
      </c>
      <c r="D22" s="3">
        <v>2</v>
      </c>
      <c r="E22" s="3">
        <v>13209.152</v>
      </c>
      <c r="F22" s="4" t="str">
        <f>HYPERLINK("http://141.218.60.56/~jnz1568/getInfo.php?workbook=26_25.xlsx&amp;sheet=A0&amp;row=22&amp;col=6&amp;number=0.0016&amp;sourceID=14","0.0016")</f>
        <v>0.0016</v>
      </c>
      <c r="G22" s="4" t="str">
        <f>HYPERLINK("http://141.218.60.56/~jnz1568/getInfo.php?workbook=26_25.xlsx&amp;sheet=A0&amp;row=22&amp;col=7&amp;number=0&amp;sourceID=14","0")</f>
        <v>0</v>
      </c>
    </row>
    <row r="23" spans="1:7">
      <c r="A23" s="3">
        <v>26</v>
      </c>
      <c r="B23" s="3">
        <v>25</v>
      </c>
      <c r="C23" s="3">
        <v>10</v>
      </c>
      <c r="D23" s="3">
        <v>3</v>
      </c>
      <c r="E23" s="3">
        <v>13721.909</v>
      </c>
      <c r="F23" s="4" t="str">
        <f>HYPERLINK("http://141.218.60.56/~jnz1568/getInfo.php?workbook=26_25.xlsx&amp;sheet=A0&amp;row=23&amp;col=6&amp;number=0.00097&amp;sourceID=14","0.00097")</f>
        <v>0.00097</v>
      </c>
      <c r="G23" s="4" t="str">
        <f>HYPERLINK("http://141.218.60.56/~jnz1568/getInfo.php?workbook=26_25.xlsx&amp;sheet=A0&amp;row=23&amp;col=7&amp;number=0&amp;sourceID=14","0")</f>
        <v>0</v>
      </c>
    </row>
    <row r="24" spans="1:7">
      <c r="A24" s="3">
        <v>26</v>
      </c>
      <c r="B24" s="3">
        <v>25</v>
      </c>
      <c r="C24" s="3">
        <v>10</v>
      </c>
      <c r="D24" s="3">
        <v>6</v>
      </c>
      <c r="E24" s="3">
        <v>16439.981</v>
      </c>
      <c r="F24" s="4" t="str">
        <f>HYPERLINK("http://141.218.60.56/~jnz1568/getInfo.php?workbook=26_25.xlsx&amp;sheet=A0&amp;row=24&amp;col=6&amp;number=0.0019&amp;sourceID=14","0.0019")</f>
        <v>0.0019</v>
      </c>
      <c r="G24" s="4" t="str">
        <f>HYPERLINK("http://141.218.60.56/~jnz1568/getInfo.php?workbook=26_25.xlsx&amp;sheet=A0&amp;row=24&amp;col=7&amp;number=0&amp;sourceID=14","0")</f>
        <v>0</v>
      </c>
    </row>
    <row r="25" spans="1:7">
      <c r="A25" s="3">
        <v>26</v>
      </c>
      <c r="B25" s="3">
        <v>25</v>
      </c>
      <c r="C25" s="3">
        <v>10</v>
      </c>
      <c r="D25" s="3">
        <v>7</v>
      </c>
      <c r="E25" s="3">
        <v>18098.885</v>
      </c>
      <c r="F25" s="4" t="str">
        <f>HYPERLINK("http://141.218.60.56/~jnz1568/getInfo.php?workbook=26_25.xlsx&amp;sheet=A0&amp;row=25&amp;col=6&amp;number=0.00042&amp;sourceID=14","0.00042")</f>
        <v>0.00042</v>
      </c>
      <c r="G25" s="4" t="str">
        <f>HYPERLINK("http://141.218.60.56/~jnz1568/getInfo.php?workbook=26_25.xlsx&amp;sheet=A0&amp;row=25&amp;col=7&amp;number=0&amp;sourceID=14","0")</f>
        <v>0</v>
      </c>
    </row>
    <row r="26" spans="1:7">
      <c r="A26" s="3">
        <v>26</v>
      </c>
      <c r="B26" s="3">
        <v>25</v>
      </c>
      <c r="C26" s="3">
        <v>11</v>
      </c>
      <c r="D26" s="3">
        <v>2</v>
      </c>
      <c r="E26" s="3">
        <v>12488.841</v>
      </c>
      <c r="F26" s="4" t="str">
        <f>HYPERLINK("http://141.218.60.56/~jnz1568/getInfo.php?workbook=26_25.xlsx&amp;sheet=A0&amp;row=26&amp;col=6&amp;number=0.00048&amp;sourceID=14","0.00048")</f>
        <v>0.00048</v>
      </c>
      <c r="G26" s="4" t="str">
        <f>HYPERLINK("http://141.218.60.56/~jnz1568/getInfo.php?workbook=26_25.xlsx&amp;sheet=A0&amp;row=26&amp;col=7&amp;number=0&amp;sourceID=14","0")</f>
        <v>0</v>
      </c>
    </row>
    <row r="27" spans="1:7">
      <c r="A27" s="3">
        <v>26</v>
      </c>
      <c r="B27" s="3">
        <v>25</v>
      </c>
      <c r="C27" s="3">
        <v>11</v>
      </c>
      <c r="D27" s="3">
        <v>3</v>
      </c>
      <c r="E27" s="3">
        <v>12946.232</v>
      </c>
      <c r="F27" s="4" t="str">
        <f>HYPERLINK("http://141.218.60.56/~jnz1568/getInfo.php?workbook=26_25.xlsx&amp;sheet=A0&amp;row=27&amp;col=6&amp;number=0.0024&amp;sourceID=14","0.0024")</f>
        <v>0.0024</v>
      </c>
      <c r="G27" s="4" t="str">
        <f>HYPERLINK("http://141.218.60.56/~jnz1568/getInfo.php?workbook=26_25.xlsx&amp;sheet=A0&amp;row=27&amp;col=7&amp;number=0&amp;sourceID=14","0")</f>
        <v>0</v>
      </c>
    </row>
    <row r="28" spans="1:7">
      <c r="A28" s="3">
        <v>26</v>
      </c>
      <c r="B28" s="3">
        <v>25</v>
      </c>
      <c r="C28" s="3">
        <v>11</v>
      </c>
      <c r="D28" s="3">
        <v>4</v>
      </c>
      <c r="E28" s="3">
        <v>13281.402</v>
      </c>
      <c r="F28" s="4" t="str">
        <f>HYPERLINK("http://141.218.60.56/~jnz1568/getInfo.php?workbook=26_25.xlsx&amp;sheet=A0&amp;row=28&amp;col=6&amp;number=0.0014&amp;sourceID=14","0.0014")</f>
        <v>0.0014</v>
      </c>
      <c r="G28" s="4" t="str">
        <f>HYPERLINK("http://141.218.60.56/~jnz1568/getInfo.php?workbook=26_25.xlsx&amp;sheet=A0&amp;row=28&amp;col=7&amp;number=0&amp;sourceID=14","0")</f>
        <v>0</v>
      </c>
    </row>
    <row r="29" spans="1:7">
      <c r="A29" s="3">
        <v>26</v>
      </c>
      <c r="B29" s="3">
        <v>25</v>
      </c>
      <c r="C29" s="3">
        <v>11</v>
      </c>
      <c r="D29" s="3">
        <v>6</v>
      </c>
      <c r="E29" s="3">
        <v>15338.902</v>
      </c>
      <c r="F29" s="4" t="str">
        <f>HYPERLINK("http://141.218.60.56/~jnz1568/getInfo.php?workbook=26_25.xlsx&amp;sheet=A0&amp;row=29&amp;col=6&amp;number=0.001&amp;sourceID=14","0.001")</f>
        <v>0.001</v>
      </c>
      <c r="G29" s="4" t="str">
        <f>HYPERLINK("http://141.218.60.56/~jnz1568/getInfo.php?workbook=26_25.xlsx&amp;sheet=A0&amp;row=29&amp;col=7&amp;number=0&amp;sourceID=14","0")</f>
        <v>0</v>
      </c>
    </row>
    <row r="30" spans="1:7">
      <c r="A30" s="3">
        <v>26</v>
      </c>
      <c r="B30" s="3">
        <v>25</v>
      </c>
      <c r="C30" s="3">
        <v>11</v>
      </c>
      <c r="D30" s="3">
        <v>7</v>
      </c>
      <c r="E30" s="3">
        <v>16773.34</v>
      </c>
      <c r="F30" s="4" t="str">
        <f>HYPERLINK("http://141.218.60.56/~jnz1568/getInfo.php?workbook=26_25.xlsx&amp;sheet=A0&amp;row=30&amp;col=6&amp;number=0.0008&amp;sourceID=14","0.0008")</f>
        <v>0.0008</v>
      </c>
      <c r="G30" s="4" t="str">
        <f>HYPERLINK("http://141.218.60.56/~jnz1568/getInfo.php?workbook=26_25.xlsx&amp;sheet=A0&amp;row=30&amp;col=7&amp;number=0&amp;sourceID=14","0")</f>
        <v>0</v>
      </c>
    </row>
    <row r="31" spans="1:7">
      <c r="A31" s="3">
        <v>26</v>
      </c>
      <c r="B31" s="3">
        <v>25</v>
      </c>
      <c r="C31" s="3">
        <v>11</v>
      </c>
      <c r="D31" s="3">
        <v>8</v>
      </c>
      <c r="E31" s="3">
        <v>18005.079</v>
      </c>
      <c r="F31" s="4" t="str">
        <f>HYPERLINK("http://141.218.60.56/~jnz1568/getInfo.php?workbook=26_25.xlsx&amp;sheet=A0&amp;row=31&amp;col=6&amp;number=0.00058&amp;sourceID=14","0.00058")</f>
        <v>0.00058</v>
      </c>
      <c r="G31" s="4" t="str">
        <f>HYPERLINK("http://141.218.60.56/~jnz1568/getInfo.php?workbook=26_25.xlsx&amp;sheet=A0&amp;row=31&amp;col=7&amp;number=0&amp;sourceID=14","0")</f>
        <v>0</v>
      </c>
    </row>
    <row r="32" spans="1:7">
      <c r="A32" s="3">
        <v>26</v>
      </c>
      <c r="B32" s="3">
        <v>25</v>
      </c>
      <c r="C32" s="3">
        <v>11</v>
      </c>
      <c r="D32" s="3">
        <v>10</v>
      </c>
      <c r="E32" s="3">
        <v>229021.804</v>
      </c>
      <c r="F32" s="4" t="str">
        <f>HYPERLINK("http://141.218.60.56/~jnz1568/getInfo.php?workbook=26_25.xlsx&amp;sheet=A0&amp;row=32&amp;col=6&amp;number=0.00256&amp;sourceID=14","0.00256")</f>
        <v>0.00256</v>
      </c>
      <c r="G32" s="4" t="str">
        <f>HYPERLINK("http://141.218.60.56/~jnz1568/getInfo.php?workbook=26_25.xlsx&amp;sheet=A0&amp;row=32&amp;col=7&amp;number=0&amp;sourceID=14","0")</f>
        <v>0</v>
      </c>
    </row>
    <row r="33" spans="1:7">
      <c r="A33" s="3">
        <v>26</v>
      </c>
      <c r="B33" s="3">
        <v>25</v>
      </c>
      <c r="C33" s="3">
        <v>12</v>
      </c>
      <c r="D33" s="3">
        <v>4</v>
      </c>
      <c r="E33" s="3">
        <v>12791.255</v>
      </c>
      <c r="F33" s="4" t="str">
        <f>HYPERLINK("http://141.218.60.56/~jnz1568/getInfo.php?workbook=26_25.xlsx&amp;sheet=A0&amp;row=33&amp;col=6&amp;number=0.003&amp;sourceID=14","0.003")</f>
        <v>0.003</v>
      </c>
      <c r="G33" s="4" t="str">
        <f>HYPERLINK("http://141.218.60.56/~jnz1568/getInfo.php?workbook=26_25.xlsx&amp;sheet=A0&amp;row=33&amp;col=7&amp;number=0&amp;sourceID=14","0")</f>
        <v>0</v>
      </c>
    </row>
    <row r="34" spans="1:7">
      <c r="A34" s="3">
        <v>26</v>
      </c>
      <c r="B34" s="3">
        <v>25</v>
      </c>
      <c r="C34" s="3">
        <v>12</v>
      </c>
      <c r="D34" s="3">
        <v>5</v>
      </c>
      <c r="E34" s="3">
        <v>12981.279</v>
      </c>
      <c r="F34" s="4" t="str">
        <f>HYPERLINK("http://141.218.60.56/~jnz1568/getInfo.php?workbook=26_25.xlsx&amp;sheet=A0&amp;row=34&amp;col=6&amp;number=0.0013&amp;sourceID=14","0.0013")</f>
        <v>0.0013</v>
      </c>
      <c r="G34" s="4" t="str">
        <f>HYPERLINK("http://141.218.60.56/~jnz1568/getInfo.php?workbook=26_25.xlsx&amp;sheet=A0&amp;row=34&amp;col=7&amp;number=0&amp;sourceID=14","0")</f>
        <v>0</v>
      </c>
    </row>
    <row r="35" spans="1:7">
      <c r="A35" s="3">
        <v>26</v>
      </c>
      <c r="B35" s="3">
        <v>25</v>
      </c>
      <c r="C35" s="3">
        <v>12</v>
      </c>
      <c r="D35" s="3">
        <v>7</v>
      </c>
      <c r="E35" s="3">
        <v>15999.085</v>
      </c>
      <c r="F35" s="4" t="str">
        <f>HYPERLINK("http://141.218.60.56/~jnz1568/getInfo.php?workbook=26_25.xlsx&amp;sheet=A0&amp;row=35&amp;col=6&amp;number=0.0014&amp;sourceID=14","0.0014")</f>
        <v>0.0014</v>
      </c>
      <c r="G35" s="4" t="str">
        <f>HYPERLINK("http://141.218.60.56/~jnz1568/getInfo.php?workbook=26_25.xlsx&amp;sheet=A0&amp;row=35&amp;col=7&amp;number=0&amp;sourceID=14","0")</f>
        <v>0</v>
      </c>
    </row>
    <row r="36" spans="1:7">
      <c r="A36" s="3">
        <v>26</v>
      </c>
      <c r="B36" s="3">
        <v>25</v>
      </c>
      <c r="C36" s="3">
        <v>12</v>
      </c>
      <c r="D36" s="3">
        <v>8</v>
      </c>
      <c r="E36" s="3">
        <v>17115.949</v>
      </c>
      <c r="F36" s="4" t="str">
        <f>HYPERLINK("http://141.218.60.56/~jnz1568/getInfo.php?workbook=26_25.xlsx&amp;sheet=A0&amp;row=36&amp;col=6&amp;number=0.00038&amp;sourceID=14","0.00038")</f>
        <v>0.00038</v>
      </c>
      <c r="G36" s="4" t="str">
        <f>HYPERLINK("http://141.218.60.56/~jnz1568/getInfo.php?workbook=26_25.xlsx&amp;sheet=A0&amp;row=36&amp;col=7&amp;number=0&amp;sourceID=14","0")</f>
        <v>0</v>
      </c>
    </row>
    <row r="37" spans="1:7">
      <c r="A37" s="3">
        <v>26</v>
      </c>
      <c r="B37" s="3">
        <v>25</v>
      </c>
      <c r="C37" s="3">
        <v>12</v>
      </c>
      <c r="D37" s="3">
        <v>9</v>
      </c>
      <c r="E37" s="3">
        <v>17975.934</v>
      </c>
      <c r="F37" s="4" t="str">
        <f>HYPERLINK("http://141.218.60.56/~jnz1568/getInfo.php?workbook=26_25.xlsx&amp;sheet=A0&amp;row=37&amp;col=6&amp;number=0.00068&amp;sourceID=14","0.00068")</f>
        <v>0.00068</v>
      </c>
      <c r="G37" s="4" t="str">
        <f>HYPERLINK("http://141.218.60.56/~jnz1568/getInfo.php?workbook=26_25.xlsx&amp;sheet=A0&amp;row=37&amp;col=7&amp;number=0&amp;sourceID=14","0")</f>
        <v>0</v>
      </c>
    </row>
    <row r="38" spans="1:7">
      <c r="A38" s="3">
        <v>26</v>
      </c>
      <c r="B38" s="3">
        <v>25</v>
      </c>
      <c r="C38" s="3">
        <v>12</v>
      </c>
      <c r="D38" s="3">
        <v>11</v>
      </c>
      <c r="E38" s="3">
        <v>346601.679</v>
      </c>
      <c r="F38" s="4" t="str">
        <f>HYPERLINK("http://141.218.60.56/~jnz1568/getInfo.php?workbook=26_25.xlsx&amp;sheet=A0&amp;row=38&amp;col=6&amp;number=0.00136&amp;sourceID=14","0.00136")</f>
        <v>0.00136</v>
      </c>
      <c r="G38" s="4" t="str">
        <f>HYPERLINK("http://141.218.60.56/~jnz1568/getInfo.php?workbook=26_25.xlsx&amp;sheet=A0&amp;row=38&amp;col=7&amp;number=0&amp;sourceID=14","0")</f>
        <v>0</v>
      </c>
    </row>
    <row r="39" spans="1:7">
      <c r="A39" s="3">
        <v>26</v>
      </c>
      <c r="B39" s="3">
        <v>25</v>
      </c>
      <c r="C39" s="3">
        <v>13</v>
      </c>
      <c r="D39" s="3">
        <v>4</v>
      </c>
      <c r="E39" s="3">
        <v>12524.807</v>
      </c>
      <c r="F39" s="4" t="str">
        <f>HYPERLINK("http://141.218.60.56/~jnz1568/getInfo.php?workbook=26_25.xlsx&amp;sheet=A0&amp;row=39&amp;col=6&amp;number=0.00078&amp;sourceID=14","0.00078")</f>
        <v>0.00078</v>
      </c>
      <c r="G39" s="4" t="str">
        <f>HYPERLINK("http://141.218.60.56/~jnz1568/getInfo.php?workbook=26_25.xlsx&amp;sheet=A0&amp;row=39&amp;col=7&amp;number=0&amp;sourceID=14","0")</f>
        <v>0</v>
      </c>
    </row>
    <row r="40" spans="1:7">
      <c r="A40" s="3">
        <v>26</v>
      </c>
      <c r="B40" s="3">
        <v>25</v>
      </c>
      <c r="C40" s="3">
        <v>13</v>
      </c>
      <c r="D40" s="3">
        <v>5</v>
      </c>
      <c r="E40" s="3">
        <v>12706.941</v>
      </c>
      <c r="F40" s="4" t="str">
        <f>HYPERLINK("http://141.218.60.56/~jnz1568/getInfo.php?workbook=26_25.xlsx&amp;sheet=A0&amp;row=40&amp;col=6&amp;number=0.004&amp;sourceID=14","0.004")</f>
        <v>0.004</v>
      </c>
      <c r="G40" s="4" t="str">
        <f>HYPERLINK("http://141.218.60.56/~jnz1568/getInfo.php?workbook=26_25.xlsx&amp;sheet=A0&amp;row=40&amp;col=7&amp;number=0&amp;sourceID=14","0")</f>
        <v>0</v>
      </c>
    </row>
    <row r="41" spans="1:7">
      <c r="A41" s="3">
        <v>26</v>
      </c>
      <c r="B41" s="3">
        <v>25</v>
      </c>
      <c r="C41" s="3">
        <v>13</v>
      </c>
      <c r="D41" s="3">
        <v>8</v>
      </c>
      <c r="E41" s="3">
        <v>16642.21</v>
      </c>
      <c r="F41" s="4" t="str">
        <f>HYPERLINK("http://141.218.60.56/~jnz1568/getInfo.php?workbook=26_25.xlsx&amp;sheet=A0&amp;row=41&amp;col=6&amp;number=0.0016&amp;sourceID=14","0.0016")</f>
        <v>0.0016</v>
      </c>
      <c r="G41" s="4" t="str">
        <f>HYPERLINK("http://141.218.60.56/~jnz1568/getInfo.php?workbook=26_25.xlsx&amp;sheet=A0&amp;row=41&amp;col=7&amp;number=0&amp;sourceID=14","0")</f>
        <v>0</v>
      </c>
    </row>
    <row r="42" spans="1:7">
      <c r="A42" s="3">
        <v>26</v>
      </c>
      <c r="B42" s="3">
        <v>25</v>
      </c>
      <c r="C42" s="3">
        <v>13</v>
      </c>
      <c r="D42" s="3">
        <v>9</v>
      </c>
      <c r="E42" s="3">
        <v>17454.119</v>
      </c>
      <c r="F42" s="4" t="str">
        <f>HYPERLINK("http://141.218.60.56/~jnz1568/getInfo.php?workbook=26_25.xlsx&amp;sheet=A0&amp;row=42&amp;col=6&amp;number=0.0008&amp;sourceID=14","0.0008")</f>
        <v>0.0008</v>
      </c>
      <c r="G42" s="4" t="str">
        <f>HYPERLINK("http://141.218.60.56/~jnz1568/getInfo.php?workbook=26_25.xlsx&amp;sheet=A0&amp;row=42&amp;col=7&amp;number=0&amp;sourceID=14","0")</f>
        <v>0</v>
      </c>
    </row>
    <row r="43" spans="1:7">
      <c r="A43" s="3">
        <v>26</v>
      </c>
      <c r="B43" s="3">
        <v>25</v>
      </c>
      <c r="C43" s="3">
        <v>13</v>
      </c>
      <c r="D43" s="3">
        <v>12</v>
      </c>
      <c r="E43" s="3">
        <v>601274.185</v>
      </c>
      <c r="F43" s="4" t="str">
        <f>HYPERLINK("http://141.218.60.56/~jnz1568/getInfo.php?workbook=26_25.xlsx&amp;sheet=A0&amp;row=43&amp;col=6&amp;number=0.000371&amp;sourceID=14","0.000371")</f>
        <v>0.000371</v>
      </c>
      <c r="G43" s="4" t="str">
        <f>HYPERLINK("http://141.218.60.56/~jnz1568/getInfo.php?workbook=26_25.xlsx&amp;sheet=A0&amp;row=43&amp;col=7&amp;number=0&amp;sourceID=14","0")</f>
        <v>0</v>
      </c>
    </row>
    <row r="44" spans="1:7">
      <c r="A44" s="3">
        <v>26</v>
      </c>
      <c r="B44" s="3">
        <v>25</v>
      </c>
      <c r="C44" s="3">
        <v>14</v>
      </c>
      <c r="D44" s="3">
        <v>2</v>
      </c>
      <c r="E44" s="3">
        <v>7639.641</v>
      </c>
      <c r="F44" s="4" t="str">
        <f>HYPERLINK("http://141.218.60.56/~jnz1568/getInfo.php?workbook=26_25.xlsx&amp;sheet=A0&amp;row=44&amp;col=6&amp;number=0.0015&amp;sourceID=14","0.0015")</f>
        <v>0.0015</v>
      </c>
      <c r="G44" s="4" t="str">
        <f>HYPERLINK("http://141.218.60.56/~jnz1568/getInfo.php?workbook=26_25.xlsx&amp;sheet=A0&amp;row=44&amp;col=7&amp;number=0&amp;sourceID=14","0")</f>
        <v>0</v>
      </c>
    </row>
    <row r="45" spans="1:7">
      <c r="A45" s="3">
        <v>26</v>
      </c>
      <c r="B45" s="3">
        <v>25</v>
      </c>
      <c r="C45" s="3">
        <v>14</v>
      </c>
      <c r="D45" s="3">
        <v>6</v>
      </c>
      <c r="E45" s="3">
        <v>8619.32</v>
      </c>
      <c r="F45" s="4" t="str">
        <f>HYPERLINK("http://141.218.60.56/~jnz1568/getInfo.php?workbook=26_25.xlsx&amp;sheet=A0&amp;row=45&amp;col=6&amp;number=0.019&amp;sourceID=14","0.019")</f>
        <v>0.019</v>
      </c>
      <c r="G45" s="4" t="str">
        <f>HYPERLINK("http://141.218.60.56/~jnz1568/getInfo.php?workbook=26_25.xlsx&amp;sheet=A0&amp;row=45&amp;col=7&amp;number=0&amp;sourceID=14","0")</f>
        <v>0</v>
      </c>
    </row>
    <row r="46" spans="1:7">
      <c r="A46" s="3">
        <v>26</v>
      </c>
      <c r="B46" s="3">
        <v>25</v>
      </c>
      <c r="C46" s="3">
        <v>14</v>
      </c>
      <c r="D46" s="3">
        <v>7</v>
      </c>
      <c r="E46" s="3">
        <v>9054.433</v>
      </c>
      <c r="F46" s="4" t="str">
        <f>HYPERLINK("http://141.218.60.56/~jnz1568/getInfo.php?workbook=26_25.xlsx&amp;sheet=A0&amp;row=46&amp;col=6&amp;number=0.0049&amp;sourceID=14","0.0049")</f>
        <v>0.0049</v>
      </c>
      <c r="G46" s="4" t="str">
        <f>HYPERLINK("http://141.218.60.56/~jnz1568/getInfo.php?workbook=26_25.xlsx&amp;sheet=A0&amp;row=46&amp;col=7&amp;number=0&amp;sourceID=14","0")</f>
        <v>0</v>
      </c>
    </row>
    <row r="47" spans="1:7">
      <c r="A47" s="3">
        <v>26</v>
      </c>
      <c r="B47" s="3">
        <v>25</v>
      </c>
      <c r="C47" s="3">
        <v>14</v>
      </c>
      <c r="D47" s="3">
        <v>10</v>
      </c>
      <c r="E47" s="3">
        <v>18118.856</v>
      </c>
      <c r="F47" s="4" t="str">
        <f>HYPERLINK("http://141.218.60.56/~jnz1568/getInfo.php?workbook=26_25.xlsx&amp;sheet=A0&amp;row=47&amp;col=6&amp;number=0.000613&amp;sourceID=14","0.000613")</f>
        <v>0.000613</v>
      </c>
      <c r="G47" s="4" t="str">
        <f>HYPERLINK("http://141.218.60.56/~jnz1568/getInfo.php?workbook=26_25.xlsx&amp;sheet=A0&amp;row=47&amp;col=7&amp;number=0&amp;sourceID=14","0")</f>
        <v>0</v>
      </c>
    </row>
    <row r="48" spans="1:7">
      <c r="A48" s="3">
        <v>26</v>
      </c>
      <c r="B48" s="3">
        <v>25</v>
      </c>
      <c r="C48" s="3">
        <v>14</v>
      </c>
      <c r="D48" s="3">
        <v>11</v>
      </c>
      <c r="E48" s="3">
        <v>19675.462</v>
      </c>
      <c r="F48" s="4" t="str">
        <f>HYPERLINK("http://141.218.60.56/~jnz1568/getInfo.php?workbook=26_25.xlsx&amp;sheet=A0&amp;row=48&amp;col=6&amp;number=0.00027&amp;sourceID=14","0.00027")</f>
        <v>0.00027</v>
      </c>
      <c r="G48" s="4" t="str">
        <f>HYPERLINK("http://141.218.60.56/~jnz1568/getInfo.php?workbook=26_25.xlsx&amp;sheet=A0&amp;row=48&amp;col=7&amp;number=0&amp;sourceID=14","0")</f>
        <v>0</v>
      </c>
    </row>
    <row r="49" spans="1:7">
      <c r="A49" s="3">
        <v>26</v>
      </c>
      <c r="B49" s="3">
        <v>25</v>
      </c>
      <c r="C49" s="3">
        <v>14</v>
      </c>
      <c r="D49" s="3">
        <v>12</v>
      </c>
      <c r="E49" s="3">
        <v>20859.595</v>
      </c>
      <c r="F49" s="4" t="str">
        <f>HYPERLINK("http://141.218.60.56/~jnz1568/getInfo.php?workbook=26_25.xlsx&amp;sheet=A0&amp;row=49&amp;col=6&amp;number=7.7e-05&amp;sourceID=14","7.7e-05")</f>
        <v>7.7e-05</v>
      </c>
      <c r="G49" s="4" t="str">
        <f>HYPERLINK("http://141.218.60.56/~jnz1568/getInfo.php?workbook=26_25.xlsx&amp;sheet=A0&amp;row=49&amp;col=7&amp;number=0&amp;sourceID=14","0")</f>
        <v>0</v>
      </c>
    </row>
    <row r="50" spans="1:7">
      <c r="A50" s="3">
        <v>26</v>
      </c>
      <c r="B50" s="3">
        <v>25</v>
      </c>
      <c r="C50" s="3">
        <v>15</v>
      </c>
      <c r="D50" s="3">
        <v>3</v>
      </c>
      <c r="E50" s="3">
        <v>7689.053</v>
      </c>
      <c r="F50" s="4" t="str">
        <f>HYPERLINK("http://141.218.60.56/~jnz1568/getInfo.php?workbook=26_25.xlsx&amp;sheet=A0&amp;row=50&amp;col=6&amp;number=0.0018&amp;sourceID=14","0.0018")</f>
        <v>0.0018</v>
      </c>
      <c r="G50" s="4" t="str">
        <f>HYPERLINK("http://141.218.60.56/~jnz1568/getInfo.php?workbook=26_25.xlsx&amp;sheet=A0&amp;row=50&amp;col=7&amp;number=0&amp;sourceID=14","0")</f>
        <v>0</v>
      </c>
    </row>
    <row r="51" spans="1:7">
      <c r="A51" s="3">
        <v>26</v>
      </c>
      <c r="B51" s="3">
        <v>25</v>
      </c>
      <c r="C51" s="3">
        <v>15</v>
      </c>
      <c r="D51" s="3">
        <v>5</v>
      </c>
      <c r="E51" s="3">
        <v>7876.415</v>
      </c>
      <c r="F51" s="4" t="str">
        <f>HYPERLINK("http://141.218.60.56/~jnz1568/getInfo.php?workbook=26_25.xlsx&amp;sheet=A0&amp;row=51&amp;col=6&amp;number=0.00022&amp;sourceID=14","0.00022")</f>
        <v>0.00022</v>
      </c>
      <c r="G51" s="4" t="str">
        <f>HYPERLINK("http://141.218.60.56/~jnz1568/getInfo.php?workbook=26_25.xlsx&amp;sheet=A0&amp;row=51&amp;col=7&amp;number=0&amp;sourceID=14","0")</f>
        <v>0</v>
      </c>
    </row>
    <row r="52" spans="1:7">
      <c r="A52" s="3">
        <v>26</v>
      </c>
      <c r="B52" s="3">
        <v>25</v>
      </c>
      <c r="C52" s="3">
        <v>15</v>
      </c>
      <c r="D52" s="3">
        <v>7</v>
      </c>
      <c r="E52" s="3">
        <v>8894.354</v>
      </c>
      <c r="F52" s="4" t="str">
        <f>HYPERLINK("http://141.218.60.56/~jnz1568/getInfo.php?workbook=26_25.xlsx&amp;sheet=A0&amp;row=52&amp;col=6&amp;number=0.011&amp;sourceID=14","0.011")</f>
        <v>0.011</v>
      </c>
      <c r="G52" s="4" t="str">
        <f>HYPERLINK("http://141.218.60.56/~jnz1568/getInfo.php?workbook=26_25.xlsx&amp;sheet=A0&amp;row=52&amp;col=7&amp;number=0&amp;sourceID=14","0")</f>
        <v>0</v>
      </c>
    </row>
    <row r="53" spans="1:7">
      <c r="A53" s="3">
        <v>26</v>
      </c>
      <c r="B53" s="3">
        <v>25</v>
      </c>
      <c r="C53" s="3">
        <v>15</v>
      </c>
      <c r="D53" s="3">
        <v>8</v>
      </c>
      <c r="E53" s="3">
        <v>9229.15</v>
      </c>
      <c r="F53" s="4" t="str">
        <f>HYPERLINK("http://141.218.60.56/~jnz1568/getInfo.php?workbook=26_25.xlsx&amp;sheet=A0&amp;row=53&amp;col=6&amp;number=0.0069&amp;sourceID=14","0.0069")</f>
        <v>0.0069</v>
      </c>
      <c r="G53" s="4" t="str">
        <f>HYPERLINK("http://141.218.60.56/~jnz1568/getInfo.php?workbook=26_25.xlsx&amp;sheet=A0&amp;row=53&amp;col=7&amp;number=0&amp;sourceID=14","0")</f>
        <v>0</v>
      </c>
    </row>
    <row r="54" spans="1:7">
      <c r="A54" s="3">
        <v>26</v>
      </c>
      <c r="B54" s="3">
        <v>25</v>
      </c>
      <c r="C54" s="3">
        <v>15</v>
      </c>
      <c r="D54" s="3">
        <v>9</v>
      </c>
      <c r="E54" s="3">
        <v>9473.533</v>
      </c>
      <c r="F54" s="4" t="str">
        <f>HYPERLINK("http://141.218.60.56/~jnz1568/getInfo.php?workbook=26_25.xlsx&amp;sheet=A0&amp;row=54&amp;col=6&amp;number=0.002&amp;sourceID=14","0.002")</f>
        <v>0.002</v>
      </c>
      <c r="G54" s="4" t="str">
        <f>HYPERLINK("http://141.218.60.56/~jnz1568/getInfo.php?workbook=26_25.xlsx&amp;sheet=A0&amp;row=54&amp;col=7&amp;number=0&amp;sourceID=14","0")</f>
        <v>0</v>
      </c>
    </row>
    <row r="55" spans="1:7">
      <c r="A55" s="3">
        <v>26</v>
      </c>
      <c r="B55" s="3">
        <v>25</v>
      </c>
      <c r="C55" s="3">
        <v>15</v>
      </c>
      <c r="D55" s="3">
        <v>10</v>
      </c>
      <c r="E55" s="3">
        <v>17488.982</v>
      </c>
      <c r="F55" s="4" t="str">
        <f>HYPERLINK("http://141.218.60.56/~jnz1568/getInfo.php?workbook=26_25.xlsx&amp;sheet=A0&amp;row=55&amp;col=6&amp;number=0.00061&amp;sourceID=14","0.00061")</f>
        <v>0.00061</v>
      </c>
      <c r="G55" s="4" t="str">
        <f>HYPERLINK("http://141.218.60.56/~jnz1568/getInfo.php?workbook=26_25.xlsx&amp;sheet=A0&amp;row=55&amp;col=7&amp;number=0&amp;sourceID=14","0")</f>
        <v>0</v>
      </c>
    </row>
    <row r="56" spans="1:7">
      <c r="A56" s="3">
        <v>26</v>
      </c>
      <c r="B56" s="3">
        <v>25</v>
      </c>
      <c r="C56" s="3">
        <v>15</v>
      </c>
      <c r="D56" s="3">
        <v>12</v>
      </c>
      <c r="E56" s="3">
        <v>20029.12</v>
      </c>
      <c r="F56" s="4" t="str">
        <f>HYPERLINK("http://141.218.60.56/~jnz1568/getInfo.php?workbook=26_25.xlsx&amp;sheet=A0&amp;row=56&amp;col=6&amp;number=0.00016&amp;sourceID=14","0.00016")</f>
        <v>0.00016</v>
      </c>
      <c r="G56" s="4" t="str">
        <f>HYPERLINK("http://141.218.60.56/~jnz1568/getInfo.php?workbook=26_25.xlsx&amp;sheet=A0&amp;row=56&amp;col=7&amp;number=0&amp;sourceID=14","0")</f>
        <v>0</v>
      </c>
    </row>
    <row r="57" spans="1:7">
      <c r="A57" s="3">
        <v>26</v>
      </c>
      <c r="B57" s="3">
        <v>25</v>
      </c>
      <c r="C57" s="3">
        <v>15</v>
      </c>
      <c r="D57" s="3">
        <v>13</v>
      </c>
      <c r="E57" s="3">
        <v>20719.304</v>
      </c>
      <c r="F57" s="4" t="str">
        <f>HYPERLINK("http://141.218.60.56/~jnz1568/getInfo.php?workbook=26_25.xlsx&amp;sheet=A0&amp;row=57&amp;col=6&amp;number=0.00015&amp;sourceID=14","0.00015")</f>
        <v>0.00015</v>
      </c>
      <c r="G57" s="4" t="str">
        <f>HYPERLINK("http://141.218.60.56/~jnz1568/getInfo.php?workbook=26_25.xlsx&amp;sheet=A0&amp;row=57&amp;col=7&amp;number=0&amp;sourceID=14","0")</f>
        <v>0</v>
      </c>
    </row>
    <row r="58" spans="1:7">
      <c r="A58" s="3">
        <v>26</v>
      </c>
      <c r="B58" s="3">
        <v>25</v>
      </c>
      <c r="C58" s="3">
        <v>15</v>
      </c>
      <c r="D58" s="3">
        <v>14</v>
      </c>
      <c r="E58" s="3">
        <v>503085.328</v>
      </c>
      <c r="F58" s="4" t="str">
        <f>HYPERLINK("http://141.218.60.56/~jnz1568/getInfo.php?workbook=26_25.xlsx&amp;sheet=A0&amp;row=58&amp;col=6&amp;number=0.00019&amp;sourceID=14","0.00019")</f>
        <v>0.00019</v>
      </c>
      <c r="G58" s="4" t="str">
        <f>HYPERLINK("http://141.218.60.56/~jnz1568/getInfo.php?workbook=26_25.xlsx&amp;sheet=A0&amp;row=58&amp;col=7&amp;number=0&amp;sourceID=14","0")</f>
        <v>0</v>
      </c>
    </row>
    <row r="59" spans="1:7">
      <c r="A59" s="3">
        <v>26</v>
      </c>
      <c r="B59" s="3">
        <v>25</v>
      </c>
      <c r="C59" s="3">
        <v>16</v>
      </c>
      <c r="D59" s="3">
        <v>4</v>
      </c>
      <c r="E59" s="3">
        <v>7667.412</v>
      </c>
      <c r="F59" s="4" t="str">
        <f>HYPERLINK("http://141.218.60.56/~jnz1568/getInfo.php?workbook=26_25.xlsx&amp;sheet=A0&amp;row=59&amp;col=6&amp;number=0.0018&amp;sourceID=14","0.0018")</f>
        <v>0.0018</v>
      </c>
      <c r="G59" s="4" t="str">
        <f>HYPERLINK("http://141.218.60.56/~jnz1568/getInfo.php?workbook=26_25.xlsx&amp;sheet=A0&amp;row=59&amp;col=7&amp;number=0&amp;sourceID=14","0")</f>
        <v>0</v>
      </c>
    </row>
    <row r="60" spans="1:7">
      <c r="A60" s="3">
        <v>26</v>
      </c>
      <c r="B60" s="3">
        <v>25</v>
      </c>
      <c r="C60" s="3">
        <v>16</v>
      </c>
      <c r="D60" s="3">
        <v>5</v>
      </c>
      <c r="E60" s="3">
        <v>7735.285</v>
      </c>
      <c r="F60" s="4" t="str">
        <f>HYPERLINK("http://141.218.60.56/~jnz1568/getInfo.php?workbook=26_25.xlsx&amp;sheet=A0&amp;row=60&amp;col=6&amp;number=0.00052&amp;sourceID=14","0.00052")</f>
        <v>0.00052</v>
      </c>
      <c r="G60" s="4" t="str">
        <f>HYPERLINK("http://141.218.60.56/~jnz1568/getInfo.php?workbook=26_25.xlsx&amp;sheet=A0&amp;row=60&amp;col=7&amp;number=0&amp;sourceID=14","0")</f>
        <v>0</v>
      </c>
    </row>
    <row r="61" spans="1:7">
      <c r="A61" s="3">
        <v>26</v>
      </c>
      <c r="B61" s="3">
        <v>25</v>
      </c>
      <c r="C61" s="3">
        <v>16</v>
      </c>
      <c r="D61" s="3">
        <v>8</v>
      </c>
      <c r="E61" s="3">
        <v>9035.975</v>
      </c>
      <c r="F61" s="4" t="str">
        <f>HYPERLINK("http://141.218.60.56/~jnz1568/getInfo.php?workbook=26_25.xlsx&amp;sheet=A0&amp;row=61&amp;col=6&amp;number=0.0082&amp;sourceID=14","0.0082")</f>
        <v>0.0082</v>
      </c>
      <c r="G61" s="4" t="str">
        <f>HYPERLINK("http://141.218.60.56/~jnz1568/getInfo.php?workbook=26_25.xlsx&amp;sheet=A0&amp;row=61&amp;col=7&amp;number=0&amp;sourceID=14","0")</f>
        <v>0</v>
      </c>
    </row>
    <row r="62" spans="1:7">
      <c r="A62" s="3">
        <v>26</v>
      </c>
      <c r="B62" s="3">
        <v>25</v>
      </c>
      <c r="C62" s="3">
        <v>16</v>
      </c>
      <c r="D62" s="3">
        <v>9</v>
      </c>
      <c r="E62" s="3">
        <v>9270.106</v>
      </c>
      <c r="F62" s="4" t="str">
        <f>HYPERLINK("http://141.218.60.56/~jnz1568/getInfo.php?workbook=26_25.xlsx&amp;sheet=A0&amp;row=62&amp;col=6&amp;number=0.011&amp;sourceID=14","0.011")</f>
        <v>0.011</v>
      </c>
      <c r="G62" s="4" t="str">
        <f>HYPERLINK("http://141.218.60.56/~jnz1568/getInfo.php?workbook=26_25.xlsx&amp;sheet=A0&amp;row=62&amp;col=7&amp;number=0&amp;sourceID=14","0")</f>
        <v>0</v>
      </c>
    </row>
    <row r="63" spans="1:7">
      <c r="A63" s="3">
        <v>26</v>
      </c>
      <c r="B63" s="3">
        <v>25</v>
      </c>
      <c r="C63" s="3">
        <v>16</v>
      </c>
      <c r="D63" s="3">
        <v>11</v>
      </c>
      <c r="E63" s="3">
        <v>18139.32</v>
      </c>
      <c r="F63" s="4" t="str">
        <f>HYPERLINK("http://141.218.60.56/~jnz1568/getInfo.php?workbook=26_25.xlsx&amp;sheet=A0&amp;row=63&amp;col=6&amp;number=0.00076&amp;sourceID=14","0.00076")</f>
        <v>0.00076</v>
      </c>
      <c r="G63" s="4" t="str">
        <f>HYPERLINK("http://141.218.60.56/~jnz1568/getInfo.php?workbook=26_25.xlsx&amp;sheet=A0&amp;row=63&amp;col=7&amp;number=0&amp;sourceID=14","0")</f>
        <v>0</v>
      </c>
    </row>
    <row r="64" spans="1:7">
      <c r="A64" s="3">
        <v>26</v>
      </c>
      <c r="B64" s="3">
        <v>25</v>
      </c>
      <c r="C64" s="3">
        <v>16</v>
      </c>
      <c r="D64" s="3">
        <v>12</v>
      </c>
      <c r="E64" s="3">
        <v>19141.063</v>
      </c>
      <c r="F64" s="4" t="str">
        <f>HYPERLINK("http://141.218.60.56/~jnz1568/getInfo.php?workbook=26_25.xlsx&amp;sheet=A0&amp;row=64&amp;col=6&amp;number=0.00025&amp;sourceID=14","0.00025")</f>
        <v>0.00025</v>
      </c>
      <c r="G64" s="4" t="str">
        <f>HYPERLINK("http://141.218.60.56/~jnz1568/getInfo.php?workbook=26_25.xlsx&amp;sheet=A0&amp;row=64&amp;col=7&amp;number=0&amp;sourceID=14","0")</f>
        <v>0</v>
      </c>
    </row>
    <row r="65" spans="1:7">
      <c r="A65" s="3">
        <v>26</v>
      </c>
      <c r="B65" s="3">
        <v>25</v>
      </c>
      <c r="C65" s="3">
        <v>16</v>
      </c>
      <c r="D65" s="3">
        <v>15</v>
      </c>
      <c r="E65" s="3">
        <v>431705.024</v>
      </c>
      <c r="F65" s="4" t="str">
        <f>HYPERLINK("http://141.218.60.56/~jnz1568/getInfo.php?workbook=26_25.xlsx&amp;sheet=A0&amp;row=65&amp;col=6&amp;number=0.00055&amp;sourceID=14","0.00055")</f>
        <v>0.00055</v>
      </c>
      <c r="G65" s="4" t="str">
        <f>HYPERLINK("http://141.218.60.56/~jnz1568/getInfo.php?workbook=26_25.xlsx&amp;sheet=A0&amp;row=65&amp;col=7&amp;number=0&amp;sourceID=14","0")</f>
        <v>0</v>
      </c>
    </row>
    <row r="66" spans="1:7">
      <c r="A66" s="3">
        <v>26</v>
      </c>
      <c r="B66" s="3">
        <v>25</v>
      </c>
      <c r="C66" s="3">
        <v>17</v>
      </c>
      <c r="D66" s="3">
        <v>2</v>
      </c>
      <c r="E66" s="3">
        <v>4890.982</v>
      </c>
      <c r="F66" s="4" t="str">
        <f>HYPERLINK("http://141.218.60.56/~jnz1568/getInfo.php?workbook=26_25.xlsx&amp;sheet=A0&amp;row=66&amp;col=6&amp;number=0.36&amp;sourceID=14","0.36")</f>
        <v>0.36</v>
      </c>
      <c r="G66" s="4" t="str">
        <f>HYPERLINK("http://141.218.60.56/~jnz1568/getInfo.php?workbook=26_25.xlsx&amp;sheet=A0&amp;row=66&amp;col=7&amp;number=0&amp;sourceID=14","0")</f>
        <v>0</v>
      </c>
    </row>
    <row r="67" spans="1:7">
      <c r="A67" s="3">
        <v>26</v>
      </c>
      <c r="B67" s="3">
        <v>25</v>
      </c>
      <c r="C67" s="3">
        <v>17</v>
      </c>
      <c r="D67" s="3">
        <v>4</v>
      </c>
      <c r="E67" s="3">
        <v>5008.021</v>
      </c>
      <c r="F67" s="4" t="str">
        <f>HYPERLINK("http://141.218.60.56/~jnz1568/getInfo.php?workbook=26_25.xlsx&amp;sheet=A0&amp;row=67&amp;col=6&amp;number=0.027&amp;sourceID=14","0.027")</f>
        <v>0.027</v>
      </c>
      <c r="G67" s="4" t="str">
        <f>HYPERLINK("http://141.218.60.56/~jnz1568/getInfo.php?workbook=26_25.xlsx&amp;sheet=A0&amp;row=67&amp;col=7&amp;number=0&amp;sourceID=14","0")</f>
        <v>0</v>
      </c>
    </row>
    <row r="68" spans="1:7">
      <c r="A68" s="3">
        <v>26</v>
      </c>
      <c r="B68" s="3">
        <v>25</v>
      </c>
      <c r="C68" s="3">
        <v>17</v>
      </c>
      <c r="D68" s="3">
        <v>6</v>
      </c>
      <c r="E68" s="3">
        <v>5274.814</v>
      </c>
      <c r="F68" s="4" t="str">
        <f>HYPERLINK("http://141.218.60.56/~jnz1568/getInfo.php?workbook=26_25.xlsx&amp;sheet=A0&amp;row=68&amp;col=6&amp;number=0.37&amp;sourceID=14","0.37")</f>
        <v>0.37</v>
      </c>
      <c r="G68" s="4" t="str">
        <f>HYPERLINK("http://141.218.60.56/~jnz1568/getInfo.php?workbook=26_25.xlsx&amp;sheet=A0&amp;row=68&amp;col=7&amp;number=0&amp;sourceID=14","0")</f>
        <v>0</v>
      </c>
    </row>
    <row r="69" spans="1:7">
      <c r="A69" s="3">
        <v>26</v>
      </c>
      <c r="B69" s="3">
        <v>25</v>
      </c>
      <c r="C69" s="3">
        <v>17</v>
      </c>
      <c r="D69" s="3">
        <v>7</v>
      </c>
      <c r="E69" s="3">
        <v>5434.64</v>
      </c>
      <c r="F69" s="4" t="str">
        <f>HYPERLINK("http://141.218.60.56/~jnz1568/getInfo.php?workbook=26_25.xlsx&amp;sheet=A0&amp;row=69&amp;col=6&amp;number=0.11&amp;sourceID=14","0.11")</f>
        <v>0.11</v>
      </c>
      <c r="G69" s="4" t="str">
        <f>HYPERLINK("http://141.218.60.56/~jnz1568/getInfo.php?workbook=26_25.xlsx&amp;sheet=A0&amp;row=69&amp;col=7&amp;number=0&amp;sourceID=14","0")</f>
        <v>0</v>
      </c>
    </row>
    <row r="70" spans="1:7">
      <c r="A70" s="3">
        <v>26</v>
      </c>
      <c r="B70" s="3">
        <v>25</v>
      </c>
      <c r="C70" s="3">
        <v>17</v>
      </c>
      <c r="D70" s="3">
        <v>8</v>
      </c>
      <c r="E70" s="3">
        <v>5557.83</v>
      </c>
      <c r="F70" s="4" t="str">
        <f>HYPERLINK("http://141.218.60.56/~jnz1568/getInfo.php?workbook=26_25.xlsx&amp;sheet=A0&amp;row=70&amp;col=6&amp;number=0.022&amp;sourceID=14","0.022")</f>
        <v>0.022</v>
      </c>
      <c r="G70" s="4" t="str">
        <f>HYPERLINK("http://141.218.60.56/~jnz1568/getInfo.php?workbook=26_25.xlsx&amp;sheet=A0&amp;row=70&amp;col=7&amp;number=0&amp;sourceID=14","0")</f>
        <v>0</v>
      </c>
    </row>
    <row r="71" spans="1:7">
      <c r="A71" s="3">
        <v>26</v>
      </c>
      <c r="B71" s="3">
        <v>25</v>
      </c>
      <c r="C71" s="3">
        <v>17</v>
      </c>
      <c r="D71" s="3">
        <v>10</v>
      </c>
      <c r="E71" s="3">
        <v>7766.819</v>
      </c>
      <c r="F71" s="4" t="str">
        <f>HYPERLINK("http://141.218.60.56/~jnz1568/getInfo.php?workbook=26_25.xlsx&amp;sheet=A0&amp;row=71&amp;col=6&amp;number=0.028&amp;sourceID=14","0.028")</f>
        <v>0.028</v>
      </c>
      <c r="G71" s="4" t="str">
        <f>HYPERLINK("http://141.218.60.56/~jnz1568/getInfo.php?workbook=26_25.xlsx&amp;sheet=A0&amp;row=71&amp;col=7&amp;number=0&amp;sourceID=14","0")</f>
        <v>0</v>
      </c>
    </row>
    <row r="72" spans="1:7">
      <c r="A72" s="3">
        <v>26</v>
      </c>
      <c r="B72" s="3">
        <v>25</v>
      </c>
      <c r="C72" s="3">
        <v>18</v>
      </c>
      <c r="D72" s="3">
        <v>3</v>
      </c>
      <c r="E72" s="3">
        <v>4729.391</v>
      </c>
      <c r="F72" s="4" t="str">
        <f>HYPERLINK("http://141.218.60.56/~jnz1568/getInfo.php?workbook=26_25.xlsx&amp;sheet=A0&amp;row=72&amp;col=6&amp;number=0.48&amp;sourceID=14","0.48")</f>
        <v>0.48</v>
      </c>
      <c r="G72" s="4" t="str">
        <f>HYPERLINK("http://141.218.60.56/~jnz1568/getInfo.php?workbook=26_25.xlsx&amp;sheet=A0&amp;row=72&amp;col=7&amp;number=0&amp;sourceID=14","0")</f>
        <v>0</v>
      </c>
    </row>
    <row r="73" spans="1:7">
      <c r="A73" s="3">
        <v>26</v>
      </c>
      <c r="B73" s="3">
        <v>25</v>
      </c>
      <c r="C73" s="3">
        <v>18</v>
      </c>
      <c r="D73" s="3">
        <v>4</v>
      </c>
      <c r="E73" s="3">
        <v>4773.397</v>
      </c>
      <c r="F73" s="4" t="str">
        <f>HYPERLINK("http://141.218.60.56/~jnz1568/getInfo.php?workbook=26_25.xlsx&amp;sheet=A0&amp;row=73&amp;col=6&amp;number=0.026&amp;sourceID=14","0.026")</f>
        <v>0.026</v>
      </c>
      <c r="G73" s="4" t="str">
        <f>HYPERLINK("http://141.218.60.56/~jnz1568/getInfo.php?workbook=26_25.xlsx&amp;sheet=A0&amp;row=73&amp;col=7&amp;number=0&amp;sourceID=14","0")</f>
        <v>0</v>
      </c>
    </row>
    <row r="74" spans="1:7">
      <c r="A74" s="3">
        <v>26</v>
      </c>
      <c r="B74" s="3">
        <v>25</v>
      </c>
      <c r="C74" s="3">
        <v>18</v>
      </c>
      <c r="D74" s="3">
        <v>5</v>
      </c>
      <c r="E74" s="3">
        <v>4799.616</v>
      </c>
      <c r="F74" s="4" t="str">
        <f>HYPERLINK("http://141.218.60.56/~jnz1568/getInfo.php?workbook=26_25.xlsx&amp;sheet=A0&amp;row=74&amp;col=6&amp;number=0.082&amp;sourceID=14","0.082")</f>
        <v>0.082</v>
      </c>
      <c r="G74" s="4" t="str">
        <f>HYPERLINK("http://141.218.60.56/~jnz1568/getInfo.php?workbook=26_25.xlsx&amp;sheet=A0&amp;row=74&amp;col=7&amp;number=0&amp;sourceID=14","0")</f>
        <v>0</v>
      </c>
    </row>
    <row r="75" spans="1:7">
      <c r="A75" s="3">
        <v>26</v>
      </c>
      <c r="B75" s="3">
        <v>25</v>
      </c>
      <c r="C75" s="3">
        <v>18</v>
      </c>
      <c r="D75" s="3">
        <v>7</v>
      </c>
      <c r="E75" s="3">
        <v>5159.438</v>
      </c>
      <c r="F75" s="4" t="str">
        <f>HYPERLINK("http://141.218.60.56/~jnz1568/getInfo.php?workbook=26_25.xlsx&amp;sheet=A0&amp;row=75&amp;col=6&amp;number=0.3&amp;sourceID=14","0.3")</f>
        <v>0.3</v>
      </c>
      <c r="G75" s="4" t="str">
        <f>HYPERLINK("http://141.218.60.56/~jnz1568/getInfo.php?workbook=26_25.xlsx&amp;sheet=A0&amp;row=75&amp;col=7&amp;number=0&amp;sourceID=14","0")</f>
        <v>0</v>
      </c>
    </row>
    <row r="76" spans="1:7">
      <c r="A76" s="3">
        <v>26</v>
      </c>
      <c r="B76" s="3">
        <v>25</v>
      </c>
      <c r="C76" s="3">
        <v>18</v>
      </c>
      <c r="D76" s="3">
        <v>8</v>
      </c>
      <c r="E76" s="3">
        <v>5270.341</v>
      </c>
      <c r="F76" s="4" t="str">
        <f>HYPERLINK("http://141.218.60.56/~jnz1568/getInfo.php?workbook=26_25.xlsx&amp;sheet=A0&amp;row=76&amp;col=6&amp;number=0.19&amp;sourceID=14","0.19")</f>
        <v>0.19</v>
      </c>
      <c r="G76" s="4" t="str">
        <f>HYPERLINK("http://141.218.60.56/~jnz1568/getInfo.php?workbook=26_25.xlsx&amp;sheet=A0&amp;row=76&amp;col=7&amp;number=0&amp;sourceID=14","0")</f>
        <v>0</v>
      </c>
    </row>
    <row r="77" spans="1:7">
      <c r="A77" s="3">
        <v>26</v>
      </c>
      <c r="B77" s="3">
        <v>25</v>
      </c>
      <c r="C77" s="3">
        <v>18</v>
      </c>
      <c r="D77" s="3">
        <v>9</v>
      </c>
      <c r="E77" s="3">
        <v>5349.14</v>
      </c>
      <c r="F77" s="4" t="str">
        <f>HYPERLINK("http://141.218.60.56/~jnz1568/getInfo.php?workbook=26_25.xlsx&amp;sheet=A0&amp;row=77&amp;col=6&amp;number=0.057&amp;sourceID=14","0.057")</f>
        <v>0.057</v>
      </c>
      <c r="G77" s="4" t="str">
        <f>HYPERLINK("http://141.218.60.56/~jnz1568/getInfo.php?workbook=26_25.xlsx&amp;sheet=A0&amp;row=77&amp;col=7&amp;number=0&amp;sourceID=14","0")</f>
        <v>0</v>
      </c>
    </row>
    <row r="78" spans="1:7">
      <c r="A78" s="3">
        <v>26</v>
      </c>
      <c r="B78" s="3">
        <v>25</v>
      </c>
      <c r="C78" s="3">
        <v>18</v>
      </c>
      <c r="D78" s="3">
        <v>12</v>
      </c>
      <c r="E78" s="3">
        <v>7615.218</v>
      </c>
      <c r="F78" s="4" t="str">
        <f>HYPERLINK("http://141.218.60.56/~jnz1568/getInfo.php?workbook=26_25.xlsx&amp;sheet=A0&amp;row=78&amp;col=6&amp;number=0.012&amp;sourceID=14","0.012")</f>
        <v>0.012</v>
      </c>
      <c r="G78" s="4" t="str">
        <f>HYPERLINK("http://141.218.60.56/~jnz1568/getInfo.php?workbook=26_25.xlsx&amp;sheet=A0&amp;row=78&amp;col=7&amp;number=0&amp;sourceID=14","0")</f>
        <v>0</v>
      </c>
    </row>
    <row r="79" spans="1:7">
      <c r="A79" s="3">
        <v>26</v>
      </c>
      <c r="B79" s="3">
        <v>25</v>
      </c>
      <c r="C79" s="3">
        <v>19</v>
      </c>
      <c r="D79" s="3">
        <v>4</v>
      </c>
      <c r="E79" s="3">
        <v>4640.966</v>
      </c>
      <c r="F79" s="4" t="str">
        <f>HYPERLINK("http://141.218.60.56/~jnz1568/getInfo.php?workbook=26_25.xlsx&amp;sheet=A0&amp;row=79&amp;col=6&amp;number=0.49&amp;sourceID=14","0.49")</f>
        <v>0.49</v>
      </c>
      <c r="G79" s="4" t="str">
        <f>HYPERLINK("http://141.218.60.56/~jnz1568/getInfo.php?workbook=26_25.xlsx&amp;sheet=A0&amp;row=79&amp;col=7&amp;number=0&amp;sourceID=14","0")</f>
        <v>0</v>
      </c>
    </row>
    <row r="80" spans="1:7">
      <c r="A80" s="3">
        <v>26</v>
      </c>
      <c r="B80" s="3">
        <v>25</v>
      </c>
      <c r="C80" s="3">
        <v>19</v>
      </c>
      <c r="D80" s="3">
        <v>5</v>
      </c>
      <c r="E80" s="3">
        <v>4665.746</v>
      </c>
      <c r="F80" s="4" t="str">
        <f>HYPERLINK("http://141.218.60.56/~jnz1568/getInfo.php?workbook=26_25.xlsx&amp;sheet=A0&amp;row=80&amp;col=6&amp;number=0.15&amp;sourceID=14","0.15")</f>
        <v>0.15</v>
      </c>
      <c r="G80" s="4" t="str">
        <f>HYPERLINK("http://141.218.60.56/~jnz1568/getInfo.php?workbook=26_25.xlsx&amp;sheet=A0&amp;row=80&amp;col=7&amp;number=0&amp;sourceID=14","0")</f>
        <v>0</v>
      </c>
    </row>
    <row r="81" spans="1:7">
      <c r="A81" s="3">
        <v>26</v>
      </c>
      <c r="B81" s="3">
        <v>25</v>
      </c>
      <c r="C81" s="3">
        <v>19</v>
      </c>
      <c r="D81" s="3">
        <v>8</v>
      </c>
      <c r="E81" s="3">
        <v>5109.365</v>
      </c>
      <c r="F81" s="4" t="str">
        <f>HYPERLINK("http://141.218.60.56/~jnz1568/getInfo.php?workbook=26_25.xlsx&amp;sheet=A0&amp;row=81&amp;col=6&amp;number=0.24&amp;sourceID=14","0.24")</f>
        <v>0.24</v>
      </c>
      <c r="G81" s="4" t="str">
        <f>HYPERLINK("http://141.218.60.56/~jnz1568/getInfo.php?workbook=26_25.xlsx&amp;sheet=A0&amp;row=81&amp;col=7&amp;number=0&amp;sourceID=14","0")</f>
        <v>0</v>
      </c>
    </row>
    <row r="82" spans="1:7">
      <c r="A82" s="3">
        <v>26</v>
      </c>
      <c r="B82" s="3">
        <v>25</v>
      </c>
      <c r="C82" s="3">
        <v>19</v>
      </c>
      <c r="D82" s="3">
        <v>9</v>
      </c>
      <c r="E82" s="3">
        <v>5183.391</v>
      </c>
      <c r="F82" s="4" t="str">
        <f>HYPERLINK("http://141.218.60.56/~jnz1568/getInfo.php?workbook=26_25.xlsx&amp;sheet=A0&amp;row=82&amp;col=6&amp;number=0.34&amp;sourceID=14","0.34")</f>
        <v>0.34</v>
      </c>
      <c r="G82" s="4" t="str">
        <f>HYPERLINK("http://141.218.60.56/~jnz1568/getInfo.php?workbook=26_25.xlsx&amp;sheet=A0&amp;row=82&amp;col=7&amp;number=0&amp;sourceID=14","0")</f>
        <v>0</v>
      </c>
    </row>
    <row r="83" spans="1:7">
      <c r="A83" s="3">
        <v>26</v>
      </c>
      <c r="B83" s="3">
        <v>25</v>
      </c>
      <c r="C83" s="3">
        <v>19</v>
      </c>
      <c r="D83" s="3">
        <v>13</v>
      </c>
      <c r="E83" s="3">
        <v>7372.954</v>
      </c>
      <c r="F83" s="4" t="str">
        <f>HYPERLINK("http://141.218.60.56/~jnz1568/getInfo.php?workbook=26_25.xlsx&amp;sheet=A0&amp;row=83&amp;col=6&amp;number=0.018&amp;sourceID=14","0.018")</f>
        <v>0.018</v>
      </c>
      <c r="G83" s="4" t="str">
        <f>HYPERLINK("http://141.218.60.56/~jnz1568/getInfo.php?workbook=26_25.xlsx&amp;sheet=A0&amp;row=83&amp;col=7&amp;number=0&amp;sourceID=14","0")</f>
        <v>0</v>
      </c>
    </row>
    <row r="84" spans="1:7">
      <c r="A84" s="3">
        <v>26</v>
      </c>
      <c r="B84" s="3">
        <v>25</v>
      </c>
      <c r="C84" s="3">
        <v>20</v>
      </c>
      <c r="D84" s="3">
        <v>6</v>
      </c>
      <c r="E84" s="3">
        <v>5160.214</v>
      </c>
      <c r="F84" s="4" t="str">
        <f>HYPERLINK("http://141.218.60.56/~jnz1568/getInfo.php?workbook=26_25.xlsx&amp;sheet=A0&amp;row=84&amp;col=6&amp;number=0.44&amp;sourceID=14","0.44")</f>
        <v>0.44</v>
      </c>
      <c r="G84" s="4" t="str">
        <f>HYPERLINK("http://141.218.60.56/~jnz1568/getInfo.php?workbook=26_25.xlsx&amp;sheet=A0&amp;row=84&amp;col=7&amp;number=0&amp;sourceID=14","0")</f>
        <v>0</v>
      </c>
    </row>
    <row r="85" spans="1:7">
      <c r="A85" s="3">
        <v>26</v>
      </c>
      <c r="B85" s="3">
        <v>25</v>
      </c>
      <c r="C85" s="3">
        <v>21</v>
      </c>
      <c r="D85" s="3">
        <v>7</v>
      </c>
      <c r="E85" s="3">
        <v>5263.085</v>
      </c>
      <c r="F85" s="4" t="str">
        <f>HYPERLINK("http://141.218.60.56/~jnz1568/getInfo.php?workbook=26_25.xlsx&amp;sheet=A0&amp;row=85&amp;col=6&amp;number=0.31&amp;sourceID=14","0.31")</f>
        <v>0.31</v>
      </c>
      <c r="G85" s="4" t="str">
        <f>HYPERLINK("http://141.218.60.56/~jnz1568/getInfo.php?workbook=26_25.xlsx&amp;sheet=A0&amp;row=85&amp;col=7&amp;number=0&amp;sourceID=14","0")</f>
        <v>0</v>
      </c>
    </row>
    <row r="86" spans="1:7">
      <c r="A86" s="3">
        <v>26</v>
      </c>
      <c r="B86" s="3">
        <v>25</v>
      </c>
      <c r="C86" s="3">
        <v>21</v>
      </c>
      <c r="D86" s="3">
        <v>6</v>
      </c>
      <c r="E86" s="3">
        <v>5113.051</v>
      </c>
      <c r="F86" s="4" t="str">
        <f>HYPERLINK("http://141.218.60.56/~jnz1568/getInfo.php?workbook=26_25.xlsx&amp;sheet=A0&amp;row=86&amp;col=6&amp;number=0.1&amp;sourceID=14","0.1")</f>
        <v>0.1</v>
      </c>
      <c r="G86" s="4" t="str">
        <f>HYPERLINK("http://141.218.60.56/~jnz1568/getInfo.php?workbook=26_25.xlsx&amp;sheet=A0&amp;row=86&amp;col=7&amp;number=0&amp;sourceID=14","0")</f>
        <v>0</v>
      </c>
    </row>
    <row r="87" spans="1:7">
      <c r="A87" s="3">
        <v>26</v>
      </c>
      <c r="B87" s="3">
        <v>25</v>
      </c>
      <c r="C87" s="3">
        <v>22</v>
      </c>
      <c r="D87" s="3">
        <v>8</v>
      </c>
      <c r="E87" s="3">
        <v>5335.129</v>
      </c>
      <c r="F87" s="4" t="str">
        <f>HYPERLINK("http://141.218.60.56/~jnz1568/getInfo.php?workbook=26_25.xlsx&amp;sheet=A0&amp;row=87&amp;col=6&amp;number=0.26&amp;sourceID=14","0.26")</f>
        <v>0.26</v>
      </c>
      <c r="G87" s="4" t="str">
        <f>HYPERLINK("http://141.218.60.56/~jnz1568/getInfo.php?workbook=26_25.xlsx&amp;sheet=A0&amp;row=87&amp;col=7&amp;number=0&amp;sourceID=14","0")</f>
        <v>0</v>
      </c>
    </row>
    <row r="88" spans="1:7">
      <c r="A88" s="3">
        <v>26</v>
      </c>
      <c r="B88" s="3">
        <v>25</v>
      </c>
      <c r="C88" s="3">
        <v>22</v>
      </c>
      <c r="D88" s="3">
        <v>7</v>
      </c>
      <c r="E88" s="3">
        <v>5221.512</v>
      </c>
      <c r="F88" s="4" t="str">
        <f>HYPERLINK("http://141.218.60.56/~jnz1568/getInfo.php?workbook=26_25.xlsx&amp;sheet=A0&amp;row=88&amp;col=6&amp;number=0.11&amp;sourceID=14","0.11")</f>
        <v>0.11</v>
      </c>
      <c r="G88" s="4" t="str">
        <f>HYPERLINK("http://141.218.60.56/~jnz1568/getInfo.php?workbook=26_25.xlsx&amp;sheet=A0&amp;row=88&amp;col=7&amp;number=0&amp;sourceID=14","0")</f>
        <v>0</v>
      </c>
    </row>
    <row r="89" spans="1:7">
      <c r="A89" s="3">
        <v>26</v>
      </c>
      <c r="B89" s="3">
        <v>25</v>
      </c>
      <c r="C89" s="3">
        <v>22</v>
      </c>
      <c r="D89" s="3">
        <v>6</v>
      </c>
      <c r="E89" s="3">
        <v>5073.806</v>
      </c>
      <c r="F89" s="4" t="str">
        <f>HYPERLINK("http://141.218.60.56/~jnz1568/getInfo.php?workbook=26_25.xlsx&amp;sheet=A0&amp;row=89&amp;col=6&amp;number=0.022&amp;sourceID=14","0.022")</f>
        <v>0.022</v>
      </c>
      <c r="G89" s="4" t="str">
        <f>HYPERLINK("http://141.218.60.56/~jnz1568/getInfo.php?workbook=26_25.xlsx&amp;sheet=A0&amp;row=89&amp;col=7&amp;number=0&amp;sourceID=14","0")</f>
        <v>0</v>
      </c>
    </row>
    <row r="90" spans="1:7">
      <c r="A90" s="3">
        <v>26</v>
      </c>
      <c r="B90" s="3">
        <v>25</v>
      </c>
      <c r="C90" s="3">
        <v>23</v>
      </c>
      <c r="D90" s="3">
        <v>9</v>
      </c>
      <c r="E90" s="3">
        <v>5377.947</v>
      </c>
      <c r="F90" s="4" t="str">
        <f>HYPERLINK("http://141.218.60.56/~jnz1568/getInfo.php?workbook=26_25.xlsx&amp;sheet=A0&amp;row=90&amp;col=6&amp;number=0.26&amp;sourceID=14","0.26")</f>
        <v>0.26</v>
      </c>
      <c r="G90" s="4" t="str">
        <f>HYPERLINK("http://141.218.60.56/~jnz1568/getInfo.php?workbook=26_25.xlsx&amp;sheet=A0&amp;row=90&amp;col=7&amp;number=0&amp;sourceID=14","0")</f>
        <v>0</v>
      </c>
    </row>
    <row r="91" spans="1:7">
      <c r="A91" s="3">
        <v>26</v>
      </c>
      <c r="B91" s="3">
        <v>25</v>
      </c>
      <c r="C91" s="3">
        <v>23</v>
      </c>
      <c r="D91" s="3">
        <v>8</v>
      </c>
      <c r="E91" s="3">
        <v>5298.303</v>
      </c>
      <c r="F91" s="4" t="str">
        <f>HYPERLINK("http://141.218.60.56/~jnz1568/getInfo.php?workbook=26_25.xlsx&amp;sheet=A0&amp;row=91&amp;col=6&amp;number=0.091&amp;sourceID=14","0.091")</f>
        <v>0.091</v>
      </c>
      <c r="G91" s="4" t="str">
        <f>HYPERLINK("http://141.218.60.56/~jnz1568/getInfo.php?workbook=26_25.xlsx&amp;sheet=A0&amp;row=91&amp;col=7&amp;number=0&amp;sourceID=14","0")</f>
        <v>0</v>
      </c>
    </row>
    <row r="92" spans="1:7">
      <c r="A92" s="3">
        <v>26</v>
      </c>
      <c r="B92" s="3">
        <v>25</v>
      </c>
      <c r="C92" s="3">
        <v>23</v>
      </c>
      <c r="D92" s="3">
        <v>7</v>
      </c>
      <c r="E92" s="3">
        <v>5186.232</v>
      </c>
      <c r="F92" s="4" t="str">
        <f>HYPERLINK("http://141.218.60.56/~jnz1568/getInfo.php?workbook=26_25.xlsx&amp;sheet=A0&amp;row=92&amp;col=6&amp;number=0.021&amp;sourceID=14","0.021")</f>
        <v>0.021</v>
      </c>
      <c r="G92" s="4" t="str">
        <f>HYPERLINK("http://141.218.60.56/~jnz1568/getInfo.php?workbook=26_25.xlsx&amp;sheet=A0&amp;row=92&amp;col=7&amp;number=0&amp;sourceID=14","0")</f>
        <v>0</v>
      </c>
    </row>
    <row r="93" spans="1:7">
      <c r="A93" s="3">
        <v>26</v>
      </c>
      <c r="B93" s="3">
        <v>25</v>
      </c>
      <c r="C93" s="3">
        <v>24</v>
      </c>
      <c r="D93" s="3">
        <v>1</v>
      </c>
      <c r="E93" s="3">
        <v>4417.506</v>
      </c>
      <c r="F93" s="4" t="str">
        <f>HYPERLINK("http://141.218.60.56/~jnz1568/getInfo.php?workbook=26_25.xlsx&amp;sheet=A0&amp;row=93&amp;col=6&amp;number=0.46&amp;sourceID=14","0.46")</f>
        <v>0.46</v>
      </c>
      <c r="G93" s="4" t="str">
        <f>HYPERLINK("http://141.218.60.56/~jnz1568/getInfo.php?workbook=26_25.xlsx&amp;sheet=A0&amp;row=93&amp;col=7&amp;number=0&amp;sourceID=14","0")</f>
        <v>0</v>
      </c>
    </row>
    <row r="94" spans="1:7">
      <c r="A94" s="3">
        <v>26</v>
      </c>
      <c r="B94" s="3">
        <v>25</v>
      </c>
      <c r="C94" s="3">
        <v>24</v>
      </c>
      <c r="D94" s="3">
        <v>2</v>
      </c>
      <c r="E94" s="3">
        <v>4493.894</v>
      </c>
      <c r="F94" s="4" t="str">
        <f>HYPERLINK("http://141.218.60.56/~jnz1568/getInfo.php?workbook=26_25.xlsx&amp;sheet=A0&amp;row=94&amp;col=6&amp;number=0.06&amp;sourceID=14","0.06")</f>
        <v>0.06</v>
      </c>
      <c r="G94" s="4" t="str">
        <f>HYPERLINK("http://141.218.60.56/~jnz1568/getInfo.php?workbook=26_25.xlsx&amp;sheet=A0&amp;row=94&amp;col=7&amp;number=0&amp;sourceID=14","0")</f>
        <v>0</v>
      </c>
    </row>
    <row r="95" spans="1:7">
      <c r="A95" s="3">
        <v>26</v>
      </c>
      <c r="B95" s="3">
        <v>25</v>
      </c>
      <c r="C95" s="3">
        <v>24</v>
      </c>
      <c r="D95" s="3">
        <v>6</v>
      </c>
      <c r="E95" s="3">
        <v>4815.88</v>
      </c>
      <c r="F95" s="4" t="str">
        <f>HYPERLINK("http://141.218.60.56/~jnz1568/getInfo.php?workbook=26_25.xlsx&amp;sheet=A0&amp;row=95&amp;col=6&amp;number=0.4&amp;sourceID=14","0.4")</f>
        <v>0.4</v>
      </c>
      <c r="G95" s="4" t="str">
        <f>HYPERLINK("http://141.218.60.56/~jnz1568/getInfo.php?workbook=26_25.xlsx&amp;sheet=A0&amp;row=95&amp;col=7&amp;number=0&amp;sourceID=14","0")</f>
        <v>0</v>
      </c>
    </row>
    <row r="96" spans="1:7">
      <c r="A96" s="3">
        <v>26</v>
      </c>
      <c r="B96" s="3">
        <v>25</v>
      </c>
      <c r="C96" s="3">
        <v>24</v>
      </c>
      <c r="D96" s="3">
        <v>7</v>
      </c>
      <c r="E96" s="3">
        <v>4948.754</v>
      </c>
      <c r="F96" s="4" t="str">
        <f>HYPERLINK("http://141.218.60.56/~jnz1568/getInfo.php?workbook=26_25.xlsx&amp;sheet=A0&amp;row=96&amp;col=6&amp;number=0.05&amp;sourceID=14","0.05")</f>
        <v>0.05</v>
      </c>
      <c r="G96" s="4" t="str">
        <f>HYPERLINK("http://141.218.60.56/~jnz1568/getInfo.php?workbook=26_25.xlsx&amp;sheet=A0&amp;row=96&amp;col=7&amp;number=0&amp;sourceID=14","0")</f>
        <v>0</v>
      </c>
    </row>
    <row r="97" spans="1:7">
      <c r="A97" s="3">
        <v>26</v>
      </c>
      <c r="B97" s="3">
        <v>25</v>
      </c>
      <c r="C97" s="3">
        <v>24</v>
      </c>
      <c r="D97" s="3">
        <v>10</v>
      </c>
      <c r="E97" s="3">
        <v>6811.105</v>
      </c>
      <c r="F97" s="4" t="str">
        <f>HYPERLINK("http://141.218.60.56/~jnz1568/getInfo.php?workbook=26_25.xlsx&amp;sheet=A0&amp;row=97&amp;col=6&amp;number=0.025&amp;sourceID=14","0.025")</f>
        <v>0.025</v>
      </c>
      <c r="G97" s="4" t="str">
        <f>HYPERLINK("http://141.218.60.56/~jnz1568/getInfo.php?workbook=26_25.xlsx&amp;sheet=A0&amp;row=97&amp;col=7&amp;number=0&amp;sourceID=14","0")</f>
        <v>0</v>
      </c>
    </row>
    <row r="98" spans="1:7">
      <c r="A98" s="3">
        <v>26</v>
      </c>
      <c r="B98" s="3">
        <v>25</v>
      </c>
      <c r="C98" s="3">
        <v>24</v>
      </c>
      <c r="D98" s="3">
        <v>14</v>
      </c>
      <c r="E98" s="3">
        <v>10913.702</v>
      </c>
      <c r="F98" s="4" t="str">
        <f>HYPERLINK("http://141.218.60.56/~jnz1568/getInfo.php?workbook=26_25.xlsx&amp;sheet=A0&amp;row=98&amp;col=6&amp;number=0.0039&amp;sourceID=14","0.0039")</f>
        <v>0.0039</v>
      </c>
      <c r="G98" s="4" t="str">
        <f>HYPERLINK("http://141.218.60.56/~jnz1568/getInfo.php?workbook=26_25.xlsx&amp;sheet=A0&amp;row=98&amp;col=7&amp;number=0&amp;sourceID=14","0")</f>
        <v>0</v>
      </c>
    </row>
    <row r="99" spans="1:7">
      <c r="A99" s="3">
        <v>26</v>
      </c>
      <c r="B99" s="3">
        <v>25</v>
      </c>
      <c r="C99" s="3">
        <v>25</v>
      </c>
      <c r="D99" s="3">
        <v>2</v>
      </c>
      <c r="E99" s="3">
        <v>4459.196</v>
      </c>
      <c r="F99" s="4" t="str">
        <f>HYPERLINK("http://141.218.60.56/~jnz1568/getInfo.php?workbook=26_25.xlsx&amp;sheet=A0&amp;row=99&amp;col=6&amp;number=0.29&amp;sourceID=14","0.29")</f>
        <v>0.29</v>
      </c>
      <c r="G99" s="4" t="str">
        <f>HYPERLINK("http://141.218.60.56/~jnz1568/getInfo.php?workbook=26_25.xlsx&amp;sheet=A0&amp;row=99&amp;col=7&amp;number=0&amp;sourceID=14","0")</f>
        <v>0</v>
      </c>
    </row>
    <row r="100" spans="1:7">
      <c r="A100" s="3">
        <v>26</v>
      </c>
      <c r="B100" s="3">
        <v>25</v>
      </c>
      <c r="C100" s="3">
        <v>25</v>
      </c>
      <c r="D100" s="3">
        <v>1</v>
      </c>
      <c r="E100" s="3">
        <v>4383.973</v>
      </c>
      <c r="F100" s="4" t="str">
        <f>HYPERLINK("http://141.218.60.56/~jnz1568/getInfo.php?workbook=26_25.xlsx&amp;sheet=A0&amp;row=100&amp;col=6&amp;number=0.055&amp;sourceID=14","0.055")</f>
        <v>0.055</v>
      </c>
      <c r="G100" s="4" t="str">
        <f>HYPERLINK("http://141.218.60.56/~jnz1568/getInfo.php?workbook=26_25.xlsx&amp;sheet=A0&amp;row=100&amp;col=7&amp;number=0&amp;sourceID=14","0")</f>
        <v>0</v>
      </c>
    </row>
    <row r="101" spans="1:7">
      <c r="A101" s="3">
        <v>26</v>
      </c>
      <c r="B101" s="3">
        <v>25</v>
      </c>
      <c r="C101" s="3">
        <v>25</v>
      </c>
      <c r="D101" s="3">
        <v>3</v>
      </c>
      <c r="E101" s="3">
        <v>4516.166</v>
      </c>
      <c r="F101" s="4" t="str">
        <f>HYPERLINK("http://141.218.60.56/~jnz1568/getInfo.php?workbook=26_25.xlsx&amp;sheet=A0&amp;row=101&amp;col=6&amp;number=0.066&amp;sourceID=14","0.066")</f>
        <v>0.066</v>
      </c>
      <c r="G101" s="4" t="str">
        <f>HYPERLINK("http://141.218.60.56/~jnz1568/getInfo.php?workbook=26_25.xlsx&amp;sheet=A0&amp;row=101&amp;col=7&amp;number=0&amp;sourceID=14","0")</f>
        <v>0</v>
      </c>
    </row>
    <row r="102" spans="1:7">
      <c r="A102" s="3">
        <v>26</v>
      </c>
      <c r="B102" s="3">
        <v>25</v>
      </c>
      <c r="C102" s="3">
        <v>25</v>
      </c>
      <c r="D102" s="3">
        <v>7</v>
      </c>
      <c r="E102" s="3">
        <v>4906.709</v>
      </c>
      <c r="F102" s="4" t="str">
        <f>HYPERLINK("http://141.218.60.56/~jnz1568/getInfo.php?workbook=26_25.xlsx&amp;sheet=A0&amp;row=102&amp;col=6&amp;number=0.22&amp;sourceID=14","0.22")</f>
        <v>0.22</v>
      </c>
      <c r="G102" s="4" t="str">
        <f>HYPERLINK("http://141.218.60.56/~jnz1568/getInfo.php?workbook=26_25.xlsx&amp;sheet=A0&amp;row=102&amp;col=7&amp;number=0&amp;sourceID=14","0")</f>
        <v>0</v>
      </c>
    </row>
    <row r="103" spans="1:7">
      <c r="A103" s="3">
        <v>26</v>
      </c>
      <c r="B103" s="3">
        <v>25</v>
      </c>
      <c r="C103" s="3">
        <v>25</v>
      </c>
      <c r="D103" s="3">
        <v>6</v>
      </c>
      <c r="E103" s="3">
        <v>4776.053</v>
      </c>
      <c r="F103" s="4" t="str">
        <f>HYPERLINK("http://141.218.60.56/~jnz1568/getInfo.php?workbook=26_25.xlsx&amp;sheet=A0&amp;row=103&amp;col=6&amp;number=0.13&amp;sourceID=14","0.13")</f>
        <v>0.13</v>
      </c>
      <c r="G103" s="4" t="str">
        <f>HYPERLINK("http://141.218.60.56/~jnz1568/getInfo.php?workbook=26_25.xlsx&amp;sheet=A0&amp;row=103&amp;col=7&amp;number=0&amp;sourceID=14","0")</f>
        <v>0</v>
      </c>
    </row>
    <row r="104" spans="1:7">
      <c r="A104" s="3">
        <v>26</v>
      </c>
      <c r="B104" s="3">
        <v>25</v>
      </c>
      <c r="C104" s="3">
        <v>25</v>
      </c>
      <c r="D104" s="3">
        <v>8</v>
      </c>
      <c r="E104" s="3">
        <v>5006.907</v>
      </c>
      <c r="F104" s="4" t="str">
        <f>HYPERLINK("http://141.218.60.56/~jnz1568/getInfo.php?workbook=26_25.xlsx&amp;sheet=A0&amp;row=104&amp;col=6&amp;number=0.071&amp;sourceID=14","0.071")</f>
        <v>0.071</v>
      </c>
      <c r="G104" s="4" t="str">
        <f>HYPERLINK("http://141.218.60.56/~jnz1568/getInfo.php?workbook=26_25.xlsx&amp;sheet=A0&amp;row=104&amp;col=7&amp;number=0&amp;sourceID=14","0")</f>
        <v>0</v>
      </c>
    </row>
    <row r="105" spans="1:7">
      <c r="A105" s="3">
        <v>26</v>
      </c>
      <c r="B105" s="3">
        <v>25</v>
      </c>
      <c r="C105" s="3">
        <v>25</v>
      </c>
      <c r="D105" s="3">
        <v>11</v>
      </c>
      <c r="E105" s="3">
        <v>6935.573</v>
      </c>
      <c r="F105" s="4" t="str">
        <f>HYPERLINK("http://141.218.60.56/~jnz1568/getInfo.php?workbook=26_25.xlsx&amp;sheet=A0&amp;row=105&amp;col=6&amp;number=0.0017&amp;sourceID=14","0.0017")</f>
        <v>0.0017</v>
      </c>
      <c r="G105" s="4" t="str">
        <f>HYPERLINK("http://141.218.60.56/~jnz1568/getInfo.php?workbook=26_25.xlsx&amp;sheet=A0&amp;row=105&amp;col=7&amp;number=0&amp;sourceID=14","0")</f>
        <v>0</v>
      </c>
    </row>
    <row r="106" spans="1:7">
      <c r="A106" s="3">
        <v>26</v>
      </c>
      <c r="B106" s="3">
        <v>25</v>
      </c>
      <c r="C106" s="3">
        <v>25</v>
      </c>
      <c r="D106" s="3">
        <v>10</v>
      </c>
      <c r="E106" s="3">
        <v>6731.714</v>
      </c>
      <c r="F106" s="4" t="str">
        <f>HYPERLINK("http://141.218.60.56/~jnz1568/getInfo.php?workbook=26_25.xlsx&amp;sheet=A0&amp;row=106&amp;col=6&amp;number=0.017&amp;sourceID=14","0.017")</f>
        <v>0.017</v>
      </c>
      <c r="G106" s="4" t="str">
        <f>HYPERLINK("http://141.218.60.56/~jnz1568/getInfo.php?workbook=26_25.xlsx&amp;sheet=A0&amp;row=106&amp;col=7&amp;number=0&amp;sourceID=14","0")</f>
        <v>0</v>
      </c>
    </row>
    <row r="107" spans="1:7">
      <c r="A107" s="3">
        <v>26</v>
      </c>
      <c r="B107" s="3">
        <v>25</v>
      </c>
      <c r="C107" s="3">
        <v>25</v>
      </c>
      <c r="D107" s="3">
        <v>15</v>
      </c>
      <c r="E107" s="3">
        <v>10944.304</v>
      </c>
      <c r="F107" s="4" t="str">
        <f>HYPERLINK("http://141.218.60.56/~jnz1568/getInfo.php?workbook=26_25.xlsx&amp;sheet=A0&amp;row=107&amp;col=6&amp;number=0.0025&amp;sourceID=14","0.0025")</f>
        <v>0.0025</v>
      </c>
      <c r="G107" s="4" t="str">
        <f>HYPERLINK("http://141.218.60.56/~jnz1568/getInfo.php?workbook=26_25.xlsx&amp;sheet=A0&amp;row=107&amp;col=7&amp;number=0&amp;sourceID=14","0")</f>
        <v>0</v>
      </c>
    </row>
    <row r="108" spans="1:7">
      <c r="A108" s="3">
        <v>26</v>
      </c>
      <c r="B108" s="3">
        <v>25</v>
      </c>
      <c r="C108" s="3">
        <v>25</v>
      </c>
      <c r="D108" s="3">
        <v>14</v>
      </c>
      <c r="E108" s="3">
        <v>10711.287</v>
      </c>
      <c r="F108" s="4" t="str">
        <f>HYPERLINK("http://141.218.60.56/~jnz1568/getInfo.php?workbook=26_25.xlsx&amp;sheet=A0&amp;row=108&amp;col=6&amp;number=0.0016&amp;sourceID=14","0.0016")</f>
        <v>0.0016</v>
      </c>
      <c r="G108" s="4" t="str">
        <f>HYPERLINK("http://141.218.60.56/~jnz1568/getInfo.php?workbook=26_25.xlsx&amp;sheet=A0&amp;row=108&amp;col=7&amp;number=0&amp;sourceID=14","0")</f>
        <v>0</v>
      </c>
    </row>
    <row r="109" spans="1:7">
      <c r="A109" s="3">
        <v>26</v>
      </c>
      <c r="B109" s="3">
        <v>25</v>
      </c>
      <c r="C109" s="3">
        <v>26</v>
      </c>
      <c r="D109" s="3">
        <v>3</v>
      </c>
      <c r="E109" s="3">
        <v>4490.008</v>
      </c>
      <c r="F109" s="4" t="str">
        <f>HYPERLINK("http://141.218.60.56/~jnz1568/getInfo.php?workbook=26_25.xlsx&amp;sheet=A0&amp;row=109&amp;col=6&amp;number=0.15&amp;sourceID=14","0.15")</f>
        <v>0.15</v>
      </c>
      <c r="G109" s="4" t="str">
        <f>HYPERLINK("http://141.218.60.56/~jnz1568/getInfo.php?workbook=26_25.xlsx&amp;sheet=A0&amp;row=109&amp;col=7&amp;number=0&amp;sourceID=14","0")</f>
        <v>0</v>
      </c>
    </row>
    <row r="110" spans="1:7">
      <c r="A110" s="3">
        <v>26</v>
      </c>
      <c r="B110" s="3">
        <v>25</v>
      </c>
      <c r="C110" s="3">
        <v>26</v>
      </c>
      <c r="D110" s="3">
        <v>2</v>
      </c>
      <c r="E110" s="3">
        <v>4433.692</v>
      </c>
      <c r="F110" s="4" t="str">
        <f>HYPERLINK("http://141.218.60.56/~jnz1568/getInfo.php?workbook=26_25.xlsx&amp;sheet=A0&amp;row=110&amp;col=6&amp;number=0.054&amp;sourceID=14","0.054")</f>
        <v>0.054</v>
      </c>
      <c r="G110" s="4" t="str">
        <f>HYPERLINK("http://141.218.60.56/~jnz1568/getInfo.php?workbook=26_25.xlsx&amp;sheet=A0&amp;row=110&amp;col=7&amp;number=0&amp;sourceID=14","0")</f>
        <v>0</v>
      </c>
    </row>
    <row r="111" spans="1:7">
      <c r="A111" s="3">
        <v>26</v>
      </c>
      <c r="B111" s="3">
        <v>25</v>
      </c>
      <c r="C111" s="3">
        <v>26</v>
      </c>
      <c r="D111" s="3">
        <v>4</v>
      </c>
      <c r="E111" s="3">
        <v>4529.653</v>
      </c>
      <c r="F111" s="4" t="str">
        <f>HYPERLINK("http://141.218.60.56/~jnz1568/getInfo.php?workbook=26_25.xlsx&amp;sheet=A0&amp;row=111&amp;col=6&amp;number=0.046&amp;sourceID=14","0.046")</f>
        <v>0.046</v>
      </c>
      <c r="G111" s="4" t="str">
        <f>HYPERLINK("http://141.218.60.56/~jnz1568/getInfo.php?workbook=26_25.xlsx&amp;sheet=A0&amp;row=111&amp;col=7&amp;number=0&amp;sourceID=14","0")</f>
        <v>0</v>
      </c>
    </row>
    <row r="112" spans="1:7">
      <c r="A112" s="3">
        <v>26</v>
      </c>
      <c r="B112" s="3">
        <v>25</v>
      </c>
      <c r="C112" s="3">
        <v>26</v>
      </c>
      <c r="D112" s="3">
        <v>8</v>
      </c>
      <c r="E112" s="3">
        <v>4974.776</v>
      </c>
      <c r="F112" s="4" t="str">
        <f>HYPERLINK("http://141.218.60.56/~jnz1568/getInfo.php?workbook=26_25.xlsx&amp;sheet=A0&amp;row=112&amp;col=6&amp;number=0.14&amp;sourceID=14","0.14")</f>
        <v>0.14</v>
      </c>
      <c r="G112" s="4" t="str">
        <f>HYPERLINK("http://141.218.60.56/~jnz1568/getInfo.php?workbook=26_25.xlsx&amp;sheet=A0&amp;row=112&amp;col=7&amp;number=0&amp;sourceID=14","0")</f>
        <v>0</v>
      </c>
    </row>
    <row r="113" spans="1:7">
      <c r="A113" s="3">
        <v>26</v>
      </c>
      <c r="B113" s="3">
        <v>25</v>
      </c>
      <c r="C113" s="3">
        <v>26</v>
      </c>
      <c r="D113" s="3">
        <v>7</v>
      </c>
      <c r="E113" s="3">
        <v>4875.846</v>
      </c>
      <c r="F113" s="4" t="str">
        <f>HYPERLINK("http://141.218.60.56/~jnz1568/getInfo.php?workbook=26_25.xlsx&amp;sheet=A0&amp;row=113&amp;col=6&amp;number=0.17&amp;sourceID=14","0.17")</f>
        <v>0.17</v>
      </c>
      <c r="G113" s="4" t="str">
        <f>HYPERLINK("http://141.218.60.56/~jnz1568/getInfo.php?workbook=26_25.xlsx&amp;sheet=A0&amp;row=113&amp;col=7&amp;number=0&amp;sourceID=14","0")</f>
        <v>0</v>
      </c>
    </row>
    <row r="114" spans="1:7">
      <c r="A114" s="3">
        <v>26</v>
      </c>
      <c r="B114" s="3">
        <v>25</v>
      </c>
      <c r="C114" s="3">
        <v>26</v>
      </c>
      <c r="D114" s="3">
        <v>9</v>
      </c>
      <c r="E114" s="3">
        <v>5044.926</v>
      </c>
      <c r="F114" s="4" t="str">
        <f>HYPERLINK("http://141.218.60.56/~jnz1568/getInfo.php?workbook=26_25.xlsx&amp;sheet=A0&amp;row=114&amp;col=6&amp;number=0.065&amp;sourceID=14","0.065")</f>
        <v>0.065</v>
      </c>
      <c r="G114" s="4" t="str">
        <f>HYPERLINK("http://141.218.60.56/~jnz1568/getInfo.php?workbook=26_25.xlsx&amp;sheet=A0&amp;row=114&amp;col=7&amp;number=0&amp;sourceID=14","0")</f>
        <v>0</v>
      </c>
    </row>
    <row r="115" spans="1:7">
      <c r="A115" s="3">
        <v>26</v>
      </c>
      <c r="B115" s="3">
        <v>25</v>
      </c>
      <c r="C115" s="3">
        <v>26</v>
      </c>
      <c r="D115" s="3">
        <v>6</v>
      </c>
      <c r="E115" s="3">
        <v>4746.807</v>
      </c>
      <c r="F115" s="4" t="str">
        <f>HYPERLINK("http://141.218.60.56/~jnz1568/getInfo.php?workbook=26_25.xlsx&amp;sheet=A0&amp;row=115&amp;col=6&amp;number=0.013&amp;sourceID=14","0.013")</f>
        <v>0.013</v>
      </c>
      <c r="G115" s="4" t="str">
        <f>HYPERLINK("http://141.218.60.56/~jnz1568/getInfo.php?workbook=26_25.xlsx&amp;sheet=A0&amp;row=115&amp;col=7&amp;number=0&amp;sourceID=14","0")</f>
        <v>0</v>
      </c>
    </row>
    <row r="116" spans="1:7">
      <c r="A116" s="3">
        <v>26</v>
      </c>
      <c r="B116" s="3">
        <v>25</v>
      </c>
      <c r="C116" s="3">
        <v>26</v>
      </c>
      <c r="D116" s="3">
        <v>12</v>
      </c>
      <c r="E116" s="3">
        <v>7013.162</v>
      </c>
      <c r="F116" s="4" t="str">
        <f>HYPERLINK("http://141.218.60.56/~jnz1568/getInfo.php?workbook=26_25.xlsx&amp;sheet=A0&amp;row=116&amp;col=6&amp;number=0.0017&amp;sourceID=14","0.0017")</f>
        <v>0.0017</v>
      </c>
      <c r="G116" s="4" t="str">
        <f>HYPERLINK("http://141.218.60.56/~jnz1568/getInfo.php?workbook=26_25.xlsx&amp;sheet=A0&amp;row=116&amp;col=7&amp;number=0&amp;sourceID=14","0")</f>
        <v>0</v>
      </c>
    </row>
    <row r="117" spans="1:7">
      <c r="A117" s="3">
        <v>26</v>
      </c>
      <c r="B117" s="3">
        <v>25</v>
      </c>
      <c r="C117" s="3">
        <v>26</v>
      </c>
      <c r="D117" s="3">
        <v>11</v>
      </c>
      <c r="E117" s="3">
        <v>6874.072</v>
      </c>
      <c r="F117" s="4" t="str">
        <f>HYPERLINK("http://141.218.60.56/~jnz1568/getInfo.php?workbook=26_25.xlsx&amp;sheet=A0&amp;row=117&amp;col=6&amp;number=0.022&amp;sourceID=14","0.022")</f>
        <v>0.022</v>
      </c>
      <c r="G117" s="4" t="str">
        <f>HYPERLINK("http://141.218.60.56/~jnz1568/getInfo.php?workbook=26_25.xlsx&amp;sheet=A0&amp;row=117&amp;col=7&amp;number=0&amp;sourceID=14","0")</f>
        <v>0</v>
      </c>
    </row>
    <row r="118" spans="1:7">
      <c r="A118" s="3">
        <v>26</v>
      </c>
      <c r="B118" s="3">
        <v>25</v>
      </c>
      <c r="C118" s="3">
        <v>26</v>
      </c>
      <c r="D118" s="3">
        <v>10</v>
      </c>
      <c r="E118" s="3">
        <v>6673.759</v>
      </c>
      <c r="F118" s="4" t="str">
        <f>HYPERLINK("http://141.218.60.56/~jnz1568/getInfo.php?workbook=26_25.xlsx&amp;sheet=A0&amp;row=118&amp;col=6&amp;number=0.0044&amp;sourceID=14","0.0044")</f>
        <v>0.0044</v>
      </c>
      <c r="G118" s="4" t="str">
        <f>HYPERLINK("http://141.218.60.56/~jnz1568/getInfo.php?workbook=26_25.xlsx&amp;sheet=A0&amp;row=118&amp;col=7&amp;number=0&amp;sourceID=14","0")</f>
        <v>0</v>
      </c>
    </row>
    <row r="119" spans="1:7">
      <c r="A119" s="3">
        <v>26</v>
      </c>
      <c r="B119" s="3">
        <v>25</v>
      </c>
      <c r="C119" s="3">
        <v>26</v>
      </c>
      <c r="D119" s="3">
        <v>16</v>
      </c>
      <c r="E119" s="3">
        <v>11068.64</v>
      </c>
      <c r="F119" s="4" t="str">
        <f>HYPERLINK("http://141.218.60.56/~jnz1568/getInfo.php?workbook=26_25.xlsx&amp;sheet=A0&amp;row=119&amp;col=6&amp;number=0.0013&amp;sourceID=14","0.0013")</f>
        <v>0.0013</v>
      </c>
      <c r="G119" s="4" t="str">
        <f>HYPERLINK("http://141.218.60.56/~jnz1568/getInfo.php?workbook=26_25.xlsx&amp;sheet=A0&amp;row=119&amp;col=7&amp;number=0&amp;sourceID=14","0")</f>
        <v>0</v>
      </c>
    </row>
    <row r="120" spans="1:7">
      <c r="A120" s="3">
        <v>26</v>
      </c>
      <c r="B120" s="3">
        <v>25</v>
      </c>
      <c r="C120" s="3">
        <v>26</v>
      </c>
      <c r="D120" s="3">
        <v>15</v>
      </c>
      <c r="E120" s="3">
        <v>10791.942</v>
      </c>
      <c r="F120" s="4" t="str">
        <f>HYPERLINK("http://141.218.60.56/~jnz1568/getInfo.php?workbook=26_25.xlsx&amp;sheet=A0&amp;row=120&amp;col=6&amp;number=0.0025&amp;sourceID=14","0.0025")</f>
        <v>0.0025</v>
      </c>
      <c r="G120" s="4" t="str">
        <f>HYPERLINK("http://141.218.60.56/~jnz1568/getInfo.php?workbook=26_25.xlsx&amp;sheet=A0&amp;row=120&amp;col=7&amp;number=0&amp;sourceID=14","0")</f>
        <v>0</v>
      </c>
    </row>
    <row r="121" spans="1:7">
      <c r="A121" s="3">
        <v>26</v>
      </c>
      <c r="B121" s="3">
        <v>25</v>
      </c>
      <c r="C121" s="3">
        <v>27</v>
      </c>
      <c r="D121" s="3">
        <v>4</v>
      </c>
      <c r="E121" s="3">
        <v>4510.867</v>
      </c>
      <c r="F121" s="4" t="str">
        <f>HYPERLINK("http://141.218.60.56/~jnz1568/getInfo.php?workbook=26_25.xlsx&amp;sheet=A0&amp;row=121&amp;col=6&amp;number=0.058&amp;sourceID=14","0.058")</f>
        <v>0.058</v>
      </c>
      <c r="G121" s="4" t="str">
        <f>HYPERLINK("http://141.218.60.56/~jnz1568/getInfo.php?workbook=26_25.xlsx&amp;sheet=A0&amp;row=121&amp;col=7&amp;number=0&amp;sourceID=14","0")</f>
        <v>0</v>
      </c>
    </row>
    <row r="122" spans="1:7">
      <c r="A122" s="3">
        <v>26</v>
      </c>
      <c r="B122" s="3">
        <v>25</v>
      </c>
      <c r="C122" s="3">
        <v>27</v>
      </c>
      <c r="D122" s="3">
        <v>3</v>
      </c>
      <c r="E122" s="3">
        <v>4471.549</v>
      </c>
      <c r="F122" s="4" t="str">
        <f>HYPERLINK("http://141.218.60.56/~jnz1568/getInfo.php?workbook=26_25.xlsx&amp;sheet=A0&amp;row=122&amp;col=6&amp;number=0.029&amp;sourceID=14","0.029")</f>
        <v>0.029</v>
      </c>
      <c r="G122" s="4" t="str">
        <f>HYPERLINK("http://141.218.60.56/~jnz1568/getInfo.php?workbook=26_25.xlsx&amp;sheet=A0&amp;row=122&amp;col=7&amp;number=0&amp;sourceID=14","0")</f>
        <v>0</v>
      </c>
    </row>
    <row r="123" spans="1:7">
      <c r="A123" s="3">
        <v>26</v>
      </c>
      <c r="B123" s="3">
        <v>25</v>
      </c>
      <c r="C123" s="3">
        <v>27</v>
      </c>
      <c r="D123" s="3">
        <v>5</v>
      </c>
      <c r="E123" s="3">
        <v>4534.274</v>
      </c>
      <c r="F123" s="4" t="str">
        <f>HYPERLINK("http://141.218.60.56/~jnz1568/getInfo.php?workbook=26_25.xlsx&amp;sheet=A0&amp;row=123&amp;col=6&amp;number=0.016&amp;sourceID=14","0.016")</f>
        <v>0.016</v>
      </c>
      <c r="G123" s="4" t="str">
        <f>HYPERLINK("http://141.218.60.56/~jnz1568/getInfo.php?workbook=26_25.xlsx&amp;sheet=A0&amp;row=123&amp;col=7&amp;number=0&amp;sourceID=14","0")</f>
        <v>0</v>
      </c>
    </row>
    <row r="124" spans="1:7">
      <c r="A124" s="3">
        <v>26</v>
      </c>
      <c r="B124" s="3">
        <v>25</v>
      </c>
      <c r="C124" s="3">
        <v>27</v>
      </c>
      <c r="D124" s="3">
        <v>9</v>
      </c>
      <c r="E124" s="3">
        <v>5021.633</v>
      </c>
      <c r="F124" s="4" t="str">
        <f>HYPERLINK("http://141.218.60.56/~jnz1568/getInfo.php?workbook=26_25.xlsx&amp;sheet=A0&amp;row=124&amp;col=6&amp;number=0.18&amp;sourceID=14","0.18")</f>
        <v>0.18</v>
      </c>
      <c r="G124" s="4" t="str">
        <f>HYPERLINK("http://141.218.60.56/~jnz1568/getInfo.php?workbook=26_25.xlsx&amp;sheet=A0&amp;row=124&amp;col=7&amp;number=0&amp;sourceID=14","0")</f>
        <v>0</v>
      </c>
    </row>
    <row r="125" spans="1:7">
      <c r="A125" s="3">
        <v>26</v>
      </c>
      <c r="B125" s="3">
        <v>25</v>
      </c>
      <c r="C125" s="3">
        <v>27</v>
      </c>
      <c r="D125" s="3">
        <v>8</v>
      </c>
      <c r="E125" s="3">
        <v>4952.125</v>
      </c>
      <c r="F125" s="4" t="str">
        <f>HYPERLINK("http://141.218.60.56/~jnz1568/getInfo.php?workbook=26_25.xlsx&amp;sheet=A0&amp;row=125&amp;col=6&amp;number=0.17&amp;sourceID=14","0.17")</f>
        <v>0.17</v>
      </c>
      <c r="G125" s="4" t="str">
        <f>HYPERLINK("http://141.218.60.56/~jnz1568/getInfo.php?workbook=26_25.xlsx&amp;sheet=A0&amp;row=125&amp;col=7&amp;number=0&amp;sourceID=14","0")</f>
        <v>0</v>
      </c>
    </row>
    <row r="126" spans="1:7">
      <c r="A126" s="3">
        <v>26</v>
      </c>
      <c r="B126" s="3">
        <v>25</v>
      </c>
      <c r="C126" s="3">
        <v>27</v>
      </c>
      <c r="D126" s="3">
        <v>7</v>
      </c>
      <c r="E126" s="3">
        <v>4854.085</v>
      </c>
      <c r="F126" s="4" t="str">
        <f>HYPERLINK("http://141.218.60.56/~jnz1568/getInfo.php?workbook=26_25.xlsx&amp;sheet=A0&amp;row=126&amp;col=6&amp;number=0.022&amp;sourceID=14","0.022")</f>
        <v>0.022</v>
      </c>
      <c r="G126" s="4" t="str">
        <f>HYPERLINK("http://141.218.60.56/~jnz1568/getInfo.php?workbook=26_25.xlsx&amp;sheet=A0&amp;row=126&amp;col=7&amp;number=0&amp;sourceID=14","0")</f>
        <v>0</v>
      </c>
    </row>
    <row r="127" spans="1:7">
      <c r="A127" s="3">
        <v>26</v>
      </c>
      <c r="B127" s="3">
        <v>25</v>
      </c>
      <c r="C127" s="3">
        <v>27</v>
      </c>
      <c r="D127" s="3">
        <v>13</v>
      </c>
      <c r="E127" s="3">
        <v>7049.932</v>
      </c>
      <c r="F127" s="4" t="str">
        <f>HYPERLINK("http://141.218.60.56/~jnz1568/getInfo.php?workbook=26_25.xlsx&amp;sheet=A0&amp;row=127&amp;col=6&amp;number=0.016&amp;sourceID=14","0.016")</f>
        <v>0.016</v>
      </c>
      <c r="G127" s="4" t="str">
        <f>HYPERLINK("http://141.218.60.56/~jnz1568/getInfo.php?workbook=26_25.xlsx&amp;sheet=A0&amp;row=127&amp;col=7&amp;number=0&amp;sourceID=14","0")</f>
        <v>0</v>
      </c>
    </row>
    <row r="128" spans="1:7">
      <c r="A128" s="3">
        <v>26</v>
      </c>
      <c r="B128" s="3">
        <v>25</v>
      </c>
      <c r="C128" s="3">
        <v>27</v>
      </c>
      <c r="D128" s="3">
        <v>12</v>
      </c>
      <c r="E128" s="3">
        <v>6968.23</v>
      </c>
      <c r="F128" s="4" t="str">
        <f>HYPERLINK("http://141.218.60.56/~jnz1568/getInfo.php?workbook=26_25.xlsx&amp;sheet=A0&amp;row=128&amp;col=6&amp;number=0.026&amp;sourceID=14","0.026")</f>
        <v>0.026</v>
      </c>
      <c r="G128" s="4" t="str">
        <f>HYPERLINK("http://141.218.60.56/~jnz1568/getInfo.php?workbook=26_25.xlsx&amp;sheet=A0&amp;row=128&amp;col=7&amp;number=0&amp;sourceID=14","0")</f>
        <v>0</v>
      </c>
    </row>
    <row r="129" spans="1:7">
      <c r="A129" s="3">
        <v>26</v>
      </c>
      <c r="B129" s="3">
        <v>25</v>
      </c>
      <c r="C129" s="3">
        <v>27</v>
      </c>
      <c r="D129" s="3">
        <v>11</v>
      </c>
      <c r="E129" s="3">
        <v>6830.899</v>
      </c>
      <c r="F129" s="4" t="str">
        <f>HYPERLINK("http://141.218.60.56/~jnz1568/getInfo.php?workbook=26_25.xlsx&amp;sheet=A0&amp;row=129&amp;col=6&amp;number=0.006&amp;sourceID=14","0.006")</f>
        <v>0.006</v>
      </c>
      <c r="G129" s="4" t="str">
        <f>HYPERLINK("http://141.218.60.56/~jnz1568/getInfo.php?workbook=26_25.xlsx&amp;sheet=A0&amp;row=129&amp;col=7&amp;number=0&amp;sourceID=14","0")</f>
        <v>0</v>
      </c>
    </row>
    <row r="130" spans="1:7">
      <c r="A130" s="3">
        <v>26</v>
      </c>
      <c r="B130" s="3">
        <v>25</v>
      </c>
      <c r="C130" s="3">
        <v>27</v>
      </c>
      <c r="D130" s="3">
        <v>16</v>
      </c>
      <c r="E130" s="3">
        <v>10957.131</v>
      </c>
      <c r="F130" s="4" t="str">
        <f>HYPERLINK("http://141.218.60.56/~jnz1568/getInfo.php?workbook=26_25.xlsx&amp;sheet=A0&amp;row=130&amp;col=6&amp;number=0.0031&amp;sourceID=14","0.0031")</f>
        <v>0.0031</v>
      </c>
      <c r="G130" s="4" t="str">
        <f>HYPERLINK("http://141.218.60.56/~jnz1568/getInfo.php?workbook=26_25.xlsx&amp;sheet=A0&amp;row=130&amp;col=7&amp;number=0&amp;sourceID=14","0")</f>
        <v>0</v>
      </c>
    </row>
    <row r="131" spans="1:7">
      <c r="A131" s="3">
        <v>26</v>
      </c>
      <c r="B131" s="3">
        <v>25</v>
      </c>
      <c r="C131" s="3">
        <v>27</v>
      </c>
      <c r="D131" s="3">
        <v>15</v>
      </c>
      <c r="E131" s="3">
        <v>10685.911</v>
      </c>
      <c r="F131" s="4" t="str">
        <f>HYPERLINK("http://141.218.60.56/~jnz1568/getInfo.php?workbook=26_25.xlsx&amp;sheet=A0&amp;row=131&amp;col=6&amp;number=0.0013&amp;sourceID=14","0.0013")</f>
        <v>0.0013</v>
      </c>
      <c r="G131" s="4" t="str">
        <f>HYPERLINK("http://141.218.60.56/~jnz1568/getInfo.php?workbook=26_25.xlsx&amp;sheet=A0&amp;row=131&amp;col=7&amp;number=0&amp;sourceID=14","0")</f>
        <v>0</v>
      </c>
    </row>
    <row r="132" spans="1:7">
      <c r="A132" s="3">
        <v>26</v>
      </c>
      <c r="B132" s="3">
        <v>25</v>
      </c>
      <c r="C132" s="3">
        <v>28</v>
      </c>
      <c r="D132" s="3">
        <v>7</v>
      </c>
      <c r="E132" s="3">
        <v>4348.075</v>
      </c>
      <c r="F132" s="4" t="str">
        <f>HYPERLINK("http://141.218.60.56/~jnz1568/getInfo.php?workbook=26_25.xlsx&amp;sheet=A0&amp;row=132&amp;col=6&amp;number=0.21&amp;sourceID=14","0.21")</f>
        <v>0.21</v>
      </c>
      <c r="G132" s="4" t="str">
        <f>HYPERLINK("http://141.218.60.56/~jnz1568/getInfo.php?workbook=26_25.xlsx&amp;sheet=A0&amp;row=132&amp;col=7&amp;number=0&amp;sourceID=14","0")</f>
        <v>0</v>
      </c>
    </row>
    <row r="133" spans="1:7">
      <c r="A133" s="3">
        <v>26</v>
      </c>
      <c r="B133" s="3">
        <v>25</v>
      </c>
      <c r="C133" s="3">
        <v>28</v>
      </c>
      <c r="D133" s="3">
        <v>6</v>
      </c>
      <c r="E133" s="3">
        <v>4245.164</v>
      </c>
      <c r="F133" s="4" t="str">
        <f>HYPERLINK("http://141.218.60.56/~jnz1568/getInfo.php?workbook=26_25.xlsx&amp;sheet=A0&amp;row=133&amp;col=6&amp;number=0.9&amp;sourceID=14","0.9")</f>
        <v>0.9</v>
      </c>
      <c r="G133" s="4" t="str">
        <f>HYPERLINK("http://141.218.60.56/~jnz1568/getInfo.php?workbook=26_25.xlsx&amp;sheet=A0&amp;row=133&amp;col=7&amp;number=0&amp;sourceID=14","0")</f>
        <v>0</v>
      </c>
    </row>
    <row r="134" spans="1:7">
      <c r="A134" s="3">
        <v>26</v>
      </c>
      <c r="B134" s="3">
        <v>25</v>
      </c>
      <c r="C134" s="3">
        <v>29</v>
      </c>
      <c r="D134" s="3">
        <v>8</v>
      </c>
      <c r="E134" s="3">
        <v>4354.001</v>
      </c>
      <c r="F134" s="4" t="str">
        <f>HYPERLINK("http://141.218.60.56/~jnz1568/getInfo.php?workbook=26_25.xlsx&amp;sheet=A0&amp;row=134&amp;col=6&amp;number=0.31&amp;sourceID=14","0.31")</f>
        <v>0.31</v>
      </c>
      <c r="G134" s="4" t="str">
        <f>HYPERLINK("http://141.218.60.56/~jnz1568/getInfo.php?workbook=26_25.xlsx&amp;sheet=A0&amp;row=134&amp;col=7&amp;number=0&amp;sourceID=14","0")</f>
        <v>0</v>
      </c>
    </row>
    <row r="135" spans="1:7">
      <c r="A135" s="3">
        <v>26</v>
      </c>
      <c r="B135" s="3">
        <v>25</v>
      </c>
      <c r="C135" s="3">
        <v>29</v>
      </c>
      <c r="D135" s="3">
        <v>7</v>
      </c>
      <c r="E135" s="3">
        <v>4278.033</v>
      </c>
      <c r="F135" s="4" t="str">
        <f>HYPERLINK("http://141.218.60.56/~jnz1568/getInfo.php?workbook=26_25.xlsx&amp;sheet=A0&amp;row=135&amp;col=6&amp;number=0.65&amp;sourceID=14","0.65")</f>
        <v>0.65</v>
      </c>
      <c r="G135" s="4" t="str">
        <f>HYPERLINK("http://141.218.60.56/~jnz1568/getInfo.php?workbook=26_25.xlsx&amp;sheet=A0&amp;row=135&amp;col=7&amp;number=0&amp;sourceID=14","0")</f>
        <v>0</v>
      </c>
    </row>
    <row r="136" spans="1:7">
      <c r="A136" s="3">
        <v>26</v>
      </c>
      <c r="B136" s="3">
        <v>25</v>
      </c>
      <c r="C136" s="3">
        <v>29</v>
      </c>
      <c r="D136" s="3">
        <v>6</v>
      </c>
      <c r="E136" s="3">
        <v>4178.373</v>
      </c>
      <c r="F136" s="4" t="str">
        <f>HYPERLINK("http://141.218.60.56/~jnz1568/getInfo.php?workbook=26_25.xlsx&amp;sheet=A0&amp;row=136&amp;col=6&amp;number=0.14&amp;sourceID=14","0.14")</f>
        <v>0.14</v>
      </c>
      <c r="G136" s="4" t="str">
        <f>HYPERLINK("http://141.218.60.56/~jnz1568/getInfo.php?workbook=26_25.xlsx&amp;sheet=A0&amp;row=136&amp;col=7&amp;number=0&amp;sourceID=14","0")</f>
        <v>0</v>
      </c>
    </row>
    <row r="137" spans="1:7">
      <c r="A137" s="3">
        <v>26</v>
      </c>
      <c r="B137" s="3">
        <v>25</v>
      </c>
      <c r="C137" s="3">
        <v>30</v>
      </c>
      <c r="D137" s="3">
        <v>9</v>
      </c>
      <c r="E137" s="3">
        <v>4373.656</v>
      </c>
      <c r="F137" s="4" t="str">
        <f>HYPERLINK("http://141.218.60.56/~jnz1568/getInfo.php?workbook=26_25.xlsx&amp;sheet=A0&amp;row=137&amp;col=6&amp;number=0.28&amp;sourceID=14","0.28")</f>
        <v>0.28</v>
      </c>
      <c r="G137" s="4" t="str">
        <f>HYPERLINK("http://141.218.60.56/~jnz1568/getInfo.php?workbook=26_25.xlsx&amp;sheet=A0&amp;row=137&amp;col=7&amp;number=0&amp;sourceID=14","0")</f>
        <v>0</v>
      </c>
    </row>
    <row r="138" spans="1:7">
      <c r="A138" s="3">
        <v>26</v>
      </c>
      <c r="B138" s="3">
        <v>25</v>
      </c>
      <c r="C138" s="3">
        <v>30</v>
      </c>
      <c r="D138" s="3">
        <v>8</v>
      </c>
      <c r="E138" s="3">
        <v>4320.834</v>
      </c>
      <c r="F138" s="4" t="str">
        <f>HYPERLINK("http://141.218.60.56/~jnz1568/getInfo.php?workbook=26_25.xlsx&amp;sheet=A0&amp;row=138&amp;col=6&amp;number=0.53&amp;sourceID=14","0.53")</f>
        <v>0.53</v>
      </c>
      <c r="G138" s="4" t="str">
        <f>HYPERLINK("http://141.218.60.56/~jnz1568/getInfo.php?workbook=26_25.xlsx&amp;sheet=A0&amp;row=138&amp;col=7&amp;number=0&amp;sourceID=14","0")</f>
        <v>0</v>
      </c>
    </row>
    <row r="139" spans="1:7">
      <c r="A139" s="3">
        <v>26</v>
      </c>
      <c r="B139" s="3">
        <v>25</v>
      </c>
      <c r="C139" s="3">
        <v>30</v>
      </c>
      <c r="D139" s="3">
        <v>7</v>
      </c>
      <c r="E139" s="3">
        <v>4246.008</v>
      </c>
      <c r="F139" s="4" t="str">
        <f>HYPERLINK("http://141.218.60.56/~jnz1568/getInfo.php?workbook=26_25.xlsx&amp;sheet=A0&amp;row=139&amp;col=6&amp;number=0.25&amp;sourceID=14","0.25")</f>
        <v>0.25</v>
      </c>
      <c r="G139" s="4" t="str">
        <f>HYPERLINK("http://141.218.60.56/~jnz1568/getInfo.php?workbook=26_25.xlsx&amp;sheet=A0&amp;row=139&amp;col=7&amp;number=0&amp;sourceID=14","0")</f>
        <v>0</v>
      </c>
    </row>
    <row r="140" spans="1:7">
      <c r="A140" s="3">
        <v>26</v>
      </c>
      <c r="B140" s="3">
        <v>25</v>
      </c>
      <c r="C140" s="3">
        <v>31</v>
      </c>
      <c r="D140" s="3">
        <v>9</v>
      </c>
      <c r="E140" s="3">
        <v>4359.585</v>
      </c>
      <c r="F140" s="4" t="str">
        <f>HYPERLINK("http://141.218.60.56/~jnz1568/getInfo.php?workbook=26_25.xlsx&amp;sheet=A0&amp;row=140&amp;col=6&amp;number=0.73&amp;sourceID=14","0.73")</f>
        <v>0.73</v>
      </c>
      <c r="G140" s="4" t="str">
        <f>HYPERLINK("http://141.218.60.56/~jnz1568/getInfo.php?workbook=26_25.xlsx&amp;sheet=A0&amp;row=140&amp;col=7&amp;number=0&amp;sourceID=14","0")</f>
        <v>0</v>
      </c>
    </row>
    <row r="141" spans="1:7">
      <c r="A141" s="3">
        <v>26</v>
      </c>
      <c r="B141" s="3">
        <v>25</v>
      </c>
      <c r="C141" s="3">
        <v>31</v>
      </c>
      <c r="D141" s="3">
        <v>8</v>
      </c>
      <c r="E141" s="3">
        <v>4307.101</v>
      </c>
      <c r="F141" s="4" t="str">
        <f>HYPERLINK("http://141.218.60.56/~jnz1568/getInfo.php?workbook=26_25.xlsx&amp;sheet=A0&amp;row=141&amp;col=6&amp;number=0.31&amp;sourceID=14","0.31")</f>
        <v>0.31</v>
      </c>
      <c r="G141" s="4" t="str">
        <f>HYPERLINK("http://141.218.60.56/~jnz1568/getInfo.php?workbook=26_25.xlsx&amp;sheet=A0&amp;row=141&amp;col=7&amp;number=0&amp;sourceID=14","0")</f>
        <v>0</v>
      </c>
    </row>
    <row r="142" spans="1:7">
      <c r="A142" s="3">
        <v>26</v>
      </c>
      <c r="B142" s="3">
        <v>25</v>
      </c>
      <c r="C142" s="3">
        <v>31</v>
      </c>
      <c r="D142" s="3">
        <v>7</v>
      </c>
      <c r="E142" s="3">
        <v>4232.746</v>
      </c>
      <c r="F142" s="4" t="str">
        <f>HYPERLINK("http://141.218.60.56/~jnz1568/getInfo.php?workbook=26_25.xlsx&amp;sheet=A0&amp;row=142&amp;col=6&amp;number=0.024&amp;sourceID=14","0.024")</f>
        <v>0.024</v>
      </c>
      <c r="G142" s="4" t="str">
        <f>HYPERLINK("http://141.218.60.56/~jnz1568/getInfo.php?workbook=26_25.xlsx&amp;sheet=A0&amp;row=142&amp;col=7&amp;number=0&amp;sourceID=14","0")</f>
        <v>0</v>
      </c>
    </row>
    <row r="143" spans="1:7">
      <c r="A143" s="3">
        <v>26</v>
      </c>
      <c r="B143" s="3">
        <v>25</v>
      </c>
      <c r="C143" s="3">
        <v>32</v>
      </c>
      <c r="D143" s="3">
        <v>1</v>
      </c>
      <c r="E143" s="3">
        <v>3176.3</v>
      </c>
      <c r="F143" s="4" t="str">
        <f>HYPERLINK("http://141.218.60.56/~jnz1568/getInfo.php?workbook=26_25.xlsx&amp;sheet=A0&amp;row=143&amp;col=6&amp;number=0.22&amp;sourceID=14","0.22")</f>
        <v>0.22</v>
      </c>
      <c r="G143" s="4" t="str">
        <f>HYPERLINK("http://141.218.60.56/~jnz1568/getInfo.php?workbook=26_25.xlsx&amp;sheet=A0&amp;row=143&amp;col=7&amp;number=0&amp;sourceID=14","0")</f>
        <v>0</v>
      </c>
    </row>
    <row r="144" spans="1:7">
      <c r="A144" s="3">
        <v>26</v>
      </c>
      <c r="B144" s="3">
        <v>25</v>
      </c>
      <c r="C144" s="3">
        <v>32</v>
      </c>
      <c r="D144" s="3">
        <v>2</v>
      </c>
      <c r="E144" s="3">
        <v>3215.601</v>
      </c>
      <c r="F144" s="4" t="str">
        <f>HYPERLINK("http://141.218.60.56/~jnz1568/getInfo.php?workbook=26_25.xlsx&amp;sheet=A0&amp;row=144&amp;col=6&amp;number=0.069&amp;sourceID=14","0.069")</f>
        <v>0.069</v>
      </c>
      <c r="G144" s="4" t="str">
        <f>HYPERLINK("http://141.218.60.56/~jnz1568/getInfo.php?workbook=26_25.xlsx&amp;sheet=A0&amp;row=144&amp;col=7&amp;number=0&amp;sourceID=14","0")</f>
        <v>0</v>
      </c>
    </row>
    <row r="145" spans="1:7">
      <c r="A145" s="3">
        <v>26</v>
      </c>
      <c r="B145" s="3">
        <v>25</v>
      </c>
      <c r="C145" s="3">
        <v>32</v>
      </c>
      <c r="D145" s="3">
        <v>3</v>
      </c>
      <c r="E145" s="3">
        <v>3245.121</v>
      </c>
      <c r="F145" s="4" t="str">
        <f>HYPERLINK("http://141.218.60.56/~jnz1568/getInfo.php?workbook=26_25.xlsx&amp;sheet=A0&amp;row=145&amp;col=6&amp;number=0.029&amp;sourceID=14","0.029")</f>
        <v>0.029</v>
      </c>
      <c r="G145" s="4" t="str">
        <f>HYPERLINK("http://141.218.60.56/~jnz1568/getInfo.php?workbook=26_25.xlsx&amp;sheet=A0&amp;row=145&amp;col=7&amp;number=0&amp;sourceID=14","0")</f>
        <v>0</v>
      </c>
    </row>
    <row r="146" spans="1:7">
      <c r="A146" s="3">
        <v>26</v>
      </c>
      <c r="B146" s="3">
        <v>25</v>
      </c>
      <c r="C146" s="3">
        <v>32</v>
      </c>
      <c r="D146" s="3">
        <v>6</v>
      </c>
      <c r="E146" s="3">
        <v>3377.168</v>
      </c>
      <c r="F146" s="4" t="str">
        <f>HYPERLINK("http://141.218.60.56/~jnz1568/getInfo.php?workbook=26_25.xlsx&amp;sheet=A0&amp;row=146&amp;col=6&amp;number=0.73&amp;sourceID=14","0.73")</f>
        <v>0.73</v>
      </c>
      <c r="G146" s="4" t="str">
        <f>HYPERLINK("http://141.218.60.56/~jnz1568/getInfo.php?workbook=26_25.xlsx&amp;sheet=A0&amp;row=146&amp;col=7&amp;number=0&amp;sourceID=14","0")</f>
        <v>0</v>
      </c>
    </row>
    <row r="147" spans="1:7">
      <c r="A147" s="3">
        <v>26</v>
      </c>
      <c r="B147" s="3">
        <v>25</v>
      </c>
      <c r="C147" s="3">
        <v>32</v>
      </c>
      <c r="D147" s="3">
        <v>7</v>
      </c>
      <c r="E147" s="3">
        <v>3441.976</v>
      </c>
      <c r="F147" s="4" t="str">
        <f>HYPERLINK("http://141.218.60.56/~jnz1568/getInfo.php?workbook=26_25.xlsx&amp;sheet=A0&amp;row=147&amp;col=6&amp;number=0.24&amp;sourceID=14","0.24")</f>
        <v>0.24</v>
      </c>
      <c r="G147" s="4" t="str">
        <f>HYPERLINK("http://141.218.60.56/~jnz1568/getInfo.php?workbook=26_25.xlsx&amp;sheet=A0&amp;row=147&amp;col=7&amp;number=0&amp;sourceID=14","0")</f>
        <v>0</v>
      </c>
    </row>
    <row r="148" spans="1:7">
      <c r="A148" s="3">
        <v>26</v>
      </c>
      <c r="B148" s="3">
        <v>25</v>
      </c>
      <c r="C148" s="3">
        <v>32</v>
      </c>
      <c r="D148" s="3">
        <v>8</v>
      </c>
      <c r="E148" s="3">
        <v>3490.983</v>
      </c>
      <c r="F148" s="4" t="str">
        <f>HYPERLINK("http://141.218.60.56/~jnz1568/getInfo.php?workbook=26_25.xlsx&amp;sheet=A0&amp;row=148&amp;col=6&amp;number=0.035&amp;sourceID=14","0.035")</f>
        <v>0.035</v>
      </c>
      <c r="G148" s="4" t="str">
        <f>HYPERLINK("http://141.218.60.56/~jnz1568/getInfo.php?workbook=26_25.xlsx&amp;sheet=A0&amp;row=148&amp;col=7&amp;number=0&amp;sourceID=14","0")</f>
        <v>0</v>
      </c>
    </row>
    <row r="149" spans="1:7">
      <c r="A149" s="3">
        <v>26</v>
      </c>
      <c r="B149" s="3">
        <v>25</v>
      </c>
      <c r="C149" s="3">
        <v>32</v>
      </c>
      <c r="D149" s="3">
        <v>11</v>
      </c>
      <c r="E149" s="3">
        <v>4330.647</v>
      </c>
      <c r="F149" s="4" t="str">
        <f>HYPERLINK("http://141.218.60.56/~jnz1568/getInfo.php?workbook=26_25.xlsx&amp;sheet=A0&amp;row=149&amp;col=6&amp;number=0.017&amp;sourceID=14","0.017")</f>
        <v>0.017</v>
      </c>
      <c r="G149" s="4" t="str">
        <f>HYPERLINK("http://141.218.60.56/~jnz1568/getInfo.php?workbook=26_25.xlsx&amp;sheet=A0&amp;row=149&amp;col=7&amp;number=0&amp;sourceID=14","0")</f>
        <v>0</v>
      </c>
    </row>
    <row r="150" spans="1:7">
      <c r="A150" s="3">
        <v>26</v>
      </c>
      <c r="B150" s="3">
        <v>25</v>
      </c>
      <c r="C150" s="3">
        <v>32</v>
      </c>
      <c r="D150" s="3">
        <v>15</v>
      </c>
      <c r="E150" s="3">
        <v>5614.826</v>
      </c>
      <c r="F150" s="4" t="str">
        <f>HYPERLINK("http://141.218.60.56/~jnz1568/getInfo.php?workbook=26_25.xlsx&amp;sheet=A0&amp;row=150&amp;col=6&amp;number=0.073&amp;sourceID=14","0.073")</f>
        <v>0.073</v>
      </c>
      <c r="G150" s="4" t="str">
        <f>HYPERLINK("http://141.218.60.56/~jnz1568/getInfo.php?workbook=26_25.xlsx&amp;sheet=A0&amp;row=150&amp;col=7&amp;number=0&amp;sourceID=14","0")</f>
        <v>0</v>
      </c>
    </row>
    <row r="151" spans="1:7">
      <c r="A151" s="3">
        <v>26</v>
      </c>
      <c r="B151" s="3">
        <v>25</v>
      </c>
      <c r="C151" s="3">
        <v>32</v>
      </c>
      <c r="D151" s="3">
        <v>14</v>
      </c>
      <c r="E151" s="3">
        <v>5552.851</v>
      </c>
      <c r="F151" s="4" t="str">
        <f>HYPERLINK("http://141.218.60.56/~jnz1568/getInfo.php?workbook=26_25.xlsx&amp;sheet=A0&amp;row=151&amp;col=6&amp;number=0.13&amp;sourceID=14","0.13")</f>
        <v>0.13</v>
      </c>
      <c r="G151" s="4" t="str">
        <f>HYPERLINK("http://141.218.60.56/~jnz1568/getInfo.php?workbook=26_25.xlsx&amp;sheet=A0&amp;row=151&amp;col=7&amp;number=0&amp;sourceID=14","0")</f>
        <v>0</v>
      </c>
    </row>
    <row r="152" spans="1:7">
      <c r="A152" s="3">
        <v>26</v>
      </c>
      <c r="B152" s="3">
        <v>25</v>
      </c>
      <c r="C152" s="3">
        <v>32</v>
      </c>
      <c r="D152" s="3">
        <v>17</v>
      </c>
      <c r="E152" s="3">
        <v>9387.385</v>
      </c>
      <c r="F152" s="4" t="str">
        <f>HYPERLINK("http://141.218.60.56/~jnz1568/getInfo.php?workbook=26_25.xlsx&amp;sheet=A0&amp;row=152&amp;col=6&amp;number=0.055&amp;sourceID=14","0.055")</f>
        <v>0.055</v>
      </c>
      <c r="G152" s="4" t="str">
        <f>HYPERLINK("http://141.218.60.56/~jnz1568/getInfo.php?workbook=26_25.xlsx&amp;sheet=A0&amp;row=152&amp;col=7&amp;number=0&amp;sourceID=14","0")</f>
        <v>0</v>
      </c>
    </row>
    <row r="153" spans="1:7">
      <c r="A153" s="3">
        <v>26</v>
      </c>
      <c r="B153" s="3">
        <v>25</v>
      </c>
      <c r="C153" s="3">
        <v>33</v>
      </c>
      <c r="D153" s="3">
        <v>2</v>
      </c>
      <c r="E153" s="3">
        <v>3225.478</v>
      </c>
      <c r="F153" s="4" t="str">
        <f>HYPERLINK("http://141.218.60.56/~jnz1568/getInfo.php?workbook=26_25.xlsx&amp;sheet=A0&amp;row=153&amp;col=6&amp;number=0.046&amp;sourceID=14","0.046")</f>
        <v>0.046</v>
      </c>
      <c r="G153" s="4" t="str">
        <f>HYPERLINK("http://141.218.60.56/~jnz1568/getInfo.php?workbook=26_25.xlsx&amp;sheet=A0&amp;row=153&amp;col=7&amp;number=0&amp;sourceID=14","0")</f>
        <v>0</v>
      </c>
    </row>
    <row r="154" spans="1:7">
      <c r="A154" s="3">
        <v>26</v>
      </c>
      <c r="B154" s="3">
        <v>25</v>
      </c>
      <c r="C154" s="3">
        <v>33</v>
      </c>
      <c r="D154" s="3">
        <v>3</v>
      </c>
      <c r="E154" s="3">
        <v>3255.18</v>
      </c>
      <c r="F154" s="4" t="str">
        <f>HYPERLINK("http://141.218.60.56/~jnz1568/getInfo.php?workbook=26_25.xlsx&amp;sheet=A0&amp;row=154&amp;col=6&amp;number=0.12&amp;sourceID=14","0.12")</f>
        <v>0.12</v>
      </c>
      <c r="G154" s="4" t="str">
        <f>HYPERLINK("http://141.218.60.56/~jnz1568/getInfo.php?workbook=26_25.xlsx&amp;sheet=A0&amp;row=154&amp;col=7&amp;number=0&amp;sourceID=14","0")</f>
        <v>0</v>
      </c>
    </row>
    <row r="155" spans="1:7">
      <c r="A155" s="3">
        <v>26</v>
      </c>
      <c r="B155" s="3">
        <v>25</v>
      </c>
      <c r="C155" s="3">
        <v>33</v>
      </c>
      <c r="D155" s="3">
        <v>4</v>
      </c>
      <c r="E155" s="3">
        <v>3275.967</v>
      </c>
      <c r="F155" s="4" t="str">
        <f>HYPERLINK("http://141.218.60.56/~jnz1568/getInfo.php?workbook=26_25.xlsx&amp;sheet=A0&amp;row=155&amp;col=6&amp;number=0.056&amp;sourceID=14","0.056")</f>
        <v>0.056</v>
      </c>
      <c r="G155" s="4" t="str">
        <f>HYPERLINK("http://141.218.60.56/~jnz1568/getInfo.php?workbook=26_25.xlsx&amp;sheet=A0&amp;row=155&amp;col=7&amp;number=0&amp;sourceID=14","0")</f>
        <v>0</v>
      </c>
    </row>
    <row r="156" spans="1:7">
      <c r="A156" s="3">
        <v>26</v>
      </c>
      <c r="B156" s="3">
        <v>25</v>
      </c>
      <c r="C156" s="3">
        <v>33</v>
      </c>
      <c r="D156" s="3">
        <v>6</v>
      </c>
      <c r="E156" s="3">
        <v>3388.064</v>
      </c>
      <c r="F156" s="4" t="str">
        <f>HYPERLINK("http://141.218.60.56/~jnz1568/getInfo.php?workbook=26_25.xlsx&amp;sheet=A0&amp;row=156&amp;col=6&amp;number=0.2&amp;sourceID=14","0.2")</f>
        <v>0.2</v>
      </c>
      <c r="G156" s="4" t="str">
        <f>HYPERLINK("http://141.218.60.56/~jnz1568/getInfo.php?workbook=26_25.xlsx&amp;sheet=A0&amp;row=156&amp;col=7&amp;number=0&amp;sourceID=14","0")</f>
        <v>0</v>
      </c>
    </row>
    <row r="157" spans="1:7">
      <c r="A157" s="3">
        <v>26</v>
      </c>
      <c r="B157" s="3">
        <v>25</v>
      </c>
      <c r="C157" s="3">
        <v>33</v>
      </c>
      <c r="D157" s="3">
        <v>7</v>
      </c>
      <c r="E157" s="3">
        <v>3453.295</v>
      </c>
      <c r="F157" s="4" t="str">
        <f>HYPERLINK("http://141.218.60.56/~jnz1568/getInfo.php?workbook=26_25.xlsx&amp;sheet=A0&amp;row=157&amp;col=6&amp;number=0.37&amp;sourceID=14","0.37")</f>
        <v>0.37</v>
      </c>
      <c r="G157" s="4" t="str">
        <f>HYPERLINK("http://141.218.60.56/~jnz1568/getInfo.php?workbook=26_25.xlsx&amp;sheet=A0&amp;row=157&amp;col=7&amp;number=0&amp;sourceID=14","0")</f>
        <v>0</v>
      </c>
    </row>
    <row r="158" spans="1:7">
      <c r="A158" s="3">
        <v>26</v>
      </c>
      <c r="B158" s="3">
        <v>25</v>
      </c>
      <c r="C158" s="3">
        <v>33</v>
      </c>
      <c r="D158" s="3">
        <v>8</v>
      </c>
      <c r="E158" s="3">
        <v>3502.627</v>
      </c>
      <c r="F158" s="4" t="str">
        <f>HYPERLINK("http://141.218.60.56/~jnz1568/getInfo.php?workbook=26_25.xlsx&amp;sheet=A0&amp;row=158&amp;col=6&amp;number=0.34&amp;sourceID=14","0.34")</f>
        <v>0.34</v>
      </c>
      <c r="G158" s="4" t="str">
        <f>HYPERLINK("http://141.218.60.56/~jnz1568/getInfo.php?workbook=26_25.xlsx&amp;sheet=A0&amp;row=158&amp;col=7&amp;number=0&amp;sourceID=14","0")</f>
        <v>0</v>
      </c>
    </row>
    <row r="159" spans="1:7">
      <c r="A159" s="3">
        <v>26</v>
      </c>
      <c r="B159" s="3">
        <v>25</v>
      </c>
      <c r="C159" s="3">
        <v>33</v>
      </c>
      <c r="D159" s="3">
        <v>9</v>
      </c>
      <c r="E159" s="3">
        <v>3537.258</v>
      </c>
      <c r="F159" s="4" t="str">
        <f>HYPERLINK("http://141.218.60.56/~jnz1568/getInfo.php?workbook=26_25.xlsx&amp;sheet=A0&amp;row=159&amp;col=6&amp;number=0.063&amp;sourceID=14","0.063")</f>
        <v>0.063</v>
      </c>
      <c r="G159" s="4" t="str">
        <f>HYPERLINK("http://141.218.60.56/~jnz1568/getInfo.php?workbook=26_25.xlsx&amp;sheet=A0&amp;row=159&amp;col=7&amp;number=0&amp;sourceID=14","0")</f>
        <v>0</v>
      </c>
    </row>
    <row r="160" spans="1:7">
      <c r="A160" s="3">
        <v>26</v>
      </c>
      <c r="B160" s="3">
        <v>25</v>
      </c>
      <c r="C160" s="3">
        <v>33</v>
      </c>
      <c r="D160" s="3">
        <v>10</v>
      </c>
      <c r="E160" s="3">
        <v>4267.55</v>
      </c>
      <c r="F160" s="4" t="str">
        <f>HYPERLINK("http://141.218.60.56/~jnz1568/getInfo.php?workbook=26_25.xlsx&amp;sheet=A0&amp;row=160&amp;col=6&amp;number=0.024&amp;sourceID=14","0.024")</f>
        <v>0.024</v>
      </c>
      <c r="G160" s="4" t="str">
        <f>HYPERLINK("http://141.218.60.56/~jnz1568/getInfo.php?workbook=26_25.xlsx&amp;sheet=A0&amp;row=160&amp;col=7&amp;number=0&amp;sourceID=14","0")</f>
        <v>0</v>
      </c>
    </row>
    <row r="161" spans="1:7">
      <c r="A161" s="3">
        <v>26</v>
      </c>
      <c r="B161" s="3">
        <v>25</v>
      </c>
      <c r="C161" s="3">
        <v>33</v>
      </c>
      <c r="D161" s="3">
        <v>12</v>
      </c>
      <c r="E161" s="3">
        <v>4403.833</v>
      </c>
      <c r="F161" s="4" t="str">
        <f>HYPERLINK("http://141.218.60.56/~jnz1568/getInfo.php?workbook=26_25.xlsx&amp;sheet=A0&amp;row=161&amp;col=6&amp;number=0.013&amp;sourceID=14","0.013")</f>
        <v>0.013</v>
      </c>
      <c r="G161" s="4" t="str">
        <f>HYPERLINK("http://141.218.60.56/~jnz1568/getInfo.php?workbook=26_25.xlsx&amp;sheet=A0&amp;row=161&amp;col=7&amp;number=0&amp;sourceID=14","0")</f>
        <v>0</v>
      </c>
    </row>
    <row r="162" spans="1:7">
      <c r="A162" s="3">
        <v>26</v>
      </c>
      <c r="B162" s="3">
        <v>25</v>
      </c>
      <c r="C162" s="3">
        <v>33</v>
      </c>
      <c r="D162" s="3">
        <v>16</v>
      </c>
      <c r="E162" s="3">
        <v>5719.802</v>
      </c>
      <c r="F162" s="4" t="str">
        <f>HYPERLINK("http://141.218.60.56/~jnz1568/getInfo.php?workbook=26_25.xlsx&amp;sheet=A0&amp;row=162&amp;col=6&amp;number=0.066&amp;sourceID=14","0.066")</f>
        <v>0.066</v>
      </c>
      <c r="G162" s="4" t="str">
        <f>HYPERLINK("http://141.218.60.56/~jnz1568/getInfo.php?workbook=26_25.xlsx&amp;sheet=A0&amp;row=162&amp;col=7&amp;number=0&amp;sourceID=14","0")</f>
        <v>0</v>
      </c>
    </row>
    <row r="163" spans="1:7">
      <c r="A163" s="3">
        <v>26</v>
      </c>
      <c r="B163" s="3">
        <v>25</v>
      </c>
      <c r="C163" s="3">
        <v>33</v>
      </c>
      <c r="D163" s="3">
        <v>14</v>
      </c>
      <c r="E163" s="3">
        <v>5582.371</v>
      </c>
      <c r="F163" s="4" t="str">
        <f>HYPERLINK("http://141.218.60.56/~jnz1568/getInfo.php?workbook=26_25.xlsx&amp;sheet=A0&amp;row=163&amp;col=6&amp;number=0.13&amp;sourceID=14","0.13")</f>
        <v>0.13</v>
      </c>
      <c r="G163" s="4" t="str">
        <f>HYPERLINK("http://141.218.60.56/~jnz1568/getInfo.php?workbook=26_25.xlsx&amp;sheet=A0&amp;row=163&amp;col=7&amp;number=0&amp;sourceID=14","0")</f>
        <v>0</v>
      </c>
    </row>
    <row r="164" spans="1:7">
      <c r="A164" s="3">
        <v>26</v>
      </c>
      <c r="B164" s="3">
        <v>25</v>
      </c>
      <c r="C164" s="3">
        <v>33</v>
      </c>
      <c r="D164" s="3">
        <v>17</v>
      </c>
      <c r="E164" s="3">
        <v>9472.06</v>
      </c>
      <c r="F164" s="4" t="str">
        <f>HYPERLINK("http://141.218.60.56/~jnz1568/getInfo.php?workbook=26_25.xlsx&amp;sheet=A0&amp;row=164&amp;col=6&amp;number=0.03&amp;sourceID=14","0.03")</f>
        <v>0.03</v>
      </c>
      <c r="G164" s="4" t="str">
        <f>HYPERLINK("http://141.218.60.56/~jnz1568/getInfo.php?workbook=26_25.xlsx&amp;sheet=A0&amp;row=164&amp;col=7&amp;number=0&amp;sourceID=14","0")</f>
        <v>0</v>
      </c>
    </row>
    <row r="165" spans="1:7">
      <c r="A165" s="3">
        <v>26</v>
      </c>
      <c r="B165" s="3">
        <v>25</v>
      </c>
      <c r="C165" s="3">
        <v>33</v>
      </c>
      <c r="D165" s="3">
        <v>25</v>
      </c>
      <c r="E165" s="3">
        <v>11658.287</v>
      </c>
      <c r="F165" s="4" t="str">
        <f>HYPERLINK("http://141.218.60.56/~jnz1568/getInfo.php?workbook=26_25.xlsx&amp;sheet=A0&amp;row=165&amp;col=6&amp;number=0.048&amp;sourceID=14","0.048")</f>
        <v>0.048</v>
      </c>
      <c r="G165" s="4" t="str">
        <f>HYPERLINK("http://141.218.60.56/~jnz1568/getInfo.php?workbook=26_25.xlsx&amp;sheet=A0&amp;row=165&amp;col=7&amp;number=0&amp;sourceID=14","0")</f>
        <v>0</v>
      </c>
    </row>
    <row r="166" spans="1:7">
      <c r="A166" s="3">
        <v>26</v>
      </c>
      <c r="B166" s="3">
        <v>25</v>
      </c>
      <c r="C166" s="3">
        <v>34</v>
      </c>
      <c r="D166" s="3">
        <v>4</v>
      </c>
      <c r="E166" s="3">
        <v>3278.492</v>
      </c>
      <c r="F166" s="4" t="str">
        <f>HYPERLINK("http://141.218.60.56/~jnz1568/getInfo.php?workbook=26_25.xlsx&amp;sheet=A0&amp;row=166&amp;col=6&amp;number=0.16&amp;sourceID=14","0.16")</f>
        <v>0.16</v>
      </c>
      <c r="G166" s="4" t="str">
        <f>HYPERLINK("http://141.218.60.56/~jnz1568/getInfo.php?workbook=26_25.xlsx&amp;sheet=A0&amp;row=166&amp;col=7&amp;number=0&amp;sourceID=14","0")</f>
        <v>0</v>
      </c>
    </row>
    <row r="167" spans="1:7">
      <c r="A167" s="3">
        <v>26</v>
      </c>
      <c r="B167" s="3">
        <v>25</v>
      </c>
      <c r="C167" s="3">
        <v>34</v>
      </c>
      <c r="D167" s="3">
        <v>5</v>
      </c>
      <c r="E167" s="3">
        <v>3290.839</v>
      </c>
      <c r="F167" s="4" t="str">
        <f>HYPERLINK("http://141.218.60.56/~jnz1568/getInfo.php?workbook=26_25.xlsx&amp;sheet=A0&amp;row=167&amp;col=6&amp;number=0.061&amp;sourceID=14","0.061")</f>
        <v>0.061</v>
      </c>
      <c r="G167" s="4" t="str">
        <f>HYPERLINK("http://141.218.60.56/~jnz1568/getInfo.php?workbook=26_25.xlsx&amp;sheet=A0&amp;row=167&amp;col=7&amp;number=0&amp;sourceID=14","0")</f>
        <v>0</v>
      </c>
    </row>
    <row r="168" spans="1:7">
      <c r="A168" s="3">
        <v>26</v>
      </c>
      <c r="B168" s="3">
        <v>25</v>
      </c>
      <c r="C168" s="3">
        <v>34</v>
      </c>
      <c r="D168" s="3">
        <v>7</v>
      </c>
      <c r="E168" s="3">
        <v>3456.101</v>
      </c>
      <c r="F168" s="4" t="str">
        <f>HYPERLINK("http://141.218.60.56/~jnz1568/getInfo.php?workbook=26_25.xlsx&amp;sheet=A0&amp;row=168&amp;col=6&amp;number=0.36&amp;sourceID=14","0.36")</f>
        <v>0.36</v>
      </c>
      <c r="G168" s="4" t="str">
        <f>HYPERLINK("http://141.218.60.56/~jnz1568/getInfo.php?workbook=26_25.xlsx&amp;sheet=A0&amp;row=168&amp;col=7&amp;number=0&amp;sourceID=14","0")</f>
        <v>0</v>
      </c>
    </row>
    <row r="169" spans="1:7">
      <c r="A169" s="3">
        <v>26</v>
      </c>
      <c r="B169" s="3">
        <v>25</v>
      </c>
      <c r="C169" s="3">
        <v>34</v>
      </c>
      <c r="D169" s="3">
        <v>8</v>
      </c>
      <c r="E169" s="3">
        <v>3505.514</v>
      </c>
      <c r="F169" s="4" t="str">
        <f>HYPERLINK("http://141.218.60.56/~jnz1568/getInfo.php?workbook=26_25.xlsx&amp;sheet=A0&amp;row=169&amp;col=6&amp;number=0.21&amp;sourceID=14","0.21")</f>
        <v>0.21</v>
      </c>
      <c r="G169" s="4" t="str">
        <f>HYPERLINK("http://141.218.60.56/~jnz1568/getInfo.php?workbook=26_25.xlsx&amp;sheet=A0&amp;row=169&amp;col=7&amp;number=0&amp;sourceID=14","0")</f>
        <v>0</v>
      </c>
    </row>
    <row r="170" spans="1:7">
      <c r="A170" s="3">
        <v>26</v>
      </c>
      <c r="B170" s="3">
        <v>25</v>
      </c>
      <c r="C170" s="3">
        <v>34</v>
      </c>
      <c r="D170" s="3">
        <v>9</v>
      </c>
      <c r="E170" s="3">
        <v>3540.202</v>
      </c>
      <c r="F170" s="4" t="str">
        <f>HYPERLINK("http://141.218.60.56/~jnz1568/getInfo.php?workbook=26_25.xlsx&amp;sheet=A0&amp;row=170&amp;col=6&amp;number=0.38&amp;sourceID=14","0.38")</f>
        <v>0.38</v>
      </c>
      <c r="G170" s="4" t="str">
        <f>HYPERLINK("http://141.218.60.56/~jnz1568/getInfo.php?workbook=26_25.xlsx&amp;sheet=A0&amp;row=170&amp;col=7&amp;number=0&amp;sourceID=14","0")</f>
        <v>0</v>
      </c>
    </row>
    <row r="171" spans="1:7">
      <c r="A171" s="3">
        <v>26</v>
      </c>
      <c r="B171" s="3">
        <v>25</v>
      </c>
      <c r="C171" s="3">
        <v>34</v>
      </c>
      <c r="D171" s="3">
        <v>11</v>
      </c>
      <c r="E171" s="3">
        <v>4353.031</v>
      </c>
      <c r="F171" s="4" t="str">
        <f>HYPERLINK("http://141.218.60.56/~jnz1568/getInfo.php?workbook=26_25.xlsx&amp;sheet=A0&amp;row=171&amp;col=6&amp;number=0.014&amp;sourceID=14","0.014")</f>
        <v>0.014</v>
      </c>
      <c r="G171" s="4" t="str">
        <f>HYPERLINK("http://141.218.60.56/~jnz1568/getInfo.php?workbook=26_25.xlsx&amp;sheet=A0&amp;row=171&amp;col=7&amp;number=0&amp;sourceID=14","0")</f>
        <v>0</v>
      </c>
    </row>
    <row r="172" spans="1:7">
      <c r="A172" s="3">
        <v>26</v>
      </c>
      <c r="B172" s="3">
        <v>25</v>
      </c>
      <c r="C172" s="3">
        <v>34</v>
      </c>
      <c r="D172" s="3">
        <v>16</v>
      </c>
      <c r="E172" s="3">
        <v>5727.503</v>
      </c>
      <c r="F172" s="4" t="str">
        <f>HYPERLINK("http://141.218.60.56/~jnz1568/getInfo.php?workbook=26_25.xlsx&amp;sheet=A0&amp;row=172&amp;col=6&amp;number=0.039&amp;sourceID=14","0.039")</f>
        <v>0.039</v>
      </c>
      <c r="G172" s="4" t="str">
        <f>HYPERLINK("http://141.218.60.56/~jnz1568/getInfo.php?workbook=26_25.xlsx&amp;sheet=A0&amp;row=172&amp;col=7&amp;number=0&amp;sourceID=14","0")</f>
        <v>0</v>
      </c>
    </row>
    <row r="173" spans="1:7">
      <c r="A173" s="3">
        <v>26</v>
      </c>
      <c r="B173" s="3">
        <v>25</v>
      </c>
      <c r="C173" s="3">
        <v>34</v>
      </c>
      <c r="D173" s="3">
        <v>15</v>
      </c>
      <c r="E173" s="3">
        <v>5652.511</v>
      </c>
      <c r="F173" s="4" t="str">
        <f>HYPERLINK("http://141.218.60.56/~jnz1568/getInfo.php?workbook=26_25.xlsx&amp;sheet=A0&amp;row=173&amp;col=6&amp;number=0.074&amp;sourceID=14","0.074")</f>
        <v>0.074</v>
      </c>
      <c r="G173" s="4" t="str">
        <f>HYPERLINK("http://141.218.60.56/~jnz1568/getInfo.php?workbook=26_25.xlsx&amp;sheet=A0&amp;row=173&amp;col=7&amp;number=0&amp;sourceID=14","0")</f>
        <v>0</v>
      </c>
    </row>
    <row r="174" spans="1:7">
      <c r="A174" s="3">
        <v>26</v>
      </c>
      <c r="B174" s="3">
        <v>25</v>
      </c>
      <c r="C174" s="3">
        <v>34</v>
      </c>
      <c r="D174" s="3">
        <v>14</v>
      </c>
      <c r="E174" s="3">
        <v>5589.706</v>
      </c>
      <c r="F174" s="4" t="str">
        <f>HYPERLINK("http://141.218.60.56/~jnz1568/getInfo.php?workbook=26_25.xlsx&amp;sheet=A0&amp;row=174&amp;col=6&amp;number=0.072&amp;sourceID=14","0.072")</f>
        <v>0.072</v>
      </c>
      <c r="G174" s="4" t="str">
        <f>HYPERLINK("http://141.218.60.56/~jnz1568/getInfo.php?workbook=26_25.xlsx&amp;sheet=A0&amp;row=174&amp;col=7&amp;number=0&amp;sourceID=14","0")</f>
        <v>0</v>
      </c>
    </row>
    <row r="175" spans="1:7">
      <c r="A175" s="3">
        <v>26</v>
      </c>
      <c r="B175" s="3">
        <v>25</v>
      </c>
      <c r="C175" s="3">
        <v>34</v>
      </c>
      <c r="D175" s="3">
        <v>18</v>
      </c>
      <c r="E175" s="3">
        <v>10468.59</v>
      </c>
      <c r="F175" s="4" t="str">
        <f>HYPERLINK("http://141.218.60.56/~jnz1568/getInfo.php?workbook=26_25.xlsx&amp;sheet=A0&amp;row=175&amp;col=6&amp;number=0.043&amp;sourceID=14","0.043")</f>
        <v>0.043</v>
      </c>
      <c r="G175" s="4" t="str">
        <f>HYPERLINK("http://141.218.60.56/~jnz1568/getInfo.php?workbook=26_25.xlsx&amp;sheet=A0&amp;row=175&amp;col=7&amp;number=0&amp;sourceID=14","0")</f>
        <v>0</v>
      </c>
    </row>
    <row r="176" spans="1:7">
      <c r="A176" s="3">
        <v>26</v>
      </c>
      <c r="B176" s="3">
        <v>25</v>
      </c>
      <c r="C176" s="3">
        <v>34</v>
      </c>
      <c r="D176" s="3">
        <v>17</v>
      </c>
      <c r="E176" s="3">
        <v>9493.199</v>
      </c>
      <c r="F176" s="4" t="str">
        <f>HYPERLINK("http://141.218.60.56/~jnz1568/getInfo.php?workbook=26_25.xlsx&amp;sheet=A0&amp;row=176&amp;col=6&amp;number=0.021&amp;sourceID=14","0.021")</f>
        <v>0.021</v>
      </c>
      <c r="G176" s="4" t="str">
        <f>HYPERLINK("http://141.218.60.56/~jnz1568/getInfo.php?workbook=26_25.xlsx&amp;sheet=A0&amp;row=176&amp;col=7&amp;number=0&amp;sourceID=14","0")</f>
        <v>0</v>
      </c>
    </row>
    <row r="177" spans="1:7">
      <c r="A177" s="3">
        <v>26</v>
      </c>
      <c r="B177" s="3">
        <v>25</v>
      </c>
      <c r="C177" s="3">
        <v>35</v>
      </c>
      <c r="D177" s="3">
        <v>4</v>
      </c>
      <c r="E177" s="3">
        <v>3278.061</v>
      </c>
      <c r="F177" s="4" t="str">
        <f>HYPERLINK("http://141.218.60.56/~jnz1568/getInfo.php?workbook=26_25.xlsx&amp;sheet=A0&amp;row=177&amp;col=6&amp;number=0.041&amp;sourceID=14","0.041")</f>
        <v>0.041</v>
      </c>
      <c r="G177" s="4" t="str">
        <f>HYPERLINK("http://141.218.60.56/~jnz1568/getInfo.php?workbook=26_25.xlsx&amp;sheet=A0&amp;row=177&amp;col=7&amp;number=0&amp;sourceID=14","0")</f>
        <v>0</v>
      </c>
    </row>
    <row r="178" spans="1:7">
      <c r="A178" s="3">
        <v>26</v>
      </c>
      <c r="B178" s="3">
        <v>25</v>
      </c>
      <c r="C178" s="3">
        <v>35</v>
      </c>
      <c r="D178" s="3">
        <v>5</v>
      </c>
      <c r="E178" s="3">
        <v>3290.405</v>
      </c>
      <c r="F178" s="4" t="str">
        <f>HYPERLINK("http://141.218.60.56/~jnz1568/getInfo.php?workbook=26_25.xlsx&amp;sheet=A0&amp;row=178&amp;col=6&amp;number=0.22&amp;sourceID=14","0.22")</f>
        <v>0.22</v>
      </c>
      <c r="G178" s="4" t="str">
        <f>HYPERLINK("http://141.218.60.56/~jnz1568/getInfo.php?workbook=26_25.xlsx&amp;sheet=A0&amp;row=178&amp;col=7&amp;number=0&amp;sourceID=14","0")</f>
        <v>0</v>
      </c>
    </row>
    <row r="179" spans="1:7">
      <c r="A179" s="3">
        <v>26</v>
      </c>
      <c r="B179" s="3">
        <v>25</v>
      </c>
      <c r="C179" s="3">
        <v>35</v>
      </c>
      <c r="D179" s="3">
        <v>8</v>
      </c>
      <c r="E179" s="3">
        <v>3505.021</v>
      </c>
      <c r="F179" s="4" t="str">
        <f>HYPERLINK("http://141.218.60.56/~jnz1568/getInfo.php?workbook=26_25.xlsx&amp;sheet=A0&amp;row=179&amp;col=6&amp;number=0.52&amp;sourceID=14","0.52")</f>
        <v>0.52</v>
      </c>
      <c r="G179" s="4" t="str">
        <f>HYPERLINK("http://141.218.60.56/~jnz1568/getInfo.php?workbook=26_25.xlsx&amp;sheet=A0&amp;row=179&amp;col=7&amp;number=0&amp;sourceID=14","0")</f>
        <v>0</v>
      </c>
    </row>
    <row r="180" spans="1:7">
      <c r="A180" s="3">
        <v>26</v>
      </c>
      <c r="B180" s="3">
        <v>25</v>
      </c>
      <c r="C180" s="3">
        <v>35</v>
      </c>
      <c r="D180" s="3">
        <v>9</v>
      </c>
      <c r="E180" s="3">
        <v>3539.699</v>
      </c>
      <c r="F180" s="4" t="str">
        <f>HYPERLINK("http://141.218.60.56/~jnz1568/getInfo.php?workbook=26_25.xlsx&amp;sheet=A0&amp;row=180&amp;col=6&amp;number=0.4&amp;sourceID=14","0.4")</f>
        <v>0.4</v>
      </c>
      <c r="G180" s="4" t="str">
        <f>HYPERLINK("http://141.218.60.56/~jnz1568/getInfo.php?workbook=26_25.xlsx&amp;sheet=A0&amp;row=180&amp;col=7&amp;number=0&amp;sourceID=14","0")</f>
        <v>0</v>
      </c>
    </row>
    <row r="181" spans="1:7">
      <c r="A181" s="3">
        <v>26</v>
      </c>
      <c r="B181" s="3">
        <v>25</v>
      </c>
      <c r="C181" s="3">
        <v>35</v>
      </c>
      <c r="D181" s="3">
        <v>15</v>
      </c>
      <c r="E181" s="3">
        <v>5651.229</v>
      </c>
      <c r="F181" s="4" t="str">
        <f>HYPERLINK("http://141.218.60.56/~jnz1568/getInfo.php?workbook=26_25.xlsx&amp;sheet=A0&amp;row=181&amp;col=6&amp;number=0.16&amp;sourceID=14","0.16")</f>
        <v>0.16</v>
      </c>
      <c r="G181" s="4" t="str">
        <f>HYPERLINK("http://141.218.60.56/~jnz1568/getInfo.php?workbook=26_25.xlsx&amp;sheet=A0&amp;row=181&amp;col=7&amp;number=0&amp;sourceID=14","0")</f>
        <v>0</v>
      </c>
    </row>
    <row r="182" spans="1:7">
      <c r="A182" s="3">
        <v>26</v>
      </c>
      <c r="B182" s="3">
        <v>25</v>
      </c>
      <c r="C182" s="3">
        <v>35</v>
      </c>
      <c r="D182" s="3">
        <v>14</v>
      </c>
      <c r="E182" s="3">
        <v>5588.453</v>
      </c>
      <c r="F182" s="4" t="str">
        <f>HYPERLINK("http://141.218.60.56/~jnz1568/getInfo.php?workbook=26_25.xlsx&amp;sheet=A0&amp;row=182&amp;col=6&amp;number=0.02&amp;sourceID=14","0.02")</f>
        <v>0.02</v>
      </c>
      <c r="G182" s="4" t="str">
        <f>HYPERLINK("http://141.218.60.56/~jnz1568/getInfo.php?workbook=26_25.xlsx&amp;sheet=A0&amp;row=182&amp;col=7&amp;number=0&amp;sourceID=14","0")</f>
        <v>0</v>
      </c>
    </row>
    <row r="183" spans="1:7">
      <c r="A183" s="3">
        <v>26</v>
      </c>
      <c r="B183" s="3">
        <v>25</v>
      </c>
      <c r="C183" s="3">
        <v>35</v>
      </c>
      <c r="D183" s="3">
        <v>19</v>
      </c>
      <c r="E183" s="3">
        <v>11162.461</v>
      </c>
      <c r="F183" s="4" t="str">
        <f>HYPERLINK("http://141.218.60.56/~jnz1568/getInfo.php?workbook=26_25.xlsx&amp;sheet=A0&amp;row=183&amp;col=6&amp;number=0.057&amp;sourceID=14","0.057")</f>
        <v>0.057</v>
      </c>
      <c r="G183" s="4" t="str">
        <f>HYPERLINK("http://141.218.60.56/~jnz1568/getInfo.php?workbook=26_25.xlsx&amp;sheet=A0&amp;row=183&amp;col=7&amp;number=0&amp;sourceID=14","0")</f>
        <v>0</v>
      </c>
    </row>
    <row r="184" spans="1:7">
      <c r="A184" s="3">
        <v>26</v>
      </c>
      <c r="B184" s="3">
        <v>25</v>
      </c>
      <c r="C184" s="3">
        <v>35</v>
      </c>
      <c r="D184" s="3">
        <v>18</v>
      </c>
      <c r="E184" s="3">
        <v>10464.198</v>
      </c>
      <c r="F184" s="4" t="str">
        <f>HYPERLINK("http://141.218.60.56/~jnz1568/getInfo.php?workbook=26_25.xlsx&amp;sheet=A0&amp;row=184&amp;col=6&amp;number=0.037&amp;sourceID=14","0.037")</f>
        <v>0.037</v>
      </c>
      <c r="G184" s="4" t="str">
        <f>HYPERLINK("http://141.218.60.56/~jnz1568/getInfo.php?workbook=26_25.xlsx&amp;sheet=A0&amp;row=184&amp;col=7&amp;number=0&amp;sourceID=14","0")</f>
        <v>0</v>
      </c>
    </row>
    <row r="185" spans="1:7">
      <c r="A185" s="3">
        <v>26</v>
      </c>
      <c r="B185" s="3">
        <v>25</v>
      </c>
      <c r="C185" s="3">
        <v>36</v>
      </c>
      <c r="D185" s="3">
        <v>1</v>
      </c>
      <c r="E185" s="3">
        <v>2600.173</v>
      </c>
      <c r="F185" s="4" t="str">
        <f>HYPERLINK("http://141.218.60.56/~jnz1568/getInfo.php?workbook=26_25.xlsx&amp;sheet=A0&amp;row=185&amp;col=6&amp;number=236800000&amp;sourceID=14","236800000")</f>
        <v>236800000</v>
      </c>
      <c r="G185" s="4" t="str">
        <f>HYPERLINK("http://141.218.60.56/~jnz1568/getInfo.php?workbook=26_25.xlsx&amp;sheet=A0&amp;row=185&amp;col=7&amp;number=0&amp;sourceID=14","0")</f>
        <v>0</v>
      </c>
    </row>
    <row r="186" spans="1:7">
      <c r="A186" s="3">
        <v>26</v>
      </c>
      <c r="B186" s="3">
        <v>25</v>
      </c>
      <c r="C186" s="3">
        <v>36</v>
      </c>
      <c r="D186" s="3">
        <v>2</v>
      </c>
      <c r="E186" s="3">
        <v>2626.451</v>
      </c>
      <c r="F186" s="4" t="str">
        <f>HYPERLINK("http://141.218.60.56/~jnz1568/getInfo.php?workbook=26_25.xlsx&amp;sheet=A0&amp;row=186&amp;col=6&amp;number=52220000&amp;sourceID=14","52220000")</f>
        <v>52220000</v>
      </c>
      <c r="G186" s="4" t="str">
        <f>HYPERLINK("http://141.218.60.56/~jnz1568/getInfo.php?workbook=26_25.xlsx&amp;sheet=A0&amp;row=186&amp;col=7&amp;number=0&amp;sourceID=14","0")</f>
        <v>0</v>
      </c>
    </row>
    <row r="187" spans="1:7">
      <c r="A187" s="3">
        <v>26</v>
      </c>
      <c r="B187" s="3">
        <v>25</v>
      </c>
      <c r="C187" s="3">
        <v>37</v>
      </c>
      <c r="D187" s="3">
        <v>1</v>
      </c>
      <c r="E187" s="3">
        <v>2586.65</v>
      </c>
      <c r="F187" s="4" t="str">
        <f>HYPERLINK("http://141.218.60.56/~jnz1568/getInfo.php?workbook=26_25.xlsx&amp;sheet=A0&amp;row=187&amp;col=6&amp;number=68340000&amp;sourceID=14","68340000")</f>
        <v>68340000</v>
      </c>
      <c r="G187" s="4" t="str">
        <f>HYPERLINK("http://141.218.60.56/~jnz1568/getInfo.php?workbook=26_25.xlsx&amp;sheet=A0&amp;row=187&amp;col=7&amp;number=0&amp;sourceID=14","0")</f>
        <v>0</v>
      </c>
    </row>
    <row r="188" spans="1:7">
      <c r="A188" s="3">
        <v>26</v>
      </c>
      <c r="B188" s="3">
        <v>25</v>
      </c>
      <c r="C188" s="3">
        <v>37</v>
      </c>
      <c r="D188" s="3">
        <v>2</v>
      </c>
      <c r="E188" s="3">
        <v>2612.654</v>
      </c>
      <c r="F188" s="4" t="str">
        <f>HYPERLINK("http://141.218.60.56/~jnz1568/getInfo.php?workbook=26_25.xlsx&amp;sheet=A0&amp;row=188&amp;col=6&amp;number=128300000&amp;sourceID=14","128300000")</f>
        <v>128300000</v>
      </c>
      <c r="G188" s="4" t="str">
        <f>HYPERLINK("http://141.218.60.56/~jnz1568/getInfo.php?workbook=26_25.xlsx&amp;sheet=A0&amp;row=188&amp;col=7&amp;number=0&amp;sourceID=14","0")</f>
        <v>0</v>
      </c>
    </row>
    <row r="189" spans="1:7">
      <c r="A189" s="3">
        <v>26</v>
      </c>
      <c r="B189" s="3">
        <v>25</v>
      </c>
      <c r="C189" s="3">
        <v>37</v>
      </c>
      <c r="D189" s="3">
        <v>3</v>
      </c>
      <c r="E189" s="3">
        <v>2632.108</v>
      </c>
      <c r="F189" s="4" t="str">
        <f>HYPERLINK("http://141.218.60.56/~jnz1568/getInfo.php?workbook=26_25.xlsx&amp;sheet=A0&amp;row=189&amp;col=6&amp;number=90100000&amp;sourceID=14","90100000")</f>
        <v>90100000</v>
      </c>
      <c r="G189" s="4" t="str">
        <f>HYPERLINK("http://141.218.60.56/~jnz1568/getInfo.php?workbook=26_25.xlsx&amp;sheet=A0&amp;row=189&amp;col=7&amp;number=0&amp;sourceID=14","0")</f>
        <v>0</v>
      </c>
    </row>
    <row r="190" spans="1:7">
      <c r="A190" s="3">
        <v>26</v>
      </c>
      <c r="B190" s="3">
        <v>25</v>
      </c>
      <c r="C190" s="3">
        <v>38</v>
      </c>
      <c r="D190" s="3">
        <v>2</v>
      </c>
      <c r="E190" s="3">
        <v>2599.147</v>
      </c>
      <c r="F190" s="4" t="str">
        <f>HYPERLINK("http://141.218.60.56/~jnz1568/getInfo.php?workbook=26_25.xlsx&amp;sheet=A0&amp;row=190&amp;col=6&amp;number=124800000&amp;sourceID=14","124800000")</f>
        <v>124800000</v>
      </c>
      <c r="G190" s="4" t="str">
        <f>HYPERLINK("http://141.218.60.56/~jnz1568/getInfo.php?workbook=26_25.xlsx&amp;sheet=A0&amp;row=190&amp;col=7&amp;number=0&amp;sourceID=14","0")</f>
        <v>0</v>
      </c>
    </row>
    <row r="191" spans="1:7">
      <c r="A191" s="3">
        <v>26</v>
      </c>
      <c r="B191" s="3">
        <v>25</v>
      </c>
      <c r="C191" s="3">
        <v>38</v>
      </c>
      <c r="D191" s="3">
        <v>3</v>
      </c>
      <c r="E191" s="3">
        <v>2618.399</v>
      </c>
      <c r="F191" s="4" t="str">
        <f>HYPERLINK("http://141.218.60.56/~jnz1568/getInfo.php?workbook=26_25.xlsx&amp;sheet=A0&amp;row=191&amp;col=6&amp;number=48810000&amp;sourceID=14","48810000")</f>
        <v>48810000</v>
      </c>
      <c r="G191" s="4" t="str">
        <f>HYPERLINK("http://141.218.60.56/~jnz1568/getInfo.php?workbook=26_25.xlsx&amp;sheet=A0&amp;row=191&amp;col=7&amp;number=0&amp;sourceID=14","0")</f>
        <v>0</v>
      </c>
    </row>
    <row r="192" spans="1:7">
      <c r="A192" s="3">
        <v>26</v>
      </c>
      <c r="B192" s="3">
        <v>25</v>
      </c>
      <c r="C192" s="3">
        <v>38</v>
      </c>
      <c r="D192" s="3">
        <v>4</v>
      </c>
      <c r="E192" s="3">
        <v>2631.832</v>
      </c>
      <c r="F192" s="4" t="str">
        <f>HYPERLINK("http://141.218.60.56/~jnz1568/getInfo.php?workbook=26_25.xlsx&amp;sheet=A0&amp;row=192&amp;col=6&amp;number=112200000&amp;sourceID=14","112200000")</f>
        <v>112200000</v>
      </c>
      <c r="G192" s="4" t="str">
        <f>HYPERLINK("http://141.218.60.56/~jnz1568/getInfo.php?workbook=26_25.xlsx&amp;sheet=A0&amp;row=192&amp;col=7&amp;number=0&amp;sourceID=14","0")</f>
        <v>0</v>
      </c>
    </row>
    <row r="193" spans="1:7">
      <c r="A193" s="3">
        <v>26</v>
      </c>
      <c r="B193" s="3">
        <v>25</v>
      </c>
      <c r="C193" s="3">
        <v>39</v>
      </c>
      <c r="D193" s="3">
        <v>3</v>
      </c>
      <c r="E193" s="3">
        <v>2607.866</v>
      </c>
      <c r="F193" s="4" t="str">
        <f>HYPERLINK("http://141.218.60.56/~jnz1568/getInfo.php?workbook=26_25.xlsx&amp;sheet=A0&amp;row=193&amp;col=6&amp;number=173000000&amp;sourceID=14","173000000")</f>
        <v>173000000</v>
      </c>
      <c r="G193" s="4" t="str">
        <f>HYPERLINK("http://141.218.60.56/~jnz1568/getInfo.php?workbook=26_25.xlsx&amp;sheet=A0&amp;row=193&amp;col=7&amp;number=0&amp;sourceID=14","0")</f>
        <v>0</v>
      </c>
    </row>
    <row r="194" spans="1:7">
      <c r="A194" s="3">
        <v>26</v>
      </c>
      <c r="B194" s="3">
        <v>25</v>
      </c>
      <c r="C194" s="3">
        <v>39</v>
      </c>
      <c r="D194" s="3">
        <v>4</v>
      </c>
      <c r="E194" s="3">
        <v>2621.191</v>
      </c>
      <c r="F194" s="4" t="str">
        <f>HYPERLINK("http://141.218.60.56/~jnz1568/getInfo.php?workbook=26_25.xlsx&amp;sheet=A0&amp;row=194&amp;col=6&amp;number=3124000&amp;sourceID=14","3124000")</f>
        <v>3124000</v>
      </c>
      <c r="G194" s="4" t="str">
        <f>HYPERLINK("http://141.218.60.56/~jnz1568/getInfo.php?workbook=26_25.xlsx&amp;sheet=A0&amp;row=194&amp;col=7&amp;number=0&amp;sourceID=14","0")</f>
        <v>0</v>
      </c>
    </row>
    <row r="195" spans="1:7">
      <c r="A195" s="3">
        <v>26</v>
      </c>
      <c r="B195" s="3">
        <v>25</v>
      </c>
      <c r="C195" s="3">
        <v>39</v>
      </c>
      <c r="D195" s="3">
        <v>5</v>
      </c>
      <c r="E195" s="3">
        <v>2629.078</v>
      </c>
      <c r="F195" s="4" t="str">
        <f>HYPERLINK("http://141.218.60.56/~jnz1568/getInfo.php?workbook=26_25.xlsx&amp;sheet=A0&amp;row=195&amp;col=6&amp;number=109700000&amp;sourceID=14","109700000")</f>
        <v>109700000</v>
      </c>
      <c r="G195" s="4" t="str">
        <f>HYPERLINK("http://141.218.60.56/~jnz1568/getInfo.php?workbook=26_25.xlsx&amp;sheet=A0&amp;row=195&amp;col=7&amp;number=0&amp;sourceID=14","0")</f>
        <v>0</v>
      </c>
    </row>
    <row r="196" spans="1:7">
      <c r="A196" s="3">
        <v>26</v>
      </c>
      <c r="B196" s="3">
        <v>25</v>
      </c>
      <c r="C196" s="3">
        <v>40</v>
      </c>
      <c r="D196" s="3">
        <v>4</v>
      </c>
      <c r="E196" s="3">
        <v>2614.605</v>
      </c>
      <c r="F196" s="4" t="str">
        <f>HYPERLINK("http://141.218.60.56/~jnz1568/getInfo.php?workbook=26_25.xlsx&amp;sheet=A0&amp;row=196&amp;col=6&amp;number=223200000&amp;sourceID=14","223200000")</f>
        <v>223200000</v>
      </c>
      <c r="G196" s="4" t="str">
        <f>HYPERLINK("http://141.218.60.56/~jnz1568/getInfo.php?workbook=26_25.xlsx&amp;sheet=A0&amp;row=196&amp;col=7&amp;number=0&amp;sourceID=14","0")</f>
        <v>0</v>
      </c>
    </row>
    <row r="197" spans="1:7">
      <c r="A197" s="3">
        <v>26</v>
      </c>
      <c r="B197" s="3">
        <v>25</v>
      </c>
      <c r="C197" s="3">
        <v>40</v>
      </c>
      <c r="D197" s="3">
        <v>5</v>
      </c>
      <c r="E197" s="3">
        <v>2622.452</v>
      </c>
      <c r="F197" s="4" t="str">
        <f>HYPERLINK("http://141.218.60.56/~jnz1568/getInfo.php?workbook=26_25.xlsx&amp;sheet=A0&amp;row=197&amp;col=6&amp;number=63230000&amp;sourceID=14","63230000")</f>
        <v>63230000</v>
      </c>
      <c r="G197" s="4" t="str">
        <f>HYPERLINK("http://141.218.60.56/~jnz1568/getInfo.php?workbook=26_25.xlsx&amp;sheet=A0&amp;row=197&amp;col=7&amp;number=0&amp;sourceID=14","0")</f>
        <v>0</v>
      </c>
    </row>
    <row r="198" spans="1:7">
      <c r="A198" s="3">
        <v>26</v>
      </c>
      <c r="B198" s="3">
        <v>25</v>
      </c>
      <c r="C198" s="3">
        <v>41</v>
      </c>
      <c r="D198" s="3">
        <v>1</v>
      </c>
      <c r="E198" s="3">
        <v>2382.765</v>
      </c>
      <c r="F198" s="4" t="str">
        <f>HYPERLINK("http://141.218.60.56/~jnz1568/getInfo.php?workbook=26_25.xlsx&amp;sheet=A0&amp;row=198&amp;col=6&amp;number=335300000&amp;sourceID=14","335300000")</f>
        <v>335300000</v>
      </c>
      <c r="G198" s="4" t="str">
        <f>HYPERLINK("http://141.218.60.56/~jnz1568/getInfo.php?workbook=26_25.xlsx&amp;sheet=A0&amp;row=198&amp;col=7&amp;number=0&amp;sourceID=14","0")</f>
        <v>0</v>
      </c>
    </row>
    <row r="199" spans="1:7">
      <c r="A199" s="3">
        <v>26</v>
      </c>
      <c r="B199" s="3">
        <v>25</v>
      </c>
      <c r="C199" s="3">
        <v>42</v>
      </c>
      <c r="D199" s="3">
        <v>1</v>
      </c>
      <c r="E199" s="3">
        <v>2374.461</v>
      </c>
      <c r="F199" s="4" t="str">
        <f>HYPERLINK("http://141.218.60.56/~jnz1568/getInfo.php?workbook=26_25.xlsx&amp;sheet=A0&amp;row=199&amp;col=6&amp;number=62350000&amp;sourceID=14","62350000")</f>
        <v>62350000</v>
      </c>
      <c r="G199" s="4" t="str">
        <f>HYPERLINK("http://141.218.60.56/~jnz1568/getInfo.php?workbook=26_25.xlsx&amp;sheet=A0&amp;row=199&amp;col=7&amp;number=0&amp;sourceID=14","0")</f>
        <v>0</v>
      </c>
    </row>
    <row r="200" spans="1:7">
      <c r="A200" s="3">
        <v>26</v>
      </c>
      <c r="B200" s="3">
        <v>25</v>
      </c>
      <c r="C200" s="3">
        <v>42</v>
      </c>
      <c r="D200" s="3">
        <v>2</v>
      </c>
      <c r="E200" s="3">
        <v>2396.356</v>
      </c>
      <c r="F200" s="4" t="str">
        <f>HYPERLINK("http://141.218.60.56/~jnz1568/getInfo.php?workbook=26_25.xlsx&amp;sheet=A0&amp;row=200&amp;col=6&amp;number=268300000&amp;sourceID=14","268300000")</f>
        <v>268300000</v>
      </c>
      <c r="G200" s="4" t="str">
        <f>HYPERLINK("http://141.218.60.56/~jnz1568/getInfo.php?workbook=26_25.xlsx&amp;sheet=A0&amp;row=200&amp;col=7&amp;number=0&amp;sourceID=14","0")</f>
        <v>0</v>
      </c>
    </row>
    <row r="201" spans="1:7">
      <c r="A201" s="3">
        <v>26</v>
      </c>
      <c r="B201" s="3">
        <v>25</v>
      </c>
      <c r="C201" s="3">
        <v>43</v>
      </c>
      <c r="D201" s="3">
        <v>1</v>
      </c>
      <c r="E201" s="3">
        <v>2367.591</v>
      </c>
      <c r="F201" s="4" t="str">
        <f>HYPERLINK("http://141.218.60.56/~jnz1568/getInfo.php?workbook=26_25.xlsx&amp;sheet=A0&amp;row=201&amp;col=6&amp;number=6323000&amp;sourceID=14","6323000")</f>
        <v>6323000</v>
      </c>
      <c r="G201" s="4" t="str">
        <f>HYPERLINK("http://141.218.60.56/~jnz1568/getInfo.php?workbook=26_25.xlsx&amp;sheet=A0&amp;row=201&amp;col=7&amp;number=0&amp;sourceID=14","0")</f>
        <v>0</v>
      </c>
    </row>
    <row r="202" spans="1:7">
      <c r="A202" s="3">
        <v>26</v>
      </c>
      <c r="B202" s="3">
        <v>25</v>
      </c>
      <c r="C202" s="3">
        <v>43</v>
      </c>
      <c r="D202" s="3">
        <v>2</v>
      </c>
      <c r="E202" s="3">
        <v>2389.358</v>
      </c>
      <c r="F202" s="4" t="str">
        <f>HYPERLINK("http://141.218.60.56/~jnz1568/getInfo.php?workbook=26_25.xlsx&amp;sheet=A0&amp;row=202&amp;col=6&amp;number=113100000&amp;sourceID=14","113100000")</f>
        <v>113100000</v>
      </c>
      <c r="G202" s="4" t="str">
        <f>HYPERLINK("http://141.218.60.56/~jnz1568/getInfo.php?workbook=26_25.xlsx&amp;sheet=A0&amp;row=202&amp;col=7&amp;number=0&amp;sourceID=14","0")</f>
        <v>0</v>
      </c>
    </row>
    <row r="203" spans="1:7">
      <c r="A203" s="3">
        <v>26</v>
      </c>
      <c r="B203" s="3">
        <v>25</v>
      </c>
      <c r="C203" s="3">
        <v>43</v>
      </c>
      <c r="D203" s="3">
        <v>3</v>
      </c>
      <c r="E203" s="3">
        <v>2405.619</v>
      </c>
      <c r="F203" s="4" t="str">
        <f>HYPERLINK("http://141.218.60.56/~jnz1568/getInfo.php?workbook=26_25.xlsx&amp;sheet=A0&amp;row=203&amp;col=6&amp;number=210200000&amp;sourceID=14","210200000")</f>
        <v>210200000</v>
      </c>
      <c r="G203" s="4" t="str">
        <f>HYPERLINK("http://141.218.60.56/~jnz1568/getInfo.php?workbook=26_25.xlsx&amp;sheet=A0&amp;row=203&amp;col=7&amp;number=0&amp;sourceID=14","0")</f>
        <v>0</v>
      </c>
    </row>
    <row r="204" spans="1:7">
      <c r="A204" s="3">
        <v>26</v>
      </c>
      <c r="B204" s="3">
        <v>25</v>
      </c>
      <c r="C204" s="3">
        <v>44</v>
      </c>
      <c r="D204" s="3">
        <v>2</v>
      </c>
      <c r="E204" s="3">
        <v>2383.788</v>
      </c>
      <c r="F204" s="4" t="str">
        <f>HYPERLINK("http://141.218.60.56/~jnz1568/getInfo.php?workbook=26_25.xlsx&amp;sheet=A0&amp;row=204&amp;col=6&amp;number=19090000&amp;sourceID=14","19090000")</f>
        <v>19090000</v>
      </c>
      <c r="G204" s="4" t="str">
        <f>HYPERLINK("http://141.218.60.56/~jnz1568/getInfo.php?workbook=26_25.xlsx&amp;sheet=A0&amp;row=204&amp;col=7&amp;number=0&amp;sourceID=14","0")</f>
        <v>0</v>
      </c>
    </row>
    <row r="205" spans="1:7">
      <c r="A205" s="3">
        <v>26</v>
      </c>
      <c r="B205" s="3">
        <v>25</v>
      </c>
      <c r="C205" s="3">
        <v>44</v>
      </c>
      <c r="D205" s="3">
        <v>3</v>
      </c>
      <c r="E205" s="3">
        <v>2399.973</v>
      </c>
      <c r="F205" s="4" t="str">
        <f>HYPERLINK("http://141.218.60.56/~jnz1568/getInfo.php?workbook=26_25.xlsx&amp;sheet=A0&amp;row=205&amp;col=6&amp;number=152000000&amp;sourceID=14","152000000")</f>
        <v>152000000</v>
      </c>
      <c r="G205" s="4" t="str">
        <f>HYPERLINK("http://141.218.60.56/~jnz1568/getInfo.php?workbook=26_25.xlsx&amp;sheet=A0&amp;row=205&amp;col=7&amp;number=0&amp;sourceID=14","0")</f>
        <v>0</v>
      </c>
    </row>
    <row r="206" spans="1:7">
      <c r="A206" s="3">
        <v>26</v>
      </c>
      <c r="B206" s="3">
        <v>25</v>
      </c>
      <c r="C206" s="3">
        <v>44</v>
      </c>
      <c r="D206" s="3">
        <v>4</v>
      </c>
      <c r="E206" s="3">
        <v>2411.253</v>
      </c>
      <c r="F206" s="4" t="str">
        <f>HYPERLINK("http://141.218.60.56/~jnz1568/getInfo.php?workbook=26_25.xlsx&amp;sheet=A0&amp;row=206&amp;col=6&amp;number=155300000&amp;sourceID=14","155300000")</f>
        <v>155300000</v>
      </c>
      <c r="G206" s="4" t="str">
        <f>HYPERLINK("http://141.218.60.56/~jnz1568/getInfo.php?workbook=26_25.xlsx&amp;sheet=A0&amp;row=206&amp;col=7&amp;number=0&amp;sourceID=14","0")</f>
        <v>0</v>
      </c>
    </row>
    <row r="207" spans="1:7">
      <c r="A207" s="3">
        <v>26</v>
      </c>
      <c r="B207" s="3">
        <v>25</v>
      </c>
      <c r="C207" s="3">
        <v>45</v>
      </c>
      <c r="D207" s="3">
        <v>3</v>
      </c>
      <c r="E207" s="3">
        <v>2396.15</v>
      </c>
      <c r="F207" s="4" t="str">
        <f>HYPERLINK("http://141.218.60.56/~jnz1568/getInfo.php?workbook=26_25.xlsx&amp;sheet=A0&amp;row=207&amp;col=6&amp;number=39570000&amp;sourceID=14","39570000")</f>
        <v>39570000</v>
      </c>
      <c r="G207" s="4" t="str">
        <f>HYPERLINK("http://141.218.60.56/~jnz1568/getInfo.php?workbook=26_25.xlsx&amp;sheet=A0&amp;row=207&amp;col=7&amp;number=0&amp;sourceID=14","0")</f>
        <v>0</v>
      </c>
    </row>
    <row r="208" spans="1:7">
      <c r="A208" s="3">
        <v>26</v>
      </c>
      <c r="B208" s="3">
        <v>25</v>
      </c>
      <c r="C208" s="3">
        <v>45</v>
      </c>
      <c r="D208" s="3">
        <v>4</v>
      </c>
      <c r="E208" s="3">
        <v>2407.394</v>
      </c>
      <c r="F208" s="4" t="str">
        <f>HYPERLINK("http://141.218.60.56/~jnz1568/getInfo.php?workbook=26_25.xlsx&amp;sheet=A0&amp;row=208&amp;col=6&amp;number=185300000&amp;sourceID=14","185300000")</f>
        <v>185300000</v>
      </c>
      <c r="G208" s="4" t="str">
        <f>HYPERLINK("http://141.218.60.56/~jnz1568/getInfo.php?workbook=26_25.xlsx&amp;sheet=A0&amp;row=208&amp;col=7&amp;number=0&amp;sourceID=14","0")</f>
        <v>0</v>
      </c>
    </row>
    <row r="209" spans="1:7">
      <c r="A209" s="3">
        <v>26</v>
      </c>
      <c r="B209" s="3">
        <v>25</v>
      </c>
      <c r="C209" s="3">
        <v>45</v>
      </c>
      <c r="D209" s="3">
        <v>5</v>
      </c>
      <c r="E209" s="3">
        <v>2414.045</v>
      </c>
      <c r="F209" s="4" t="str">
        <f>HYPERLINK("http://141.218.60.56/~jnz1568/getInfo.php?workbook=26_25.xlsx&amp;sheet=A0&amp;row=209&amp;col=6&amp;number=99960000&amp;sourceID=14","99960000")</f>
        <v>99960000</v>
      </c>
      <c r="G209" s="4" t="str">
        <f>HYPERLINK("http://141.218.60.56/~jnz1568/getInfo.php?workbook=26_25.xlsx&amp;sheet=A0&amp;row=209&amp;col=7&amp;number=0&amp;sourceID=14","0")</f>
        <v>0</v>
      </c>
    </row>
    <row r="210" spans="1:7">
      <c r="A210" s="3">
        <v>26</v>
      </c>
      <c r="B210" s="3">
        <v>25</v>
      </c>
      <c r="C210" s="3">
        <v>46</v>
      </c>
      <c r="D210" s="3">
        <v>4</v>
      </c>
      <c r="E210" s="3">
        <v>2405.164</v>
      </c>
      <c r="F210" s="4" t="str">
        <f>HYPERLINK("http://141.218.60.56/~jnz1568/getInfo.php?workbook=26_25.xlsx&amp;sheet=A0&amp;row=210&amp;col=6&amp;number=72380000&amp;sourceID=14","72380000")</f>
        <v>72380000</v>
      </c>
      <c r="G210" s="4" t="str">
        <f>HYPERLINK("http://141.218.60.56/~jnz1568/getInfo.php?workbook=26_25.xlsx&amp;sheet=A0&amp;row=210&amp;col=7&amp;number=0&amp;sourceID=14","0")</f>
        <v>0</v>
      </c>
    </row>
    <row r="211" spans="1:7">
      <c r="A211" s="3">
        <v>26</v>
      </c>
      <c r="B211" s="3">
        <v>25</v>
      </c>
      <c r="C211" s="3">
        <v>46</v>
      </c>
      <c r="D211" s="3">
        <v>5</v>
      </c>
      <c r="E211" s="3">
        <v>2411.802</v>
      </c>
      <c r="F211" s="4" t="str">
        <f>HYPERLINK("http://141.218.60.56/~jnz1568/getInfo.php?workbook=26_25.xlsx&amp;sheet=A0&amp;row=211&amp;col=6&amp;number=252200000&amp;sourceID=14","252200000")</f>
        <v>252200000</v>
      </c>
      <c r="G211" s="4" t="str">
        <f>HYPERLINK("http://141.218.60.56/~jnz1568/getInfo.php?workbook=26_25.xlsx&amp;sheet=A0&amp;row=211&amp;col=7&amp;number=0&amp;sourceID=14","0")</f>
        <v>0</v>
      </c>
    </row>
    <row r="212" spans="1:7">
      <c r="A212" s="3">
        <v>26</v>
      </c>
      <c r="B212" s="3">
        <v>25</v>
      </c>
      <c r="C212" s="3">
        <v>47</v>
      </c>
      <c r="D212" s="3">
        <v>1</v>
      </c>
      <c r="E212" s="3">
        <v>2344.214</v>
      </c>
      <c r="F212" s="4" t="str">
        <f>HYPERLINK("http://141.218.60.56/~jnz1568/getInfo.php?workbook=26_25.xlsx&amp;sheet=A0&amp;row=212&amp;col=6&amp;number=191700000&amp;sourceID=14","191700000")</f>
        <v>191700000</v>
      </c>
      <c r="G212" s="4" t="str">
        <f>HYPERLINK("http://141.218.60.56/~jnz1568/getInfo.php?workbook=26_25.xlsx&amp;sheet=A0&amp;row=212&amp;col=7&amp;number=0&amp;sourceID=14","0")</f>
        <v>0</v>
      </c>
    </row>
    <row r="213" spans="1:7">
      <c r="A213" s="3">
        <v>26</v>
      </c>
      <c r="B213" s="3">
        <v>25</v>
      </c>
      <c r="C213" s="3">
        <v>47</v>
      </c>
      <c r="D213" s="3">
        <v>2</v>
      </c>
      <c r="E213" s="3">
        <v>2365.552</v>
      </c>
      <c r="F213" s="4" t="str">
        <f>HYPERLINK("http://141.218.60.56/~jnz1568/getInfo.php?workbook=26_25.xlsx&amp;sheet=A0&amp;row=213&amp;col=6&amp;number=53480000&amp;sourceID=14","53480000")</f>
        <v>53480000</v>
      </c>
      <c r="G213" s="4" t="str">
        <f>HYPERLINK("http://141.218.60.56/~jnz1568/getInfo.php?workbook=26_25.xlsx&amp;sheet=A0&amp;row=213&amp;col=7&amp;number=0&amp;sourceID=14","0")</f>
        <v>0</v>
      </c>
    </row>
    <row r="214" spans="1:7">
      <c r="A214" s="3">
        <v>26</v>
      </c>
      <c r="B214" s="3">
        <v>25</v>
      </c>
      <c r="C214" s="3">
        <v>47</v>
      </c>
      <c r="D214" s="3">
        <v>3</v>
      </c>
      <c r="E214" s="3">
        <v>2381.489</v>
      </c>
      <c r="F214" s="4" t="str">
        <f>HYPERLINK("http://141.218.60.56/~jnz1568/getInfo.php?workbook=26_25.xlsx&amp;sheet=A0&amp;row=214&amp;col=6&amp;number=8716000&amp;sourceID=14","8716000")</f>
        <v>8716000</v>
      </c>
      <c r="G214" s="4" t="str">
        <f>HYPERLINK("http://141.218.60.56/~jnz1568/getInfo.php?workbook=26_25.xlsx&amp;sheet=A0&amp;row=214&amp;col=7&amp;number=0&amp;sourceID=14","0")</f>
        <v>0</v>
      </c>
    </row>
    <row r="215" spans="1:7">
      <c r="A215" s="3">
        <v>26</v>
      </c>
      <c r="B215" s="3">
        <v>25</v>
      </c>
      <c r="C215" s="3">
        <v>48</v>
      </c>
      <c r="D215" s="3">
        <v>2</v>
      </c>
      <c r="E215" s="3">
        <v>2333.516</v>
      </c>
      <c r="F215" s="4" t="str">
        <f>HYPERLINK("http://141.218.60.56/~jnz1568/getInfo.php?workbook=26_25.xlsx&amp;sheet=A0&amp;row=215&amp;col=6&amp;number=133000000&amp;sourceID=14","133000000")</f>
        <v>133000000</v>
      </c>
      <c r="G215" s="4" t="str">
        <f>HYPERLINK("http://141.218.60.56/~jnz1568/getInfo.php?workbook=26_25.xlsx&amp;sheet=A0&amp;row=215&amp;col=7&amp;number=0&amp;sourceID=14","0")</f>
        <v>0</v>
      </c>
    </row>
    <row r="216" spans="1:7">
      <c r="A216" s="3">
        <v>26</v>
      </c>
      <c r="B216" s="3">
        <v>25</v>
      </c>
      <c r="C216" s="3">
        <v>48</v>
      </c>
      <c r="D216" s="3">
        <v>3</v>
      </c>
      <c r="E216" s="3">
        <v>2349.022</v>
      </c>
      <c r="F216" s="4" t="str">
        <f>HYPERLINK("http://141.218.60.56/~jnz1568/getInfo.php?workbook=26_25.xlsx&amp;sheet=A0&amp;row=216&amp;col=6&amp;number=93150000&amp;sourceID=14","93150000")</f>
        <v>93150000</v>
      </c>
      <c r="G216" s="4" t="str">
        <f>HYPERLINK("http://141.218.60.56/~jnz1568/getInfo.php?workbook=26_25.xlsx&amp;sheet=A0&amp;row=216&amp;col=7&amp;number=0&amp;sourceID=14","0")</f>
        <v>0</v>
      </c>
    </row>
    <row r="217" spans="1:7">
      <c r="A217" s="3">
        <v>26</v>
      </c>
      <c r="B217" s="3">
        <v>25</v>
      </c>
      <c r="C217" s="3">
        <v>48</v>
      </c>
      <c r="D217" s="3">
        <v>4</v>
      </c>
      <c r="E217" s="3">
        <v>2359.828</v>
      </c>
      <c r="F217" s="4" t="str">
        <f>HYPERLINK("http://141.218.60.56/~jnz1568/getInfo.php?workbook=26_25.xlsx&amp;sheet=A0&amp;row=217&amp;col=6&amp;number=30070000&amp;sourceID=14","30070000")</f>
        <v>30070000</v>
      </c>
      <c r="G217" s="4" t="str">
        <f>HYPERLINK("http://141.218.60.56/~jnz1568/getInfo.php?workbook=26_25.xlsx&amp;sheet=A0&amp;row=217&amp;col=7&amp;number=0&amp;sourceID=14","0")</f>
        <v>0</v>
      </c>
    </row>
    <row r="218" spans="1:7">
      <c r="A218" s="3">
        <v>26</v>
      </c>
      <c r="B218" s="3">
        <v>25</v>
      </c>
      <c r="C218" s="3">
        <v>49</v>
      </c>
      <c r="D218" s="3">
        <v>3</v>
      </c>
      <c r="E218" s="3">
        <v>2328.111</v>
      </c>
      <c r="F218" s="4" t="str">
        <f>HYPERLINK("http://141.218.60.56/~jnz1568/getInfo.php?workbook=26_25.xlsx&amp;sheet=A0&amp;row=218&amp;col=6&amp;number=73070000&amp;sourceID=14","73070000")</f>
        <v>73070000</v>
      </c>
      <c r="G218" s="4" t="str">
        <f>HYPERLINK("http://141.218.60.56/~jnz1568/getInfo.php?workbook=26_25.xlsx&amp;sheet=A0&amp;row=218&amp;col=7&amp;number=0&amp;sourceID=14","0")</f>
        <v>0</v>
      </c>
    </row>
    <row r="219" spans="1:7">
      <c r="A219" s="3">
        <v>26</v>
      </c>
      <c r="B219" s="3">
        <v>25</v>
      </c>
      <c r="C219" s="3">
        <v>49</v>
      </c>
      <c r="D219" s="3">
        <v>4</v>
      </c>
      <c r="E219" s="3">
        <v>2338.725</v>
      </c>
      <c r="F219" s="4" t="str">
        <f>HYPERLINK("http://141.218.60.56/~jnz1568/getInfo.php?workbook=26_25.xlsx&amp;sheet=A0&amp;row=219&amp;col=6&amp;number=108100000&amp;sourceID=14","108100000")</f>
        <v>108100000</v>
      </c>
      <c r="G219" s="4" t="str">
        <f>HYPERLINK("http://141.218.60.56/~jnz1568/getInfo.php?workbook=26_25.xlsx&amp;sheet=A0&amp;row=219&amp;col=7&amp;number=0&amp;sourceID=14","0")</f>
        <v>0</v>
      </c>
    </row>
    <row r="220" spans="1:7">
      <c r="A220" s="3">
        <v>26</v>
      </c>
      <c r="B220" s="3">
        <v>25</v>
      </c>
      <c r="C220" s="3">
        <v>49</v>
      </c>
      <c r="D220" s="3">
        <v>5</v>
      </c>
      <c r="E220" s="3">
        <v>2345.001</v>
      </c>
      <c r="F220" s="4" t="str">
        <f>HYPERLINK("http://141.218.60.56/~jnz1568/getInfo.php?workbook=26_25.xlsx&amp;sheet=A0&amp;row=220&amp;col=6&amp;number=76610000&amp;sourceID=14","76610000")</f>
        <v>76610000</v>
      </c>
      <c r="G220" s="4" t="str">
        <f>HYPERLINK("http://141.218.60.56/~jnz1568/getInfo.php?workbook=26_25.xlsx&amp;sheet=A0&amp;row=220&amp;col=7&amp;number=0&amp;sourceID=14","0")</f>
        <v>0</v>
      </c>
    </row>
    <row r="221" spans="1:7">
      <c r="A221" s="3">
        <v>26</v>
      </c>
      <c r="B221" s="3">
        <v>25</v>
      </c>
      <c r="C221" s="3">
        <v>50</v>
      </c>
      <c r="D221" s="3">
        <v>14</v>
      </c>
      <c r="E221" s="3">
        <v>3228.674</v>
      </c>
      <c r="F221" s="4" t="str">
        <f>HYPERLINK("http://141.218.60.56/~jnz1568/getInfo.php?workbook=26_25.xlsx&amp;sheet=A0&amp;row=221&amp;col=6&amp;number=10430000&amp;sourceID=14","10430000")</f>
        <v>10430000</v>
      </c>
      <c r="G221" s="4" t="str">
        <f>HYPERLINK("http://141.218.60.56/~jnz1568/getInfo.php?workbook=26_25.xlsx&amp;sheet=A0&amp;row=221&amp;col=7&amp;number=0&amp;sourceID=14","0")</f>
        <v>0</v>
      </c>
    </row>
    <row r="222" spans="1:7">
      <c r="A222" s="3">
        <v>26</v>
      </c>
      <c r="B222" s="3">
        <v>25</v>
      </c>
      <c r="C222" s="3">
        <v>50</v>
      </c>
      <c r="D222" s="3">
        <v>17</v>
      </c>
      <c r="E222" s="3">
        <v>4234.364</v>
      </c>
      <c r="F222" s="4" t="str">
        <f>HYPERLINK("http://141.218.60.56/~jnz1568/getInfo.php?workbook=26_25.xlsx&amp;sheet=A0&amp;row=222&amp;col=6&amp;number=18120&amp;sourceID=14","18120")</f>
        <v>18120</v>
      </c>
      <c r="G222" s="4" t="str">
        <f>HYPERLINK("http://141.218.60.56/~jnz1568/getInfo.php?workbook=26_25.xlsx&amp;sheet=A0&amp;row=222&amp;col=7&amp;number=0&amp;sourceID=14","0")</f>
        <v>0</v>
      </c>
    </row>
    <row r="223" spans="1:7">
      <c r="A223" s="3">
        <v>26</v>
      </c>
      <c r="B223" s="3">
        <v>25</v>
      </c>
      <c r="C223" s="3">
        <v>50</v>
      </c>
      <c r="D223" s="3">
        <v>10</v>
      </c>
      <c r="E223" s="3">
        <v>2740.358</v>
      </c>
      <c r="F223" s="4" t="str">
        <f>HYPERLINK("http://141.218.60.56/~jnz1568/getInfo.php?workbook=26_25.xlsx&amp;sheet=A0&amp;row=223&amp;col=6&amp;number=214100000&amp;sourceID=14","214100000")</f>
        <v>214100000</v>
      </c>
      <c r="G223" s="4" t="str">
        <f>HYPERLINK("http://141.218.60.56/~jnz1568/getInfo.php?workbook=26_25.xlsx&amp;sheet=A0&amp;row=223&amp;col=7&amp;number=0&amp;sourceID=14","0")</f>
        <v>0</v>
      </c>
    </row>
    <row r="224" spans="1:7">
      <c r="A224" s="3">
        <v>26</v>
      </c>
      <c r="B224" s="3">
        <v>25</v>
      </c>
      <c r="C224" s="3">
        <v>50</v>
      </c>
      <c r="D224" s="3">
        <v>11</v>
      </c>
      <c r="E224" s="3">
        <v>2773.545</v>
      </c>
      <c r="F224" s="4" t="str">
        <f>HYPERLINK("http://141.218.60.56/~jnz1568/getInfo.php?workbook=26_25.xlsx&amp;sheet=A0&amp;row=224&amp;col=6&amp;number=34320000&amp;sourceID=14","34320000")</f>
        <v>34320000</v>
      </c>
      <c r="G224" s="4" t="str">
        <f>HYPERLINK("http://141.218.60.56/~jnz1568/getInfo.php?workbook=26_25.xlsx&amp;sheet=A0&amp;row=224&amp;col=7&amp;number=0&amp;sourceID=14","0")</f>
        <v>0</v>
      </c>
    </row>
    <row r="225" spans="1:7">
      <c r="A225" s="3">
        <v>26</v>
      </c>
      <c r="B225" s="3">
        <v>25</v>
      </c>
      <c r="C225" s="3">
        <v>50</v>
      </c>
      <c r="D225" s="3">
        <v>32</v>
      </c>
      <c r="E225" s="3">
        <v>7713.845</v>
      </c>
      <c r="F225" s="4" t="str">
        <f>HYPERLINK("http://141.218.60.56/~jnz1568/getInfo.php?workbook=26_25.xlsx&amp;sheet=A0&amp;row=225&amp;col=6&amp;number=39800&amp;sourceID=14","39800")</f>
        <v>39800</v>
      </c>
      <c r="G225" s="4" t="str">
        <f>HYPERLINK("http://141.218.60.56/~jnz1568/getInfo.php?workbook=26_25.xlsx&amp;sheet=A0&amp;row=225&amp;col=7&amp;number=0&amp;sourceID=14","0")</f>
        <v>0</v>
      </c>
    </row>
    <row r="226" spans="1:7">
      <c r="A226" s="3">
        <v>26</v>
      </c>
      <c r="B226" s="3">
        <v>25</v>
      </c>
      <c r="C226" s="3">
        <v>50</v>
      </c>
      <c r="D226" s="3">
        <v>33</v>
      </c>
      <c r="E226" s="3">
        <v>7657.594</v>
      </c>
      <c r="F226" s="4" t="str">
        <f>HYPERLINK("http://141.218.60.56/~jnz1568/getInfo.php?workbook=26_25.xlsx&amp;sheet=A0&amp;row=226&amp;col=6&amp;number=6762&amp;sourceID=14","6762")</f>
        <v>6762</v>
      </c>
      <c r="G226" s="4" t="str">
        <f>HYPERLINK("http://141.218.60.56/~jnz1568/getInfo.php?workbook=26_25.xlsx&amp;sheet=A0&amp;row=226&amp;col=7&amp;number=0&amp;sourceID=14","0")</f>
        <v>0</v>
      </c>
    </row>
    <row r="227" spans="1:7">
      <c r="A227" s="3">
        <v>26</v>
      </c>
      <c r="B227" s="3">
        <v>25</v>
      </c>
      <c r="C227" s="3">
        <v>50</v>
      </c>
      <c r="D227" s="3">
        <v>6</v>
      </c>
      <c r="E227" s="3">
        <v>2348.834</v>
      </c>
      <c r="F227" s="4" t="str">
        <f>HYPERLINK("http://141.218.60.56/~jnz1568/getInfo.php?workbook=26_25.xlsx&amp;sheet=A0&amp;row=227&amp;col=6&amp;number=129900000&amp;sourceID=14","129900000")</f>
        <v>129900000</v>
      </c>
      <c r="G227" s="4" t="str">
        <f>HYPERLINK("http://141.218.60.56/~jnz1568/getInfo.php?workbook=26_25.xlsx&amp;sheet=A0&amp;row=227&amp;col=7&amp;number=0&amp;sourceID=14","0")</f>
        <v>0</v>
      </c>
    </row>
    <row r="228" spans="1:7">
      <c r="A228" s="3">
        <v>26</v>
      </c>
      <c r="B228" s="3">
        <v>25</v>
      </c>
      <c r="C228" s="3">
        <v>50</v>
      </c>
      <c r="D228" s="3">
        <v>7</v>
      </c>
      <c r="E228" s="3">
        <v>2380.001</v>
      </c>
      <c r="F228" s="4" t="str">
        <f>HYPERLINK("http://141.218.60.56/~jnz1568/getInfo.php?workbook=26_25.xlsx&amp;sheet=A0&amp;row=228&amp;col=6&amp;number=14230000&amp;sourceID=14","14230000")</f>
        <v>14230000</v>
      </c>
      <c r="G228" s="4" t="str">
        <f>HYPERLINK("http://141.218.60.56/~jnz1568/getInfo.php?workbook=26_25.xlsx&amp;sheet=A0&amp;row=228&amp;col=7&amp;number=0&amp;sourceID=14","0")</f>
        <v>0</v>
      </c>
    </row>
    <row r="229" spans="1:7">
      <c r="A229" s="3">
        <v>26</v>
      </c>
      <c r="B229" s="3">
        <v>25</v>
      </c>
      <c r="C229" s="3">
        <v>50</v>
      </c>
      <c r="D229" s="3">
        <v>8</v>
      </c>
      <c r="E229" s="3">
        <v>2403.33</v>
      </c>
      <c r="F229" s="4" t="str">
        <f>HYPERLINK("http://141.218.60.56/~jnz1568/getInfo.php?workbook=26_25.xlsx&amp;sheet=A0&amp;row=229&amp;col=6&amp;number=703200&amp;sourceID=14","703200")</f>
        <v>703200</v>
      </c>
      <c r="G229" s="4" t="str">
        <f>HYPERLINK("http://141.218.60.56/~jnz1568/getInfo.php?workbook=26_25.xlsx&amp;sheet=A0&amp;row=229&amp;col=7&amp;number=0&amp;sourceID=14","0")</f>
        <v>0</v>
      </c>
    </row>
    <row r="230" spans="1:7">
      <c r="A230" s="3">
        <v>26</v>
      </c>
      <c r="B230" s="3">
        <v>25</v>
      </c>
      <c r="C230" s="3">
        <v>50</v>
      </c>
      <c r="D230" s="3">
        <v>24</v>
      </c>
      <c r="E230" s="3">
        <v>4585.121</v>
      </c>
      <c r="F230" s="4" t="str">
        <f>HYPERLINK("http://141.218.60.56/~jnz1568/getInfo.php?workbook=26_25.xlsx&amp;sheet=A0&amp;row=230&amp;col=6&amp;number=160400&amp;sourceID=14","160400")</f>
        <v>160400</v>
      </c>
      <c r="G230" s="4" t="str">
        <f>HYPERLINK("http://141.218.60.56/~jnz1568/getInfo.php?workbook=26_25.xlsx&amp;sheet=A0&amp;row=230&amp;col=7&amp;number=0&amp;sourceID=14","0")</f>
        <v>0</v>
      </c>
    </row>
    <row r="231" spans="1:7">
      <c r="A231" s="3">
        <v>26</v>
      </c>
      <c r="B231" s="3">
        <v>25</v>
      </c>
      <c r="C231" s="3">
        <v>50</v>
      </c>
      <c r="D231" s="3">
        <v>25</v>
      </c>
      <c r="E231" s="3">
        <v>4621.815</v>
      </c>
      <c r="F231" s="4" t="str">
        <f>HYPERLINK("http://141.218.60.56/~jnz1568/getInfo.php?workbook=26_25.xlsx&amp;sheet=A0&amp;row=231&amp;col=6&amp;number=17860&amp;sourceID=14","17860")</f>
        <v>17860</v>
      </c>
      <c r="G231" s="4" t="str">
        <f>HYPERLINK("http://141.218.60.56/~jnz1568/getInfo.php?workbook=26_25.xlsx&amp;sheet=A0&amp;row=231&amp;col=7&amp;number=0&amp;sourceID=14","0")</f>
        <v>0</v>
      </c>
    </row>
    <row r="232" spans="1:7">
      <c r="A232" s="3">
        <v>26</v>
      </c>
      <c r="B232" s="3">
        <v>25</v>
      </c>
      <c r="C232" s="3">
        <v>51</v>
      </c>
      <c r="D232" s="3">
        <v>14</v>
      </c>
      <c r="E232" s="3">
        <v>3193.832</v>
      </c>
      <c r="F232" s="4" t="str">
        <f>HYPERLINK("http://141.218.60.56/~jnz1568/getInfo.php?workbook=26_25.xlsx&amp;sheet=A0&amp;row=232&amp;col=6&amp;number=3233000&amp;sourceID=14","3233000")</f>
        <v>3233000</v>
      </c>
      <c r="G232" s="4" t="str">
        <f>HYPERLINK("http://141.218.60.56/~jnz1568/getInfo.php?workbook=26_25.xlsx&amp;sheet=A0&amp;row=232&amp;col=7&amp;number=0&amp;sourceID=14","0")</f>
        <v>0</v>
      </c>
    </row>
    <row r="233" spans="1:7">
      <c r="A233" s="3">
        <v>26</v>
      </c>
      <c r="B233" s="3">
        <v>25</v>
      </c>
      <c r="C233" s="3">
        <v>51</v>
      </c>
      <c r="D233" s="3">
        <v>15</v>
      </c>
      <c r="E233" s="3">
        <v>3214.237</v>
      </c>
      <c r="F233" s="4" t="str">
        <f>HYPERLINK("http://141.218.60.56/~jnz1568/getInfo.php?workbook=26_25.xlsx&amp;sheet=A0&amp;row=233&amp;col=6&amp;number=7402000&amp;sourceID=14","7402000")</f>
        <v>7402000</v>
      </c>
      <c r="G233" s="4" t="str">
        <f>HYPERLINK("http://141.218.60.56/~jnz1568/getInfo.php?workbook=26_25.xlsx&amp;sheet=A0&amp;row=233&amp;col=7&amp;number=0&amp;sourceID=14","0")</f>
        <v>0</v>
      </c>
    </row>
    <row r="234" spans="1:7">
      <c r="A234" s="3">
        <v>26</v>
      </c>
      <c r="B234" s="3">
        <v>25</v>
      </c>
      <c r="C234" s="3">
        <v>51</v>
      </c>
      <c r="D234" s="3">
        <v>17</v>
      </c>
      <c r="E234" s="3">
        <v>4174.637</v>
      </c>
      <c r="F234" s="4" t="str">
        <f>HYPERLINK("http://141.218.60.56/~jnz1568/getInfo.php?workbook=26_25.xlsx&amp;sheet=A0&amp;row=234&amp;col=6&amp;number=5672&amp;sourceID=14","5672")</f>
        <v>5672</v>
      </c>
      <c r="G234" s="4" t="str">
        <f>HYPERLINK("http://141.218.60.56/~jnz1568/getInfo.php?workbook=26_25.xlsx&amp;sheet=A0&amp;row=234&amp;col=7&amp;number=0&amp;sourceID=14","0")</f>
        <v>0</v>
      </c>
    </row>
    <row r="235" spans="1:7">
      <c r="A235" s="3">
        <v>26</v>
      </c>
      <c r="B235" s="3">
        <v>25</v>
      </c>
      <c r="C235" s="3">
        <v>51</v>
      </c>
      <c r="D235" s="3">
        <v>18</v>
      </c>
      <c r="E235" s="3">
        <v>4352.992</v>
      </c>
      <c r="F235" s="4" t="str">
        <f>HYPERLINK("http://141.218.60.56/~jnz1568/getInfo.php?workbook=26_25.xlsx&amp;sheet=A0&amp;row=235&amp;col=6&amp;number=11670&amp;sourceID=14","11670")</f>
        <v>11670</v>
      </c>
      <c r="G235" s="4" t="str">
        <f>HYPERLINK("http://141.218.60.56/~jnz1568/getInfo.php?workbook=26_25.xlsx&amp;sheet=A0&amp;row=235&amp;col=7&amp;number=0&amp;sourceID=14","0")</f>
        <v>0</v>
      </c>
    </row>
    <row r="236" spans="1:7">
      <c r="A236" s="3">
        <v>26</v>
      </c>
      <c r="B236" s="3">
        <v>25</v>
      </c>
      <c r="C236" s="3">
        <v>51</v>
      </c>
      <c r="D236" s="3">
        <v>10</v>
      </c>
      <c r="E236" s="3">
        <v>2715.218</v>
      </c>
      <c r="F236" s="4" t="str">
        <f>HYPERLINK("http://141.218.60.56/~jnz1568/getInfo.php?workbook=26_25.xlsx&amp;sheet=A0&amp;row=236&amp;col=6&amp;number=48770000&amp;sourceID=14","48770000")</f>
        <v>48770000</v>
      </c>
      <c r="G236" s="4" t="str">
        <f>HYPERLINK("http://141.218.60.56/~jnz1568/getInfo.php?workbook=26_25.xlsx&amp;sheet=A0&amp;row=236&amp;col=7&amp;number=0&amp;sourceID=14","0")</f>
        <v>0</v>
      </c>
    </row>
    <row r="237" spans="1:7">
      <c r="A237" s="3">
        <v>26</v>
      </c>
      <c r="B237" s="3">
        <v>25</v>
      </c>
      <c r="C237" s="3">
        <v>51</v>
      </c>
      <c r="D237" s="3">
        <v>11</v>
      </c>
      <c r="E237" s="3">
        <v>2747.794</v>
      </c>
      <c r="F237" s="4" t="str">
        <f>HYPERLINK("http://141.218.60.56/~jnz1568/getInfo.php?workbook=26_25.xlsx&amp;sheet=A0&amp;row=237&amp;col=6&amp;number=142000000&amp;sourceID=14","142000000")</f>
        <v>142000000</v>
      </c>
      <c r="G237" s="4" t="str">
        <f>HYPERLINK("http://141.218.60.56/~jnz1568/getInfo.php?workbook=26_25.xlsx&amp;sheet=A0&amp;row=237&amp;col=7&amp;number=0&amp;sourceID=14","0")</f>
        <v>0</v>
      </c>
    </row>
    <row r="238" spans="1:7">
      <c r="A238" s="3">
        <v>26</v>
      </c>
      <c r="B238" s="3">
        <v>25</v>
      </c>
      <c r="C238" s="3">
        <v>51</v>
      </c>
      <c r="D238" s="3">
        <v>12</v>
      </c>
      <c r="E238" s="3">
        <v>2769.753</v>
      </c>
      <c r="F238" s="4" t="str">
        <f>HYPERLINK("http://141.218.60.56/~jnz1568/getInfo.php?workbook=26_25.xlsx&amp;sheet=A0&amp;row=238&amp;col=6&amp;number=56430000&amp;sourceID=14","56430000")</f>
        <v>56430000</v>
      </c>
      <c r="G238" s="4" t="str">
        <f>HYPERLINK("http://141.218.60.56/~jnz1568/getInfo.php?workbook=26_25.xlsx&amp;sheet=A0&amp;row=238&amp;col=7&amp;number=0&amp;sourceID=14","0")</f>
        <v>0</v>
      </c>
    </row>
    <row r="239" spans="1:7">
      <c r="A239" s="3">
        <v>26</v>
      </c>
      <c r="B239" s="3">
        <v>25</v>
      </c>
      <c r="C239" s="3">
        <v>51</v>
      </c>
      <c r="D239" s="3">
        <v>32</v>
      </c>
      <c r="E239" s="3">
        <v>7517.901</v>
      </c>
      <c r="F239" s="4" t="str">
        <f>HYPERLINK("http://141.218.60.56/~jnz1568/getInfo.php?workbook=26_25.xlsx&amp;sheet=A0&amp;row=239&amp;col=6&amp;number=9528&amp;sourceID=14","9528")</f>
        <v>9528</v>
      </c>
      <c r="G239" s="4" t="str">
        <f>HYPERLINK("http://141.218.60.56/~jnz1568/getInfo.php?workbook=26_25.xlsx&amp;sheet=A0&amp;row=239&amp;col=7&amp;number=0&amp;sourceID=14","0")</f>
        <v>0</v>
      </c>
    </row>
    <row r="240" spans="1:7">
      <c r="A240" s="3">
        <v>26</v>
      </c>
      <c r="B240" s="3">
        <v>25</v>
      </c>
      <c r="C240" s="3">
        <v>51</v>
      </c>
      <c r="D240" s="3">
        <v>33</v>
      </c>
      <c r="E240" s="3">
        <v>7464.461</v>
      </c>
      <c r="F240" s="4" t="str">
        <f>HYPERLINK("http://141.218.60.56/~jnz1568/getInfo.php?workbook=26_25.xlsx&amp;sheet=A0&amp;row=240&amp;col=6&amp;number=29370&amp;sourceID=14","29370")</f>
        <v>29370</v>
      </c>
      <c r="G240" s="4" t="str">
        <f>HYPERLINK("http://141.218.60.56/~jnz1568/getInfo.php?workbook=26_25.xlsx&amp;sheet=A0&amp;row=240&amp;col=7&amp;number=0&amp;sourceID=14","0")</f>
        <v>0</v>
      </c>
    </row>
    <row r="241" spans="1:7">
      <c r="A241" s="3">
        <v>26</v>
      </c>
      <c r="B241" s="3">
        <v>25</v>
      </c>
      <c r="C241" s="3">
        <v>51</v>
      </c>
      <c r="D241" s="3">
        <v>34</v>
      </c>
      <c r="E241" s="3">
        <v>7451.386</v>
      </c>
      <c r="F241" s="4" t="str">
        <f>HYPERLINK("http://141.218.60.56/~jnz1568/getInfo.php?workbook=26_25.xlsx&amp;sheet=A0&amp;row=241&amp;col=6&amp;number=12020&amp;sourceID=14","12020")</f>
        <v>12020</v>
      </c>
      <c r="G241" s="4" t="str">
        <f>HYPERLINK("http://141.218.60.56/~jnz1568/getInfo.php?workbook=26_25.xlsx&amp;sheet=A0&amp;row=241&amp;col=7&amp;number=0&amp;sourceID=14","0")</f>
        <v>0</v>
      </c>
    </row>
    <row r="242" spans="1:7">
      <c r="A242" s="3">
        <v>26</v>
      </c>
      <c r="B242" s="3">
        <v>25</v>
      </c>
      <c r="C242" s="3">
        <v>51</v>
      </c>
      <c r="D242" s="3">
        <v>7</v>
      </c>
      <c r="E242" s="3">
        <v>2361.015</v>
      </c>
      <c r="F242" s="4" t="str">
        <f>HYPERLINK("http://141.218.60.56/~jnz1568/getInfo.php?workbook=26_25.xlsx&amp;sheet=A0&amp;row=242&amp;col=6&amp;number=117000000&amp;sourceID=14","117000000")</f>
        <v>117000000</v>
      </c>
      <c r="G242" s="4" t="str">
        <f>HYPERLINK("http://141.218.60.56/~jnz1568/getInfo.php?workbook=26_25.xlsx&amp;sheet=A0&amp;row=242&amp;col=7&amp;number=0&amp;sourceID=14","0")</f>
        <v>0</v>
      </c>
    </row>
    <row r="243" spans="1:7">
      <c r="A243" s="3">
        <v>26</v>
      </c>
      <c r="B243" s="3">
        <v>25</v>
      </c>
      <c r="C243" s="3">
        <v>51</v>
      </c>
      <c r="D243" s="3">
        <v>8</v>
      </c>
      <c r="E243" s="3">
        <v>2383.971</v>
      </c>
      <c r="F243" s="4" t="str">
        <f>HYPERLINK("http://141.218.60.56/~jnz1568/getInfo.php?workbook=26_25.xlsx&amp;sheet=A0&amp;row=243&amp;col=6&amp;number=24180000&amp;sourceID=14","24180000")</f>
        <v>24180000</v>
      </c>
      <c r="G243" s="4" t="str">
        <f>HYPERLINK("http://141.218.60.56/~jnz1568/getInfo.php?workbook=26_25.xlsx&amp;sheet=A0&amp;row=243&amp;col=7&amp;number=0&amp;sourceID=14","0")</f>
        <v>0</v>
      </c>
    </row>
    <row r="244" spans="1:7">
      <c r="A244" s="3">
        <v>26</v>
      </c>
      <c r="B244" s="3">
        <v>25</v>
      </c>
      <c r="C244" s="3">
        <v>51</v>
      </c>
      <c r="D244" s="3">
        <v>9</v>
      </c>
      <c r="E244" s="3">
        <v>2399.963</v>
      </c>
      <c r="F244" s="4" t="str">
        <f>HYPERLINK("http://141.218.60.56/~jnz1568/getInfo.php?workbook=26_25.xlsx&amp;sheet=A0&amp;row=244&amp;col=6&amp;number=1299000&amp;sourceID=14","1299000")</f>
        <v>1299000</v>
      </c>
      <c r="G244" s="4" t="str">
        <f>HYPERLINK("http://141.218.60.56/~jnz1568/getInfo.php?workbook=26_25.xlsx&amp;sheet=A0&amp;row=244&amp;col=7&amp;number=0&amp;sourceID=14","0")</f>
        <v>0</v>
      </c>
    </row>
    <row r="245" spans="1:7">
      <c r="A245" s="3">
        <v>26</v>
      </c>
      <c r="B245" s="3">
        <v>25</v>
      </c>
      <c r="C245" s="3">
        <v>51</v>
      </c>
      <c r="D245" s="3">
        <v>25</v>
      </c>
      <c r="E245" s="3">
        <v>4550.749</v>
      </c>
      <c r="F245" s="4" t="str">
        <f>HYPERLINK("http://141.218.60.56/~jnz1568/getInfo.php?workbook=26_25.xlsx&amp;sheet=A0&amp;row=245&amp;col=6&amp;number=150100&amp;sourceID=14","150100")</f>
        <v>150100</v>
      </c>
      <c r="G245" s="4" t="str">
        <f>HYPERLINK("http://141.218.60.56/~jnz1568/getInfo.php?workbook=26_25.xlsx&amp;sheet=A0&amp;row=245&amp;col=7&amp;number=0&amp;sourceID=14","0")</f>
        <v>0</v>
      </c>
    </row>
    <row r="246" spans="1:7">
      <c r="A246" s="3">
        <v>26</v>
      </c>
      <c r="B246" s="3">
        <v>25</v>
      </c>
      <c r="C246" s="3">
        <v>51</v>
      </c>
      <c r="D246" s="3">
        <v>26</v>
      </c>
      <c r="E246" s="3">
        <v>4577.622</v>
      </c>
      <c r="F246" s="4" t="str">
        <f>HYPERLINK("http://141.218.60.56/~jnz1568/getInfo.php?workbook=26_25.xlsx&amp;sheet=A0&amp;row=246&amp;col=6&amp;number=31390&amp;sourceID=14","31390")</f>
        <v>31390</v>
      </c>
      <c r="G246" s="4" t="str">
        <f>HYPERLINK("http://141.218.60.56/~jnz1568/getInfo.php?workbook=26_25.xlsx&amp;sheet=A0&amp;row=246&amp;col=7&amp;number=0&amp;sourceID=14","0")</f>
        <v>0</v>
      </c>
    </row>
    <row r="247" spans="1:7">
      <c r="A247" s="3">
        <v>26</v>
      </c>
      <c r="B247" s="3">
        <v>25</v>
      </c>
      <c r="C247" s="3">
        <v>52</v>
      </c>
      <c r="D247" s="3">
        <v>14</v>
      </c>
      <c r="E247" s="3">
        <v>3167.588</v>
      </c>
      <c r="F247" s="4" t="str">
        <f>HYPERLINK("http://141.218.60.56/~jnz1568/getInfo.php?workbook=26_25.xlsx&amp;sheet=A0&amp;row=247&amp;col=6&amp;number=552400&amp;sourceID=14","552400")</f>
        <v>552400</v>
      </c>
      <c r="G247" s="4" t="str">
        <f>HYPERLINK("http://141.218.60.56/~jnz1568/getInfo.php?workbook=26_25.xlsx&amp;sheet=A0&amp;row=247&amp;col=7&amp;number=0&amp;sourceID=14","0")</f>
        <v>0</v>
      </c>
    </row>
    <row r="248" spans="1:7">
      <c r="A248" s="3">
        <v>26</v>
      </c>
      <c r="B248" s="3">
        <v>25</v>
      </c>
      <c r="C248" s="3">
        <v>52</v>
      </c>
      <c r="D248" s="3">
        <v>15</v>
      </c>
      <c r="E248" s="3">
        <v>3187.659</v>
      </c>
      <c r="F248" s="4" t="str">
        <f>HYPERLINK("http://141.218.60.56/~jnz1568/getInfo.php?workbook=26_25.xlsx&amp;sheet=A0&amp;row=248&amp;col=6&amp;number=5782000&amp;sourceID=14","5782000")</f>
        <v>5782000</v>
      </c>
      <c r="G248" s="4" t="str">
        <f>HYPERLINK("http://141.218.60.56/~jnz1568/getInfo.php?workbook=26_25.xlsx&amp;sheet=A0&amp;row=248&amp;col=7&amp;number=0&amp;sourceID=14","0")</f>
        <v>0</v>
      </c>
    </row>
    <row r="249" spans="1:7">
      <c r="A249" s="3">
        <v>26</v>
      </c>
      <c r="B249" s="3">
        <v>25</v>
      </c>
      <c r="C249" s="3">
        <v>52</v>
      </c>
      <c r="D249" s="3">
        <v>16</v>
      </c>
      <c r="E249" s="3">
        <v>3211.371</v>
      </c>
      <c r="F249" s="4" t="str">
        <f>HYPERLINK("http://141.218.60.56/~jnz1568/getInfo.php?workbook=26_25.xlsx&amp;sheet=A0&amp;row=249&amp;col=6&amp;number=4418000&amp;sourceID=14","4418000")</f>
        <v>4418000</v>
      </c>
      <c r="G249" s="4" t="str">
        <f>HYPERLINK("http://141.218.60.56/~jnz1568/getInfo.php?workbook=26_25.xlsx&amp;sheet=A0&amp;row=249&amp;col=7&amp;number=0&amp;sourceID=14","0")</f>
        <v>0</v>
      </c>
    </row>
    <row r="250" spans="1:7">
      <c r="A250" s="3">
        <v>26</v>
      </c>
      <c r="B250" s="3">
        <v>25</v>
      </c>
      <c r="C250" s="3">
        <v>52</v>
      </c>
      <c r="D250" s="3">
        <v>18</v>
      </c>
      <c r="E250" s="3">
        <v>4304.387</v>
      </c>
      <c r="F250" s="4" t="str">
        <f>HYPERLINK("http://141.218.60.56/~jnz1568/getInfo.php?workbook=26_25.xlsx&amp;sheet=A0&amp;row=250&amp;col=6&amp;number=9197&amp;sourceID=14","9197")</f>
        <v>9197</v>
      </c>
      <c r="G250" s="4" t="str">
        <f>HYPERLINK("http://141.218.60.56/~jnz1568/getInfo.php?workbook=26_25.xlsx&amp;sheet=A0&amp;row=250&amp;col=7&amp;number=0&amp;sourceID=14","0")</f>
        <v>0</v>
      </c>
    </row>
    <row r="251" spans="1:7">
      <c r="A251" s="3">
        <v>26</v>
      </c>
      <c r="B251" s="3">
        <v>25</v>
      </c>
      <c r="C251" s="3">
        <v>52</v>
      </c>
      <c r="D251" s="3">
        <v>19</v>
      </c>
      <c r="E251" s="3">
        <v>4418.07</v>
      </c>
      <c r="F251" s="4" t="str">
        <f>HYPERLINK("http://141.218.60.56/~jnz1568/getInfo.php?workbook=26_25.xlsx&amp;sheet=A0&amp;row=251&amp;col=6&amp;number=6645&amp;sourceID=14","6645")</f>
        <v>6645</v>
      </c>
      <c r="G251" s="4" t="str">
        <f>HYPERLINK("http://141.218.60.56/~jnz1568/getInfo.php?workbook=26_25.xlsx&amp;sheet=A0&amp;row=251&amp;col=7&amp;number=0&amp;sourceID=14","0")</f>
        <v>0</v>
      </c>
    </row>
    <row r="252" spans="1:7">
      <c r="A252" s="3">
        <v>26</v>
      </c>
      <c r="B252" s="3">
        <v>25</v>
      </c>
      <c r="C252" s="3">
        <v>52</v>
      </c>
      <c r="D252" s="3">
        <v>11</v>
      </c>
      <c r="E252" s="3">
        <v>2728.347</v>
      </c>
      <c r="F252" s="4" t="str">
        <f>HYPERLINK("http://141.218.60.56/~jnz1568/getInfo.php?workbook=26_25.xlsx&amp;sheet=A0&amp;row=252&amp;col=6&amp;number=88550000&amp;sourceID=14","88550000")</f>
        <v>88550000</v>
      </c>
      <c r="G252" s="4" t="str">
        <f>HYPERLINK("http://141.218.60.56/~jnz1568/getInfo.php?workbook=26_25.xlsx&amp;sheet=A0&amp;row=252&amp;col=7&amp;number=0&amp;sourceID=14","0")</f>
        <v>0</v>
      </c>
    </row>
    <row r="253" spans="1:7">
      <c r="A253" s="3">
        <v>26</v>
      </c>
      <c r="B253" s="3">
        <v>25</v>
      </c>
      <c r="C253" s="3">
        <v>52</v>
      </c>
      <c r="D253" s="3">
        <v>12</v>
      </c>
      <c r="E253" s="3">
        <v>2749.994</v>
      </c>
      <c r="F253" s="4" t="str">
        <f>HYPERLINK("http://141.218.60.56/~jnz1568/getInfo.php?workbook=26_25.xlsx&amp;sheet=A0&amp;row=253&amp;col=6&amp;number=98830000&amp;sourceID=14","98830000")</f>
        <v>98830000</v>
      </c>
      <c r="G253" s="4" t="str">
        <f>HYPERLINK("http://141.218.60.56/~jnz1568/getInfo.php?workbook=26_25.xlsx&amp;sheet=A0&amp;row=253&amp;col=7&amp;number=0&amp;sourceID=14","0")</f>
        <v>0</v>
      </c>
    </row>
    <row r="254" spans="1:7">
      <c r="A254" s="3">
        <v>26</v>
      </c>
      <c r="B254" s="3">
        <v>25</v>
      </c>
      <c r="C254" s="3">
        <v>52</v>
      </c>
      <c r="D254" s="3">
        <v>13</v>
      </c>
      <c r="E254" s="3">
        <v>2762.629</v>
      </c>
      <c r="F254" s="4" t="str">
        <f>HYPERLINK("http://141.218.60.56/~jnz1568/getInfo.php?workbook=26_25.xlsx&amp;sheet=A0&amp;row=254&amp;col=6&amp;number=60930000&amp;sourceID=14","60930000")</f>
        <v>60930000</v>
      </c>
      <c r="G254" s="4" t="str">
        <f>HYPERLINK("http://141.218.60.56/~jnz1568/getInfo.php?workbook=26_25.xlsx&amp;sheet=A0&amp;row=254&amp;col=7&amp;number=0&amp;sourceID=14","0")</f>
        <v>0</v>
      </c>
    </row>
    <row r="255" spans="1:7">
      <c r="A255" s="3">
        <v>26</v>
      </c>
      <c r="B255" s="3">
        <v>25</v>
      </c>
      <c r="C255" s="3">
        <v>52</v>
      </c>
      <c r="D255" s="3">
        <v>33</v>
      </c>
      <c r="E255" s="3">
        <v>7322.67</v>
      </c>
      <c r="F255" s="4" t="str">
        <f>HYPERLINK("http://141.218.60.56/~jnz1568/getInfo.php?workbook=26_25.xlsx&amp;sheet=A0&amp;row=255&amp;col=6&amp;number=18990&amp;sourceID=14","18990")</f>
        <v>18990</v>
      </c>
      <c r="G255" s="4" t="str">
        <f>HYPERLINK("http://141.218.60.56/~jnz1568/getInfo.php?workbook=26_25.xlsx&amp;sheet=A0&amp;row=255&amp;col=7&amp;number=0&amp;sourceID=14","0")</f>
        <v>0</v>
      </c>
    </row>
    <row r="256" spans="1:7">
      <c r="A256" s="3">
        <v>26</v>
      </c>
      <c r="B256" s="3">
        <v>25</v>
      </c>
      <c r="C256" s="3">
        <v>52</v>
      </c>
      <c r="D256" s="3">
        <v>34</v>
      </c>
      <c r="E256" s="3">
        <v>7310.087</v>
      </c>
      <c r="F256" s="4" t="str">
        <f>HYPERLINK("http://141.218.60.56/~jnz1568/getInfo.php?workbook=26_25.xlsx&amp;sheet=A0&amp;row=256&amp;col=6&amp;number=21820&amp;sourceID=14","21820")</f>
        <v>21820</v>
      </c>
      <c r="G256" s="4" t="str">
        <f>HYPERLINK("http://141.218.60.56/~jnz1568/getInfo.php?workbook=26_25.xlsx&amp;sheet=A0&amp;row=256&amp;col=7&amp;number=0&amp;sourceID=14","0")</f>
        <v>0</v>
      </c>
    </row>
    <row r="257" spans="1:7">
      <c r="A257" s="3">
        <v>26</v>
      </c>
      <c r="B257" s="3">
        <v>25</v>
      </c>
      <c r="C257" s="3">
        <v>52</v>
      </c>
      <c r="D257" s="3">
        <v>35</v>
      </c>
      <c r="E257" s="3">
        <v>7312.23</v>
      </c>
      <c r="F257" s="4" t="str">
        <f>HYPERLINK("http://141.218.60.56/~jnz1568/getInfo.php?workbook=26_25.xlsx&amp;sheet=A0&amp;row=257&amp;col=6&amp;number=13620&amp;sourceID=14","13620")</f>
        <v>13620</v>
      </c>
      <c r="G257" s="4" t="str">
        <f>HYPERLINK("http://141.218.60.56/~jnz1568/getInfo.php?workbook=26_25.xlsx&amp;sheet=A0&amp;row=257&amp;col=7&amp;number=0&amp;sourceID=14","0")</f>
        <v>0</v>
      </c>
    </row>
    <row r="258" spans="1:7">
      <c r="A258" s="3">
        <v>26</v>
      </c>
      <c r="B258" s="3">
        <v>25</v>
      </c>
      <c r="C258" s="3">
        <v>52</v>
      </c>
      <c r="D258" s="3">
        <v>8</v>
      </c>
      <c r="E258" s="3">
        <v>2369.319</v>
      </c>
      <c r="F258" s="4" t="str">
        <f>HYPERLINK("http://141.218.60.56/~jnz1568/getInfo.php?workbook=26_25.xlsx&amp;sheet=A0&amp;row=258&amp;col=6&amp;number=113900000&amp;sourceID=14","113900000")</f>
        <v>113900000</v>
      </c>
      <c r="G258" s="4" t="str">
        <f>HYPERLINK("http://141.218.60.56/~jnz1568/getInfo.php?workbook=26_25.xlsx&amp;sheet=A0&amp;row=258&amp;col=7&amp;number=0&amp;sourceID=14","0")</f>
        <v>0</v>
      </c>
    </row>
    <row r="259" spans="1:7">
      <c r="A259" s="3">
        <v>26</v>
      </c>
      <c r="B259" s="3">
        <v>25</v>
      </c>
      <c r="C259" s="3">
        <v>52</v>
      </c>
      <c r="D259" s="3">
        <v>9</v>
      </c>
      <c r="E259" s="3">
        <v>2385.115</v>
      </c>
      <c r="F259" s="4" t="str">
        <f>HYPERLINK("http://141.218.60.56/~jnz1568/getInfo.php?workbook=26_25.xlsx&amp;sheet=A0&amp;row=259&amp;col=6&amp;number=27790000&amp;sourceID=14","27790000")</f>
        <v>27790000</v>
      </c>
      <c r="G259" s="4" t="str">
        <f>HYPERLINK("http://141.218.60.56/~jnz1568/getInfo.php?workbook=26_25.xlsx&amp;sheet=A0&amp;row=259&amp;col=7&amp;number=0&amp;sourceID=14","0")</f>
        <v>0</v>
      </c>
    </row>
    <row r="260" spans="1:7">
      <c r="A260" s="3">
        <v>26</v>
      </c>
      <c r="B260" s="3">
        <v>25</v>
      </c>
      <c r="C260" s="3">
        <v>52</v>
      </c>
      <c r="D260" s="3">
        <v>26</v>
      </c>
      <c r="E260" s="3">
        <v>4523.902</v>
      </c>
      <c r="F260" s="4" t="str">
        <f>HYPERLINK("http://141.218.60.56/~jnz1568/getInfo.php?workbook=26_25.xlsx&amp;sheet=A0&amp;row=260&amp;col=6&amp;number=150300&amp;sourceID=14","150300")</f>
        <v>150300</v>
      </c>
      <c r="G260" s="4" t="str">
        <f>HYPERLINK("http://141.218.60.56/~jnz1568/getInfo.php?workbook=26_25.xlsx&amp;sheet=A0&amp;row=260&amp;col=7&amp;number=0&amp;sourceID=14","0")</f>
        <v>0</v>
      </c>
    </row>
    <row r="261" spans="1:7">
      <c r="A261" s="3">
        <v>26</v>
      </c>
      <c r="B261" s="3">
        <v>25</v>
      </c>
      <c r="C261" s="3">
        <v>52</v>
      </c>
      <c r="D261" s="3">
        <v>27</v>
      </c>
      <c r="E261" s="3">
        <v>4542.798</v>
      </c>
      <c r="F261" s="4" t="str">
        <f>HYPERLINK("http://141.218.60.56/~jnz1568/getInfo.php?workbook=26_25.xlsx&amp;sheet=A0&amp;row=261&amp;col=6&amp;number=36950&amp;sourceID=14","36950")</f>
        <v>36950</v>
      </c>
      <c r="G261" s="4" t="str">
        <f>HYPERLINK("http://141.218.60.56/~jnz1568/getInfo.php?workbook=26_25.xlsx&amp;sheet=A0&amp;row=261&amp;col=7&amp;number=0&amp;sourceID=14","0")</f>
        <v>0</v>
      </c>
    </row>
    <row r="262" spans="1:7">
      <c r="A262" s="3">
        <v>26</v>
      </c>
      <c r="B262" s="3">
        <v>25</v>
      </c>
      <c r="C262" s="3">
        <v>53</v>
      </c>
      <c r="D262" s="3">
        <v>15</v>
      </c>
      <c r="E262" s="3">
        <v>3171.254</v>
      </c>
      <c r="F262" s="4" t="str">
        <f>HYPERLINK("http://141.218.60.56/~jnz1568/getInfo.php?workbook=26_25.xlsx&amp;sheet=A0&amp;row=262&amp;col=6&amp;number=1835000&amp;sourceID=14","1835000")</f>
        <v>1835000</v>
      </c>
      <c r="G262" s="4" t="str">
        <f>HYPERLINK("http://141.218.60.56/~jnz1568/getInfo.php?workbook=26_25.xlsx&amp;sheet=A0&amp;row=262&amp;col=7&amp;number=0&amp;sourceID=14","0")</f>
        <v>0</v>
      </c>
    </row>
    <row r="263" spans="1:7">
      <c r="A263" s="3">
        <v>26</v>
      </c>
      <c r="B263" s="3">
        <v>25</v>
      </c>
      <c r="C263" s="3">
        <v>53</v>
      </c>
      <c r="D263" s="3">
        <v>16</v>
      </c>
      <c r="E263" s="3">
        <v>3194.722</v>
      </c>
      <c r="F263" s="4" t="str">
        <f>HYPERLINK("http://141.218.60.56/~jnz1568/getInfo.php?workbook=26_25.xlsx&amp;sheet=A0&amp;row=263&amp;col=6&amp;number=8974000&amp;sourceID=14","8974000")</f>
        <v>8974000</v>
      </c>
      <c r="G263" s="4" t="str">
        <f>HYPERLINK("http://141.218.60.56/~jnz1568/getInfo.php?workbook=26_25.xlsx&amp;sheet=A0&amp;row=263&amp;col=7&amp;number=0&amp;sourceID=14","0")</f>
        <v>0</v>
      </c>
    </row>
    <row r="264" spans="1:7">
      <c r="A264" s="3">
        <v>26</v>
      </c>
      <c r="B264" s="3">
        <v>25</v>
      </c>
      <c r="C264" s="3">
        <v>53</v>
      </c>
      <c r="D264" s="3">
        <v>19</v>
      </c>
      <c r="E264" s="3">
        <v>4386.62</v>
      </c>
      <c r="F264" s="4" t="str">
        <f>HYPERLINK("http://141.218.60.56/~jnz1568/getInfo.php?workbook=26_25.xlsx&amp;sheet=A0&amp;row=264&amp;col=6&amp;number=13580&amp;sourceID=14","13580")</f>
        <v>13580</v>
      </c>
      <c r="G264" s="4" t="str">
        <f>HYPERLINK("http://141.218.60.56/~jnz1568/getInfo.php?workbook=26_25.xlsx&amp;sheet=A0&amp;row=264&amp;col=7&amp;number=0&amp;sourceID=14","0")</f>
        <v>0</v>
      </c>
    </row>
    <row r="265" spans="1:7">
      <c r="A265" s="3">
        <v>26</v>
      </c>
      <c r="B265" s="3">
        <v>25</v>
      </c>
      <c r="C265" s="3">
        <v>53</v>
      </c>
      <c r="D265" s="3">
        <v>12</v>
      </c>
      <c r="E265" s="3">
        <v>2737.776</v>
      </c>
      <c r="F265" s="4" t="str">
        <f>HYPERLINK("http://141.218.60.56/~jnz1568/getInfo.php?workbook=26_25.xlsx&amp;sheet=A0&amp;row=265&amp;col=6&amp;number=125200000&amp;sourceID=14","125200000")</f>
        <v>125200000</v>
      </c>
      <c r="G265" s="4" t="str">
        <f>HYPERLINK("http://141.218.60.56/~jnz1568/getInfo.php?workbook=26_25.xlsx&amp;sheet=A0&amp;row=265&amp;col=7&amp;number=0&amp;sourceID=14","0")</f>
        <v>0</v>
      </c>
    </row>
    <row r="266" spans="1:7">
      <c r="A266" s="3">
        <v>26</v>
      </c>
      <c r="B266" s="3">
        <v>25</v>
      </c>
      <c r="C266" s="3">
        <v>53</v>
      </c>
      <c r="D266" s="3">
        <v>13</v>
      </c>
      <c r="E266" s="3">
        <v>2750.299</v>
      </c>
      <c r="F266" s="4" t="str">
        <f>HYPERLINK("http://141.218.60.56/~jnz1568/getInfo.php?workbook=26_25.xlsx&amp;sheet=A0&amp;row=266&amp;col=6&amp;number=123500000&amp;sourceID=14","123500000")</f>
        <v>123500000</v>
      </c>
      <c r="G266" s="4" t="str">
        <f>HYPERLINK("http://141.218.60.56/~jnz1568/getInfo.php?workbook=26_25.xlsx&amp;sheet=A0&amp;row=266&amp;col=7&amp;number=0&amp;sourceID=14","0")</f>
        <v>0</v>
      </c>
    </row>
    <row r="267" spans="1:7">
      <c r="A267" s="3">
        <v>26</v>
      </c>
      <c r="B267" s="3">
        <v>25</v>
      </c>
      <c r="C267" s="3">
        <v>53</v>
      </c>
      <c r="D267" s="3">
        <v>34</v>
      </c>
      <c r="E267" s="3">
        <v>7224.384</v>
      </c>
      <c r="F267" s="4" t="str">
        <f>HYPERLINK("http://141.218.60.56/~jnz1568/getInfo.php?workbook=26_25.xlsx&amp;sheet=A0&amp;row=267&amp;col=6&amp;number=28260&amp;sourceID=14","28260")</f>
        <v>28260</v>
      </c>
      <c r="G267" s="4" t="str">
        <f>HYPERLINK("http://141.218.60.56/~jnz1568/getInfo.php?workbook=26_25.xlsx&amp;sheet=A0&amp;row=267&amp;col=7&amp;number=0&amp;sourceID=14","0")</f>
        <v>0</v>
      </c>
    </row>
    <row r="268" spans="1:7">
      <c r="A268" s="3">
        <v>26</v>
      </c>
      <c r="B268" s="3">
        <v>25</v>
      </c>
      <c r="C268" s="3">
        <v>53</v>
      </c>
      <c r="D268" s="3">
        <v>35</v>
      </c>
      <c r="E268" s="3">
        <v>7226.478</v>
      </c>
      <c r="F268" s="4" t="str">
        <f>HYPERLINK("http://141.218.60.56/~jnz1568/getInfo.php?workbook=26_25.xlsx&amp;sheet=A0&amp;row=268&amp;col=6&amp;number=28230&amp;sourceID=14","28230")</f>
        <v>28230</v>
      </c>
      <c r="G268" s="4" t="str">
        <f>HYPERLINK("http://141.218.60.56/~jnz1568/getInfo.php?workbook=26_25.xlsx&amp;sheet=A0&amp;row=268&amp;col=7&amp;number=0&amp;sourceID=14","0")</f>
        <v>0</v>
      </c>
    </row>
    <row r="269" spans="1:7">
      <c r="A269" s="3">
        <v>26</v>
      </c>
      <c r="B269" s="3">
        <v>25</v>
      </c>
      <c r="C269" s="3">
        <v>53</v>
      </c>
      <c r="D269" s="3">
        <v>9</v>
      </c>
      <c r="E269" s="3">
        <v>2375.918</v>
      </c>
      <c r="F269" s="4" t="str">
        <f>HYPERLINK("http://141.218.60.56/~jnz1568/getInfo.php?workbook=26_25.xlsx&amp;sheet=A0&amp;row=269&amp;col=6&amp;number=140600000&amp;sourceID=14","140600000")</f>
        <v>140600000</v>
      </c>
      <c r="G269" s="4" t="str">
        <f>HYPERLINK("http://141.218.60.56/~jnz1568/getInfo.php?workbook=26_25.xlsx&amp;sheet=A0&amp;row=269&amp;col=7&amp;number=0&amp;sourceID=14","0")</f>
        <v>0</v>
      </c>
    </row>
    <row r="270" spans="1:7">
      <c r="A270" s="3">
        <v>26</v>
      </c>
      <c r="B270" s="3">
        <v>25</v>
      </c>
      <c r="C270" s="3">
        <v>53</v>
      </c>
      <c r="D270" s="3">
        <v>27</v>
      </c>
      <c r="E270" s="3">
        <v>4509.553</v>
      </c>
      <c r="F270" s="4" t="str">
        <f>HYPERLINK("http://141.218.60.56/~jnz1568/getInfo.php?workbook=26_25.xlsx&amp;sheet=A0&amp;row=270&amp;col=6&amp;number=188900&amp;sourceID=14","188900")</f>
        <v>188900</v>
      </c>
      <c r="G270" s="4" t="str">
        <f>HYPERLINK("http://141.218.60.56/~jnz1568/getInfo.php?workbook=26_25.xlsx&amp;sheet=A0&amp;row=270&amp;col=7&amp;number=0&amp;sourceID=14","0")</f>
        <v>0</v>
      </c>
    </row>
    <row r="271" spans="1:7">
      <c r="A271" s="3">
        <v>26</v>
      </c>
      <c r="B271" s="3">
        <v>25</v>
      </c>
      <c r="C271" s="3">
        <v>54</v>
      </c>
      <c r="D271" s="3">
        <v>10</v>
      </c>
      <c r="E271" s="3">
        <v>2756.551</v>
      </c>
      <c r="F271" s="4" t="str">
        <f>HYPERLINK("http://141.218.60.56/~jnz1568/getInfo.php?workbook=26_25.xlsx&amp;sheet=A0&amp;row=271&amp;col=6&amp;number=236000000&amp;sourceID=14","236000000")</f>
        <v>236000000</v>
      </c>
      <c r="G271" s="4" t="str">
        <f>HYPERLINK("http://141.218.60.56/~jnz1568/getInfo.php?workbook=26_25.xlsx&amp;sheet=A0&amp;row=271&amp;col=7&amp;number=0&amp;sourceID=14","0")</f>
        <v>0</v>
      </c>
    </row>
    <row r="272" spans="1:7">
      <c r="A272" s="3">
        <v>26</v>
      </c>
      <c r="B272" s="3">
        <v>25</v>
      </c>
      <c r="C272" s="3">
        <v>54</v>
      </c>
      <c r="D272" s="3">
        <v>6</v>
      </c>
      <c r="E272" s="3">
        <v>2360.721</v>
      </c>
      <c r="F272" s="4" t="str">
        <f>HYPERLINK("http://141.218.60.56/~jnz1568/getInfo.php?workbook=26_25.xlsx&amp;sheet=A0&amp;row=272&amp;col=6&amp;number=47350000&amp;sourceID=14","47350000")</f>
        <v>47350000</v>
      </c>
      <c r="G272" s="4" t="str">
        <f>HYPERLINK("http://141.218.60.56/~jnz1568/getInfo.php?workbook=26_25.xlsx&amp;sheet=A0&amp;row=272&amp;col=7&amp;number=0&amp;sourceID=14","0")</f>
        <v>0</v>
      </c>
    </row>
    <row r="273" spans="1:7">
      <c r="A273" s="3">
        <v>26</v>
      </c>
      <c r="B273" s="3">
        <v>25</v>
      </c>
      <c r="C273" s="3">
        <v>54</v>
      </c>
      <c r="D273" s="3">
        <v>7</v>
      </c>
      <c r="E273" s="3">
        <v>2392.206</v>
      </c>
      <c r="F273" s="4" t="str">
        <f>HYPERLINK("http://141.218.60.56/~jnz1568/getInfo.php?workbook=26_25.xlsx&amp;sheet=A0&amp;row=273&amp;col=6&amp;number=4118000&amp;sourceID=14","4118000")</f>
        <v>4118000</v>
      </c>
      <c r="G273" s="4" t="str">
        <f>HYPERLINK("http://141.218.60.56/~jnz1568/getInfo.php?workbook=26_25.xlsx&amp;sheet=A0&amp;row=273&amp;col=7&amp;number=0&amp;sourceID=14","0")</f>
        <v>0</v>
      </c>
    </row>
    <row r="274" spans="1:7">
      <c r="A274" s="3">
        <v>26</v>
      </c>
      <c r="B274" s="3">
        <v>25</v>
      </c>
      <c r="C274" s="3">
        <v>54</v>
      </c>
      <c r="D274" s="3">
        <v>24</v>
      </c>
      <c r="E274" s="3">
        <v>4630.636</v>
      </c>
      <c r="F274" s="4" t="str">
        <f>HYPERLINK("http://141.218.60.56/~jnz1568/getInfo.php?workbook=26_25.xlsx&amp;sheet=A0&amp;row=274&amp;col=6&amp;number=243100&amp;sourceID=14","243100")</f>
        <v>243100</v>
      </c>
      <c r="G274" s="4" t="str">
        <f>HYPERLINK("http://141.218.60.56/~jnz1568/getInfo.php?workbook=26_25.xlsx&amp;sheet=A0&amp;row=274&amp;col=7&amp;number=0&amp;sourceID=14","0")</f>
        <v>0</v>
      </c>
    </row>
    <row r="275" spans="1:7">
      <c r="A275" s="3">
        <v>26</v>
      </c>
      <c r="B275" s="3">
        <v>25</v>
      </c>
      <c r="C275" s="3">
        <v>54</v>
      </c>
      <c r="D275" s="3">
        <v>25</v>
      </c>
      <c r="E275" s="3">
        <v>4668.065</v>
      </c>
      <c r="F275" s="4" t="str">
        <f>HYPERLINK("http://141.218.60.56/~jnz1568/getInfo.php?workbook=26_25.xlsx&amp;sheet=A0&amp;row=275&amp;col=6&amp;number=21470&amp;sourceID=14","21470")</f>
        <v>21470</v>
      </c>
      <c r="G275" s="4" t="str">
        <f>HYPERLINK("http://141.218.60.56/~jnz1568/getInfo.php?workbook=26_25.xlsx&amp;sheet=A0&amp;row=275&amp;col=7&amp;number=0&amp;sourceID=14","0")</f>
        <v>0</v>
      </c>
    </row>
    <row r="276" spans="1:7">
      <c r="A276" s="3">
        <v>26</v>
      </c>
      <c r="B276" s="3">
        <v>25</v>
      </c>
      <c r="C276" s="3">
        <v>54</v>
      </c>
      <c r="D276" s="3">
        <v>28</v>
      </c>
      <c r="E276" s="3">
        <v>5318.094</v>
      </c>
      <c r="F276" s="4" t="str">
        <f>HYPERLINK("http://141.218.60.56/~jnz1568/getInfo.php?workbook=26_25.xlsx&amp;sheet=A0&amp;row=276&amp;col=6&amp;number=340200&amp;sourceID=14","340200")</f>
        <v>340200</v>
      </c>
      <c r="G276" s="4" t="str">
        <f>HYPERLINK("http://141.218.60.56/~jnz1568/getInfo.php?workbook=26_25.xlsx&amp;sheet=A0&amp;row=276&amp;col=7&amp;number=0&amp;sourceID=14","0")</f>
        <v>0</v>
      </c>
    </row>
    <row r="277" spans="1:7">
      <c r="A277" s="3">
        <v>26</v>
      </c>
      <c r="B277" s="3">
        <v>25</v>
      </c>
      <c r="C277" s="3">
        <v>54</v>
      </c>
      <c r="D277" s="3">
        <v>29</v>
      </c>
      <c r="E277" s="3">
        <v>5426.765</v>
      </c>
      <c r="F277" s="4" t="str">
        <f>HYPERLINK("http://141.218.60.56/~jnz1568/getInfo.php?workbook=26_25.xlsx&amp;sheet=A0&amp;row=277&amp;col=6&amp;number=22100&amp;sourceID=14","22100")</f>
        <v>22100</v>
      </c>
      <c r="G277" s="4" t="str">
        <f>HYPERLINK("http://141.218.60.56/~jnz1568/getInfo.php?workbook=26_25.xlsx&amp;sheet=A0&amp;row=277&amp;col=7&amp;number=0&amp;sourceID=14","0")</f>
        <v>0</v>
      </c>
    </row>
    <row r="278" spans="1:7">
      <c r="A278" s="3">
        <v>26</v>
      </c>
      <c r="B278" s="3">
        <v>25</v>
      </c>
      <c r="C278" s="3">
        <v>55</v>
      </c>
      <c r="D278" s="3">
        <v>10</v>
      </c>
      <c r="E278" s="3">
        <v>2717.502</v>
      </c>
      <c r="F278" s="4" t="str">
        <f>HYPERLINK("http://141.218.60.56/~jnz1568/getInfo.php?workbook=26_25.xlsx&amp;sheet=A0&amp;row=278&amp;col=6&amp;number=35100000&amp;sourceID=14","35100000")</f>
        <v>35100000</v>
      </c>
      <c r="G278" s="4" t="str">
        <f>HYPERLINK("http://141.218.60.56/~jnz1568/getInfo.php?workbook=26_25.xlsx&amp;sheet=A0&amp;row=278&amp;col=7&amp;number=0&amp;sourceID=14","0")</f>
        <v>0</v>
      </c>
    </row>
    <row r="279" spans="1:7">
      <c r="A279" s="3">
        <v>26</v>
      </c>
      <c r="B279" s="3">
        <v>25</v>
      </c>
      <c r="C279" s="3">
        <v>55</v>
      </c>
      <c r="D279" s="3">
        <v>11</v>
      </c>
      <c r="E279" s="3">
        <v>2750.134</v>
      </c>
      <c r="F279" s="4" t="str">
        <f>HYPERLINK("http://141.218.60.56/~jnz1568/getInfo.php?workbook=26_25.xlsx&amp;sheet=A0&amp;row=279&amp;col=6&amp;number=203800000&amp;sourceID=14","203800000")</f>
        <v>203800000</v>
      </c>
      <c r="G279" s="4" t="str">
        <f>HYPERLINK("http://141.218.60.56/~jnz1568/getInfo.php?workbook=26_25.xlsx&amp;sheet=A0&amp;row=279&amp;col=7&amp;number=0&amp;sourceID=14","0")</f>
        <v>0</v>
      </c>
    </row>
    <row r="280" spans="1:7">
      <c r="A280" s="3">
        <v>26</v>
      </c>
      <c r="B280" s="3">
        <v>25</v>
      </c>
      <c r="C280" s="3">
        <v>55</v>
      </c>
      <c r="D280" s="3">
        <v>6</v>
      </c>
      <c r="E280" s="3">
        <v>2332.022</v>
      </c>
      <c r="F280" s="4" t="str">
        <f>HYPERLINK("http://141.218.60.56/~jnz1568/getInfo.php?workbook=26_25.xlsx&amp;sheet=A0&amp;row=280&amp;col=6&amp;number=5556000&amp;sourceID=14","5556000")</f>
        <v>5556000</v>
      </c>
      <c r="G280" s="4" t="str">
        <f>HYPERLINK("http://141.218.60.56/~jnz1568/getInfo.php?workbook=26_25.xlsx&amp;sheet=A0&amp;row=280&amp;col=7&amp;number=0&amp;sourceID=14","0")</f>
        <v>0</v>
      </c>
    </row>
    <row r="281" spans="1:7">
      <c r="A281" s="3">
        <v>26</v>
      </c>
      <c r="B281" s="3">
        <v>25</v>
      </c>
      <c r="C281" s="3">
        <v>55</v>
      </c>
      <c r="D281" s="3">
        <v>7</v>
      </c>
      <c r="E281" s="3">
        <v>2362.742</v>
      </c>
      <c r="F281" s="4" t="str">
        <f>HYPERLINK("http://141.218.60.56/~jnz1568/getInfo.php?workbook=26_25.xlsx&amp;sheet=A0&amp;row=281&amp;col=6&amp;number=39330000&amp;sourceID=14","39330000")</f>
        <v>39330000</v>
      </c>
      <c r="G281" s="4" t="str">
        <f>HYPERLINK("http://141.218.60.56/~jnz1568/getInfo.php?workbook=26_25.xlsx&amp;sheet=A0&amp;row=281&amp;col=7&amp;number=0&amp;sourceID=14","0")</f>
        <v>0</v>
      </c>
    </row>
    <row r="282" spans="1:7">
      <c r="A282" s="3">
        <v>26</v>
      </c>
      <c r="B282" s="3">
        <v>25</v>
      </c>
      <c r="C282" s="3">
        <v>55</v>
      </c>
      <c r="D282" s="3">
        <v>8</v>
      </c>
      <c r="E282" s="3">
        <v>2385.732</v>
      </c>
      <c r="F282" s="4" t="str">
        <f>HYPERLINK("http://141.218.60.56/~jnz1568/getInfo.php?workbook=26_25.xlsx&amp;sheet=A0&amp;row=282&amp;col=6&amp;number=6710000&amp;sourceID=14","6710000")</f>
        <v>6710000</v>
      </c>
      <c r="G282" s="4" t="str">
        <f>HYPERLINK("http://141.218.60.56/~jnz1568/getInfo.php?workbook=26_25.xlsx&amp;sheet=A0&amp;row=282&amp;col=7&amp;number=0&amp;sourceID=14","0")</f>
        <v>0</v>
      </c>
    </row>
    <row r="283" spans="1:7">
      <c r="A283" s="3">
        <v>26</v>
      </c>
      <c r="B283" s="3">
        <v>25</v>
      </c>
      <c r="C283" s="3">
        <v>55</v>
      </c>
      <c r="D283" s="3">
        <v>24</v>
      </c>
      <c r="E283" s="3">
        <v>4521.492</v>
      </c>
      <c r="F283" s="4" t="str">
        <f>HYPERLINK("http://141.218.60.56/~jnz1568/getInfo.php?workbook=26_25.xlsx&amp;sheet=A0&amp;row=283&amp;col=6&amp;number=29530&amp;sourceID=14","29530")</f>
        <v>29530</v>
      </c>
      <c r="G283" s="4" t="str">
        <f>HYPERLINK("http://141.218.60.56/~jnz1568/getInfo.php?workbook=26_25.xlsx&amp;sheet=A0&amp;row=283&amp;col=7&amp;number=0&amp;sourceID=14","0")</f>
        <v>0</v>
      </c>
    </row>
    <row r="284" spans="1:7">
      <c r="A284" s="3">
        <v>26</v>
      </c>
      <c r="B284" s="3">
        <v>25</v>
      </c>
      <c r="C284" s="3">
        <v>55</v>
      </c>
      <c r="D284" s="3">
        <v>25</v>
      </c>
      <c r="E284" s="3">
        <v>4557.17</v>
      </c>
      <c r="F284" s="4" t="str">
        <f>HYPERLINK("http://141.218.60.56/~jnz1568/getInfo.php?workbook=26_25.xlsx&amp;sheet=A0&amp;row=284&amp;col=6&amp;number=212400&amp;sourceID=14","212400")</f>
        <v>212400</v>
      </c>
      <c r="G284" s="4" t="str">
        <f>HYPERLINK("http://141.218.60.56/~jnz1568/getInfo.php?workbook=26_25.xlsx&amp;sheet=A0&amp;row=284&amp;col=7&amp;number=0&amp;sourceID=14","0")</f>
        <v>0</v>
      </c>
    </row>
    <row r="285" spans="1:7">
      <c r="A285" s="3">
        <v>26</v>
      </c>
      <c r="B285" s="3">
        <v>25</v>
      </c>
      <c r="C285" s="3">
        <v>55</v>
      </c>
      <c r="D285" s="3">
        <v>26</v>
      </c>
      <c r="E285" s="3">
        <v>4584.119</v>
      </c>
      <c r="F285" s="4" t="str">
        <f>HYPERLINK("http://141.218.60.56/~jnz1568/getInfo.php?workbook=26_25.xlsx&amp;sheet=A0&amp;row=285&amp;col=6&amp;number=36640&amp;sourceID=14","36640")</f>
        <v>36640</v>
      </c>
      <c r="G285" s="4" t="str">
        <f>HYPERLINK("http://141.218.60.56/~jnz1568/getInfo.php?workbook=26_25.xlsx&amp;sheet=A0&amp;row=285&amp;col=7&amp;number=0&amp;sourceID=14","0")</f>
        <v>0</v>
      </c>
    </row>
    <row r="286" spans="1:7">
      <c r="A286" s="3">
        <v>26</v>
      </c>
      <c r="B286" s="3">
        <v>25</v>
      </c>
      <c r="C286" s="3">
        <v>55</v>
      </c>
      <c r="D286" s="3">
        <v>29</v>
      </c>
      <c r="E286" s="3">
        <v>5277.47</v>
      </c>
      <c r="F286" s="4" t="str">
        <f>HYPERLINK("http://141.218.60.56/~jnz1568/getInfo.php?workbook=26_25.xlsx&amp;sheet=A0&amp;row=286&amp;col=6&amp;number=332000&amp;sourceID=14","332000")</f>
        <v>332000</v>
      </c>
      <c r="G286" s="4" t="str">
        <f>HYPERLINK("http://141.218.60.56/~jnz1568/getInfo.php?workbook=26_25.xlsx&amp;sheet=A0&amp;row=286&amp;col=7&amp;number=0&amp;sourceID=14","0")</f>
        <v>0</v>
      </c>
    </row>
    <row r="287" spans="1:7">
      <c r="A287" s="3">
        <v>26</v>
      </c>
      <c r="B287" s="3">
        <v>25</v>
      </c>
      <c r="C287" s="3">
        <v>55</v>
      </c>
      <c r="D287" s="3">
        <v>30</v>
      </c>
      <c r="E287" s="3">
        <v>5327.034</v>
      </c>
      <c r="F287" s="4" t="str">
        <f>HYPERLINK("http://141.218.60.56/~jnz1568/getInfo.php?workbook=26_25.xlsx&amp;sheet=A0&amp;row=287&amp;col=6&amp;number=38280&amp;sourceID=14","38280")</f>
        <v>38280</v>
      </c>
      <c r="G287" s="4" t="str">
        <f>HYPERLINK("http://141.218.60.56/~jnz1568/getInfo.php?workbook=26_25.xlsx&amp;sheet=A0&amp;row=287&amp;col=7&amp;number=0&amp;sourceID=14","0")</f>
        <v>0</v>
      </c>
    </row>
    <row r="288" spans="1:7">
      <c r="A288" s="3">
        <v>26</v>
      </c>
      <c r="B288" s="3">
        <v>25</v>
      </c>
      <c r="C288" s="3">
        <v>56</v>
      </c>
      <c r="D288" s="3">
        <v>10</v>
      </c>
      <c r="E288" s="3">
        <v>2693.633</v>
      </c>
      <c r="F288" s="4" t="str">
        <f>HYPERLINK("http://141.218.60.56/~jnz1568/getInfo.php?workbook=26_25.xlsx&amp;sheet=A0&amp;row=288&amp;col=6&amp;number=2445000&amp;sourceID=14","2445000")</f>
        <v>2445000</v>
      </c>
      <c r="G288" s="4" t="str">
        <f>HYPERLINK("http://141.218.60.56/~jnz1568/getInfo.php?workbook=26_25.xlsx&amp;sheet=A0&amp;row=288&amp;col=7&amp;number=0&amp;sourceID=14","0")</f>
        <v>0</v>
      </c>
    </row>
    <row r="289" spans="1:7">
      <c r="A289" s="3">
        <v>26</v>
      </c>
      <c r="B289" s="3">
        <v>25</v>
      </c>
      <c r="C289" s="3">
        <v>56</v>
      </c>
      <c r="D289" s="3">
        <v>11</v>
      </c>
      <c r="E289" s="3">
        <v>2725.691</v>
      </c>
      <c r="F289" s="4" t="str">
        <f>HYPERLINK("http://141.218.60.56/~jnz1568/getInfo.php?workbook=26_25.xlsx&amp;sheet=A0&amp;row=289&amp;col=6&amp;number=59390000&amp;sourceID=14","59390000")</f>
        <v>59390000</v>
      </c>
      <c r="G289" s="4" t="str">
        <f>HYPERLINK("http://141.218.60.56/~jnz1568/getInfo.php?workbook=26_25.xlsx&amp;sheet=A0&amp;row=289&amp;col=7&amp;number=0&amp;sourceID=14","0")</f>
        <v>0</v>
      </c>
    </row>
    <row r="290" spans="1:7">
      <c r="A290" s="3">
        <v>26</v>
      </c>
      <c r="B290" s="3">
        <v>25</v>
      </c>
      <c r="C290" s="3">
        <v>56</v>
      </c>
      <c r="D290" s="3">
        <v>12</v>
      </c>
      <c r="E290" s="3">
        <v>2747.296</v>
      </c>
      <c r="F290" s="4" t="str">
        <f>HYPERLINK("http://141.218.60.56/~jnz1568/getInfo.php?workbook=26_25.xlsx&amp;sheet=A0&amp;row=290&amp;col=6&amp;number=178800000&amp;sourceID=14","178800000")</f>
        <v>178800000</v>
      </c>
      <c r="G290" s="4" t="str">
        <f>HYPERLINK("http://141.218.60.56/~jnz1568/getInfo.php?workbook=26_25.xlsx&amp;sheet=A0&amp;row=290&amp;col=7&amp;number=0&amp;sourceID=14","0")</f>
        <v>0</v>
      </c>
    </row>
    <row r="291" spans="1:7">
      <c r="A291" s="3">
        <v>26</v>
      </c>
      <c r="B291" s="3">
        <v>25</v>
      </c>
      <c r="C291" s="3">
        <v>56</v>
      </c>
      <c r="D291" s="3">
        <v>7</v>
      </c>
      <c r="E291" s="3">
        <v>2344.678</v>
      </c>
      <c r="F291" s="4" t="str">
        <f>HYPERLINK("http://141.218.60.56/~jnz1568/getInfo.php?workbook=26_25.xlsx&amp;sheet=A0&amp;row=291&amp;col=6&amp;number=9425000&amp;sourceID=14","9425000")</f>
        <v>9425000</v>
      </c>
      <c r="G291" s="4" t="str">
        <f>HYPERLINK("http://141.218.60.56/~jnz1568/getInfo.php?workbook=26_25.xlsx&amp;sheet=A0&amp;row=291&amp;col=7&amp;number=0&amp;sourceID=14","0")</f>
        <v>0</v>
      </c>
    </row>
    <row r="292" spans="1:7">
      <c r="A292" s="3">
        <v>26</v>
      </c>
      <c r="B292" s="3">
        <v>25</v>
      </c>
      <c r="C292" s="3">
        <v>56</v>
      </c>
      <c r="D292" s="3">
        <v>8</v>
      </c>
      <c r="E292" s="3">
        <v>2367.316</v>
      </c>
      <c r="F292" s="4" t="str">
        <f>HYPERLINK("http://141.218.60.56/~jnz1568/getInfo.php?workbook=26_25.xlsx&amp;sheet=A0&amp;row=292&amp;col=6&amp;number=35280000&amp;sourceID=14","35280000")</f>
        <v>35280000</v>
      </c>
      <c r="G292" s="4" t="str">
        <f>HYPERLINK("http://141.218.60.56/~jnz1568/getInfo.php?workbook=26_25.xlsx&amp;sheet=A0&amp;row=292&amp;col=7&amp;number=0&amp;sourceID=14","0")</f>
        <v>0</v>
      </c>
    </row>
    <row r="293" spans="1:7">
      <c r="A293" s="3">
        <v>26</v>
      </c>
      <c r="B293" s="3">
        <v>25</v>
      </c>
      <c r="C293" s="3">
        <v>56</v>
      </c>
      <c r="D293" s="3">
        <v>9</v>
      </c>
      <c r="E293" s="3">
        <v>2383.085</v>
      </c>
      <c r="F293" s="4" t="str">
        <f>HYPERLINK("http://141.218.60.56/~jnz1568/getInfo.php?workbook=26_25.xlsx&amp;sheet=A0&amp;row=293&amp;col=6&amp;number=6702000&amp;sourceID=14","6702000")</f>
        <v>6702000</v>
      </c>
      <c r="G293" s="4" t="str">
        <f>HYPERLINK("http://141.218.60.56/~jnz1568/getInfo.php?workbook=26_25.xlsx&amp;sheet=A0&amp;row=293&amp;col=7&amp;number=0&amp;sourceID=14","0")</f>
        <v>0</v>
      </c>
    </row>
    <row r="294" spans="1:7">
      <c r="A294" s="3">
        <v>26</v>
      </c>
      <c r="B294" s="3">
        <v>25</v>
      </c>
      <c r="C294" s="3">
        <v>56</v>
      </c>
      <c r="D294" s="3">
        <v>25</v>
      </c>
      <c r="E294" s="3">
        <v>4490.442</v>
      </c>
      <c r="F294" s="4" t="str">
        <f>HYPERLINK("http://141.218.60.56/~jnz1568/getInfo.php?workbook=26_25.xlsx&amp;sheet=A0&amp;row=294&amp;col=6&amp;number=51980&amp;sourceID=14","51980")</f>
        <v>51980</v>
      </c>
      <c r="G294" s="4" t="str">
        <f>HYPERLINK("http://141.218.60.56/~jnz1568/getInfo.php?workbook=26_25.xlsx&amp;sheet=A0&amp;row=294&amp;col=7&amp;number=0&amp;sourceID=14","0")</f>
        <v>0</v>
      </c>
    </row>
    <row r="295" spans="1:7">
      <c r="A295" s="3">
        <v>26</v>
      </c>
      <c r="B295" s="3">
        <v>25</v>
      </c>
      <c r="C295" s="3">
        <v>56</v>
      </c>
      <c r="D295" s="3">
        <v>26</v>
      </c>
      <c r="E295" s="3">
        <v>4516.605</v>
      </c>
      <c r="F295" s="4" t="str">
        <f>HYPERLINK("http://141.218.60.56/~jnz1568/getInfo.php?workbook=26_25.xlsx&amp;sheet=A0&amp;row=295&amp;col=6&amp;number=196800&amp;sourceID=14","196800")</f>
        <v>196800</v>
      </c>
      <c r="G295" s="4" t="str">
        <f>HYPERLINK("http://141.218.60.56/~jnz1568/getInfo.php?workbook=26_25.xlsx&amp;sheet=A0&amp;row=295&amp;col=7&amp;number=0&amp;sourceID=14","0")</f>
        <v>0</v>
      </c>
    </row>
    <row r="296" spans="1:7">
      <c r="A296" s="3">
        <v>26</v>
      </c>
      <c r="B296" s="3">
        <v>25</v>
      </c>
      <c r="C296" s="3">
        <v>56</v>
      </c>
      <c r="D296" s="3">
        <v>27</v>
      </c>
      <c r="E296" s="3">
        <v>4535.44</v>
      </c>
      <c r="F296" s="4" t="str">
        <f>HYPERLINK("http://141.218.60.56/~jnz1568/getInfo.php?workbook=26_25.xlsx&amp;sheet=A0&amp;row=296&amp;col=6&amp;number=37670&amp;sourceID=14","37670")</f>
        <v>37670</v>
      </c>
      <c r="G296" s="4" t="str">
        <f>HYPERLINK("http://141.218.60.56/~jnz1568/getInfo.php?workbook=26_25.xlsx&amp;sheet=A0&amp;row=296&amp;col=7&amp;number=0&amp;sourceID=14","0")</f>
        <v>0</v>
      </c>
    </row>
    <row r="297" spans="1:7">
      <c r="A297" s="3">
        <v>26</v>
      </c>
      <c r="B297" s="3">
        <v>25</v>
      </c>
      <c r="C297" s="3">
        <v>56</v>
      </c>
      <c r="D297" s="3">
        <v>30</v>
      </c>
      <c r="E297" s="3">
        <v>5236.082</v>
      </c>
      <c r="F297" s="4" t="str">
        <f>HYPERLINK("http://141.218.60.56/~jnz1568/getInfo.php?workbook=26_25.xlsx&amp;sheet=A0&amp;row=297&amp;col=6&amp;number=340800&amp;sourceID=14","340800")</f>
        <v>340800</v>
      </c>
      <c r="G297" s="4" t="str">
        <f>HYPERLINK("http://141.218.60.56/~jnz1568/getInfo.php?workbook=26_25.xlsx&amp;sheet=A0&amp;row=297&amp;col=7&amp;number=0&amp;sourceID=14","0")</f>
        <v>0</v>
      </c>
    </row>
    <row r="298" spans="1:7">
      <c r="A298" s="3">
        <v>26</v>
      </c>
      <c r="B298" s="3">
        <v>25</v>
      </c>
      <c r="C298" s="3">
        <v>56</v>
      </c>
      <c r="D298" s="3">
        <v>31</v>
      </c>
      <c r="E298" s="3">
        <v>5256.392</v>
      </c>
      <c r="F298" s="4" t="str">
        <f>HYPERLINK("http://141.218.60.56/~jnz1568/getInfo.php?workbook=26_25.xlsx&amp;sheet=A0&amp;row=298&amp;col=6&amp;number=40540&amp;sourceID=14","40540")</f>
        <v>40540</v>
      </c>
      <c r="G298" s="4" t="str">
        <f>HYPERLINK("http://141.218.60.56/~jnz1568/getInfo.php?workbook=26_25.xlsx&amp;sheet=A0&amp;row=298&amp;col=7&amp;number=0&amp;sourceID=14","0")</f>
        <v>0</v>
      </c>
    </row>
    <row r="299" spans="1:7">
      <c r="A299" s="3">
        <v>26</v>
      </c>
      <c r="B299" s="3">
        <v>25</v>
      </c>
      <c r="C299" s="3">
        <v>57</v>
      </c>
      <c r="D299" s="3">
        <v>11</v>
      </c>
      <c r="E299" s="3">
        <v>2710.184</v>
      </c>
      <c r="F299" s="4" t="str">
        <f>HYPERLINK("http://141.218.60.56/~jnz1568/getInfo.php?workbook=26_25.xlsx&amp;sheet=A0&amp;row=299&amp;col=6&amp;number=4966000&amp;sourceID=14","4966000")</f>
        <v>4966000</v>
      </c>
      <c r="G299" s="4" t="str">
        <f>HYPERLINK("http://141.218.60.56/~jnz1568/getInfo.php?workbook=26_25.xlsx&amp;sheet=A0&amp;row=299&amp;col=7&amp;number=0&amp;sourceID=14","0")</f>
        <v>0</v>
      </c>
    </row>
    <row r="300" spans="1:7">
      <c r="A300" s="3">
        <v>26</v>
      </c>
      <c r="B300" s="3">
        <v>25</v>
      </c>
      <c r="C300" s="3">
        <v>57</v>
      </c>
      <c r="D300" s="3">
        <v>12</v>
      </c>
      <c r="E300" s="3">
        <v>2731.543</v>
      </c>
      <c r="F300" s="4" t="str">
        <f>HYPERLINK("http://141.218.60.56/~jnz1568/getInfo.php?workbook=26_25.xlsx&amp;sheet=A0&amp;row=300&amp;col=6&amp;number=67900000&amp;sourceID=14","67900000")</f>
        <v>67900000</v>
      </c>
      <c r="G300" s="4" t="str">
        <f>HYPERLINK("http://141.218.60.56/~jnz1568/getInfo.php?workbook=26_25.xlsx&amp;sheet=A0&amp;row=300&amp;col=7&amp;number=0&amp;sourceID=14","0")</f>
        <v>0</v>
      </c>
    </row>
    <row r="301" spans="1:7">
      <c r="A301" s="3">
        <v>26</v>
      </c>
      <c r="B301" s="3">
        <v>25</v>
      </c>
      <c r="C301" s="3">
        <v>57</v>
      </c>
      <c r="D301" s="3">
        <v>13</v>
      </c>
      <c r="E301" s="3">
        <v>2744.009</v>
      </c>
      <c r="F301" s="4" t="str">
        <f>HYPERLINK("http://141.218.60.56/~jnz1568/getInfo.php?workbook=26_25.xlsx&amp;sheet=A0&amp;row=301&amp;col=6&amp;number=167400000&amp;sourceID=14","167400000")</f>
        <v>167400000</v>
      </c>
      <c r="G301" s="4" t="str">
        <f>HYPERLINK("http://141.218.60.56/~jnz1568/getInfo.php?workbook=26_25.xlsx&amp;sheet=A0&amp;row=301&amp;col=7&amp;number=0&amp;sourceID=14","0")</f>
        <v>0</v>
      </c>
    </row>
    <row r="302" spans="1:7">
      <c r="A302" s="3">
        <v>26</v>
      </c>
      <c r="B302" s="3">
        <v>25</v>
      </c>
      <c r="C302" s="3">
        <v>57</v>
      </c>
      <c r="D302" s="3">
        <v>8</v>
      </c>
      <c r="E302" s="3">
        <v>2355.61</v>
      </c>
      <c r="F302" s="4" t="str">
        <f>HYPERLINK("http://141.218.60.56/~jnz1568/getInfo.php?workbook=26_25.xlsx&amp;sheet=A0&amp;row=302&amp;col=6&amp;number=10410000&amp;sourceID=14","10410000")</f>
        <v>10410000</v>
      </c>
      <c r="G302" s="4" t="str">
        <f>HYPERLINK("http://141.218.60.56/~jnz1568/getInfo.php?workbook=26_25.xlsx&amp;sheet=A0&amp;row=302&amp;col=7&amp;number=0&amp;sourceID=14","0")</f>
        <v>0</v>
      </c>
    </row>
    <row r="303" spans="1:7">
      <c r="A303" s="3">
        <v>26</v>
      </c>
      <c r="B303" s="3">
        <v>25</v>
      </c>
      <c r="C303" s="3">
        <v>57</v>
      </c>
      <c r="D303" s="3">
        <v>9</v>
      </c>
      <c r="E303" s="3">
        <v>2371.222</v>
      </c>
      <c r="F303" s="4" t="str">
        <f>HYPERLINK("http://141.218.60.56/~jnz1568/getInfo.php?workbook=26_25.xlsx&amp;sheet=A0&amp;row=303&amp;col=6&amp;number=40820000&amp;sourceID=14","40820000")</f>
        <v>40820000</v>
      </c>
      <c r="G303" s="4" t="str">
        <f>HYPERLINK("http://141.218.60.56/~jnz1568/getInfo.php?workbook=26_25.xlsx&amp;sheet=A0&amp;row=303&amp;col=7&amp;number=0&amp;sourceID=14","0")</f>
        <v>0</v>
      </c>
    </row>
    <row r="304" spans="1:7">
      <c r="A304" s="3">
        <v>26</v>
      </c>
      <c r="B304" s="3">
        <v>25</v>
      </c>
      <c r="C304" s="3">
        <v>57</v>
      </c>
      <c r="D304" s="3">
        <v>26</v>
      </c>
      <c r="E304" s="3">
        <v>4474.184</v>
      </c>
      <c r="F304" s="4" t="str">
        <f>HYPERLINK("http://141.218.60.56/~jnz1568/getInfo.php?workbook=26_25.xlsx&amp;sheet=A0&amp;row=304&amp;col=6&amp;number=58850&amp;sourceID=14","58850")</f>
        <v>58850</v>
      </c>
      <c r="G304" s="4" t="str">
        <f>HYPERLINK("http://141.218.60.56/~jnz1568/getInfo.php?workbook=26_25.xlsx&amp;sheet=A0&amp;row=304&amp;col=7&amp;number=0&amp;sourceID=14","0")</f>
        <v>0</v>
      </c>
    </row>
    <row r="305" spans="1:7">
      <c r="A305" s="3">
        <v>26</v>
      </c>
      <c r="B305" s="3">
        <v>25</v>
      </c>
      <c r="C305" s="3">
        <v>57</v>
      </c>
      <c r="D305" s="3">
        <v>27</v>
      </c>
      <c r="E305" s="3">
        <v>4492.666</v>
      </c>
      <c r="F305" s="4" t="str">
        <f>HYPERLINK("http://141.218.60.56/~jnz1568/getInfo.php?workbook=26_25.xlsx&amp;sheet=A0&amp;row=305&amp;col=6&amp;number=232500&amp;sourceID=14","232500")</f>
        <v>232500</v>
      </c>
      <c r="G305" s="4" t="str">
        <f>HYPERLINK("http://141.218.60.56/~jnz1568/getInfo.php?workbook=26_25.xlsx&amp;sheet=A0&amp;row=305&amp;col=7&amp;number=0&amp;sourceID=14","0")</f>
        <v>0</v>
      </c>
    </row>
    <row r="306" spans="1:7">
      <c r="A306" s="3">
        <v>26</v>
      </c>
      <c r="B306" s="3">
        <v>25</v>
      </c>
      <c r="C306" s="3">
        <v>57</v>
      </c>
      <c r="D306" s="3">
        <v>31</v>
      </c>
      <c r="E306" s="3">
        <v>5199.025</v>
      </c>
      <c r="F306" s="4" t="str">
        <f>HYPERLINK("http://141.218.60.56/~jnz1568/getInfo.php?workbook=26_25.xlsx&amp;sheet=A0&amp;row=306&amp;col=6&amp;number=390100&amp;sourceID=14","390100")</f>
        <v>390100</v>
      </c>
      <c r="G306" s="4" t="str">
        <f>HYPERLINK("http://141.218.60.56/~jnz1568/getInfo.php?workbook=26_25.xlsx&amp;sheet=A0&amp;row=306&amp;col=7&amp;number=0&amp;sourceID=14","0")</f>
        <v>0</v>
      </c>
    </row>
    <row r="307" spans="1:7">
      <c r="A307" s="3">
        <v>26</v>
      </c>
      <c r="B307" s="3">
        <v>25</v>
      </c>
      <c r="C307" s="3">
        <v>58</v>
      </c>
      <c r="D307" s="3">
        <v>14</v>
      </c>
      <c r="E307" s="3">
        <v>2985.695</v>
      </c>
      <c r="F307" s="4" t="str">
        <f>HYPERLINK("http://141.218.60.56/~jnz1568/getInfo.php?workbook=26_25.xlsx&amp;sheet=A0&amp;row=307&amp;col=6&amp;number=43760000&amp;sourceID=14","43760000")</f>
        <v>43760000</v>
      </c>
      <c r="G307" s="4" t="str">
        <f>HYPERLINK("http://141.218.60.56/~jnz1568/getInfo.php?workbook=26_25.xlsx&amp;sheet=A0&amp;row=307&amp;col=7&amp;number=0&amp;sourceID=14","0")</f>
        <v>0</v>
      </c>
    </row>
    <row r="308" spans="1:7">
      <c r="A308" s="3">
        <v>26</v>
      </c>
      <c r="B308" s="3">
        <v>25</v>
      </c>
      <c r="C308" s="3">
        <v>58</v>
      </c>
      <c r="D308" s="3">
        <v>15</v>
      </c>
      <c r="E308" s="3">
        <v>3003.521</v>
      </c>
      <c r="F308" s="4" t="str">
        <f>HYPERLINK("http://141.218.60.56/~jnz1568/getInfo.php?workbook=26_25.xlsx&amp;sheet=A0&amp;row=308&amp;col=6&amp;number=18420000&amp;sourceID=14","18420000")</f>
        <v>18420000</v>
      </c>
      <c r="G308" s="4" t="str">
        <f>HYPERLINK("http://141.218.60.56/~jnz1568/getInfo.php?workbook=26_25.xlsx&amp;sheet=A0&amp;row=308&amp;col=7&amp;number=0&amp;sourceID=14","0")</f>
        <v>0</v>
      </c>
    </row>
    <row r="309" spans="1:7">
      <c r="A309" s="3">
        <v>26</v>
      </c>
      <c r="B309" s="3">
        <v>25</v>
      </c>
      <c r="C309" s="3">
        <v>58</v>
      </c>
      <c r="D309" s="3">
        <v>17</v>
      </c>
      <c r="E309" s="3">
        <v>3826.014</v>
      </c>
      <c r="F309" s="4" t="str">
        <f>HYPERLINK("http://141.218.60.56/~jnz1568/getInfo.php?workbook=26_25.xlsx&amp;sheet=A0&amp;row=309&amp;col=6&amp;number=4137000&amp;sourceID=14","4137000")</f>
        <v>4137000</v>
      </c>
      <c r="G309" s="4" t="str">
        <f>HYPERLINK("http://141.218.60.56/~jnz1568/getInfo.php?workbook=26_25.xlsx&amp;sheet=A0&amp;row=309&amp;col=7&amp;number=0&amp;sourceID=14","0")</f>
        <v>0</v>
      </c>
    </row>
    <row r="310" spans="1:7">
      <c r="A310" s="3">
        <v>26</v>
      </c>
      <c r="B310" s="3">
        <v>25</v>
      </c>
      <c r="C310" s="3">
        <v>58</v>
      </c>
      <c r="D310" s="3">
        <v>18</v>
      </c>
      <c r="E310" s="3">
        <v>3975.291</v>
      </c>
      <c r="F310" s="4" t="str">
        <f>HYPERLINK("http://141.218.60.56/~jnz1568/getInfo.php?workbook=26_25.xlsx&amp;sheet=A0&amp;row=310&amp;col=6&amp;number=1580000&amp;sourceID=14","1580000")</f>
        <v>1580000</v>
      </c>
      <c r="G310" s="4" t="str">
        <f>HYPERLINK("http://141.218.60.56/~jnz1568/getInfo.php?workbook=26_25.xlsx&amp;sheet=A0&amp;row=310&amp;col=7&amp;number=0&amp;sourceID=14","0")</f>
        <v>0</v>
      </c>
    </row>
    <row r="311" spans="1:7">
      <c r="A311" s="3">
        <v>26</v>
      </c>
      <c r="B311" s="3">
        <v>25</v>
      </c>
      <c r="C311" s="3">
        <v>58</v>
      </c>
      <c r="D311" s="3">
        <v>10</v>
      </c>
      <c r="E311" s="3">
        <v>2563.304</v>
      </c>
      <c r="F311" s="4" t="str">
        <f>HYPERLINK("http://141.218.60.56/~jnz1568/getInfo.php?workbook=26_25.xlsx&amp;sheet=A0&amp;row=311&amp;col=6&amp;number=193000000&amp;sourceID=14","193000000")</f>
        <v>193000000</v>
      </c>
      <c r="G311" s="4" t="str">
        <f>HYPERLINK("http://141.218.60.56/~jnz1568/getInfo.php?workbook=26_25.xlsx&amp;sheet=A0&amp;row=311&amp;col=7&amp;number=0&amp;sourceID=14","0")</f>
        <v>0</v>
      </c>
    </row>
    <row r="312" spans="1:7">
      <c r="A312" s="3">
        <v>26</v>
      </c>
      <c r="B312" s="3">
        <v>25</v>
      </c>
      <c r="C312" s="3">
        <v>58</v>
      </c>
      <c r="D312" s="3">
        <v>11</v>
      </c>
      <c r="E312" s="3">
        <v>2592.318</v>
      </c>
      <c r="F312" s="4" t="str">
        <f>HYPERLINK("http://141.218.60.56/~jnz1568/getInfo.php?workbook=26_25.xlsx&amp;sheet=A0&amp;row=312&amp;col=6&amp;number=41980000&amp;sourceID=14","41980000")</f>
        <v>41980000</v>
      </c>
      <c r="G312" s="4" t="str">
        <f>HYPERLINK("http://141.218.60.56/~jnz1568/getInfo.php?workbook=26_25.xlsx&amp;sheet=A0&amp;row=312&amp;col=7&amp;number=0&amp;sourceID=14","0")</f>
        <v>0</v>
      </c>
    </row>
    <row r="313" spans="1:7">
      <c r="A313" s="3">
        <v>26</v>
      </c>
      <c r="B313" s="3">
        <v>25</v>
      </c>
      <c r="C313" s="3">
        <v>58</v>
      </c>
      <c r="D313" s="3">
        <v>12</v>
      </c>
      <c r="E313" s="3">
        <v>2611.853</v>
      </c>
      <c r="F313" s="4" t="str">
        <f>HYPERLINK("http://141.218.60.56/~jnz1568/getInfo.php?workbook=26_25.xlsx&amp;sheet=A0&amp;row=313&amp;col=6&amp;number=4560000&amp;sourceID=14","4560000")</f>
        <v>4560000</v>
      </c>
      <c r="G313" s="4" t="str">
        <f>HYPERLINK("http://141.218.60.56/~jnz1568/getInfo.php?workbook=26_25.xlsx&amp;sheet=A0&amp;row=313&amp;col=7&amp;number=0&amp;sourceID=14","0")</f>
        <v>0</v>
      </c>
    </row>
    <row r="314" spans="1:7">
      <c r="A314" s="3">
        <v>26</v>
      </c>
      <c r="B314" s="3">
        <v>25</v>
      </c>
      <c r="C314" s="3">
        <v>58</v>
      </c>
      <c r="D314" s="3">
        <v>32</v>
      </c>
      <c r="E314" s="3">
        <v>6458.167</v>
      </c>
      <c r="F314" s="4" t="str">
        <f>HYPERLINK("http://141.218.60.56/~jnz1568/getInfo.php?workbook=26_25.xlsx&amp;sheet=A0&amp;row=314&amp;col=6&amp;number=235200&amp;sourceID=14","235200")</f>
        <v>235200</v>
      </c>
      <c r="G314" s="4" t="str">
        <f>HYPERLINK("http://141.218.60.56/~jnz1568/getInfo.php?workbook=26_25.xlsx&amp;sheet=A0&amp;row=314&amp;col=7&amp;number=0&amp;sourceID=14","0")</f>
        <v>0</v>
      </c>
    </row>
    <row r="315" spans="1:7">
      <c r="A315" s="3">
        <v>26</v>
      </c>
      <c r="B315" s="3">
        <v>25</v>
      </c>
      <c r="C315" s="3">
        <v>58</v>
      </c>
      <c r="D315" s="3">
        <v>33</v>
      </c>
      <c r="E315" s="3">
        <v>6418.692</v>
      </c>
      <c r="F315" s="4" t="str">
        <f>HYPERLINK("http://141.218.60.56/~jnz1568/getInfo.php?workbook=26_25.xlsx&amp;sheet=A0&amp;row=315&amp;col=6&amp;number=53910&amp;sourceID=14","53910")</f>
        <v>53910</v>
      </c>
      <c r="G315" s="4" t="str">
        <f>HYPERLINK("http://141.218.60.56/~jnz1568/getInfo.php?workbook=26_25.xlsx&amp;sheet=A0&amp;row=315&amp;col=7&amp;number=0&amp;sourceID=14","0")</f>
        <v>0</v>
      </c>
    </row>
    <row r="316" spans="1:7">
      <c r="A316" s="3">
        <v>26</v>
      </c>
      <c r="B316" s="3">
        <v>25</v>
      </c>
      <c r="C316" s="3">
        <v>58</v>
      </c>
      <c r="D316" s="3">
        <v>34</v>
      </c>
      <c r="E316" s="3">
        <v>6409.021</v>
      </c>
      <c r="F316" s="4" t="str">
        <f>HYPERLINK("http://141.218.60.56/~jnz1568/getInfo.php?workbook=26_25.xlsx&amp;sheet=A0&amp;row=316&amp;col=6&amp;number=6018&amp;sourceID=14","6018")</f>
        <v>6018</v>
      </c>
      <c r="G316" s="4" t="str">
        <f>HYPERLINK("http://141.218.60.56/~jnz1568/getInfo.php?workbook=26_25.xlsx&amp;sheet=A0&amp;row=316&amp;col=7&amp;number=0&amp;sourceID=14","0")</f>
        <v>0</v>
      </c>
    </row>
    <row r="317" spans="1:7">
      <c r="A317" s="3">
        <v>26</v>
      </c>
      <c r="B317" s="3">
        <v>25</v>
      </c>
      <c r="C317" s="3">
        <v>59</v>
      </c>
      <c r="D317" s="3">
        <v>14</v>
      </c>
      <c r="E317" s="3">
        <v>2948.516</v>
      </c>
      <c r="F317" s="4" t="str">
        <f>HYPERLINK("http://141.218.60.56/~jnz1568/getInfo.php?workbook=26_25.xlsx&amp;sheet=A0&amp;row=317&amp;col=6&amp;number=29210000&amp;sourceID=14","29210000")</f>
        <v>29210000</v>
      </c>
      <c r="G317" s="4" t="str">
        <f>HYPERLINK("http://141.218.60.56/~jnz1568/getInfo.php?workbook=26_25.xlsx&amp;sheet=A0&amp;row=317&amp;col=7&amp;number=0&amp;sourceID=14","0")</f>
        <v>0</v>
      </c>
    </row>
    <row r="318" spans="1:7">
      <c r="A318" s="3">
        <v>26</v>
      </c>
      <c r="B318" s="3">
        <v>25</v>
      </c>
      <c r="C318" s="3">
        <v>59</v>
      </c>
      <c r="D318" s="3">
        <v>15</v>
      </c>
      <c r="E318" s="3">
        <v>2965.899</v>
      </c>
      <c r="F318" s="4" t="str">
        <f>HYPERLINK("http://141.218.60.56/~jnz1568/getInfo.php?workbook=26_25.xlsx&amp;sheet=A0&amp;row=318&amp;col=6&amp;number=8504000&amp;sourceID=14","8504000")</f>
        <v>8504000</v>
      </c>
      <c r="G318" s="4" t="str">
        <f>HYPERLINK("http://141.218.60.56/~jnz1568/getInfo.php?workbook=26_25.xlsx&amp;sheet=A0&amp;row=318&amp;col=7&amp;number=0&amp;sourceID=14","0")</f>
        <v>0</v>
      </c>
    </row>
    <row r="319" spans="1:7">
      <c r="A319" s="3">
        <v>26</v>
      </c>
      <c r="B319" s="3">
        <v>25</v>
      </c>
      <c r="C319" s="3">
        <v>59</v>
      </c>
      <c r="D319" s="3">
        <v>16</v>
      </c>
      <c r="E319" s="3">
        <v>2986.416</v>
      </c>
      <c r="F319" s="4" t="str">
        <f>HYPERLINK("http://141.218.60.56/~jnz1568/getInfo.php?workbook=26_25.xlsx&amp;sheet=A0&amp;row=319&amp;col=6&amp;number=26030000&amp;sourceID=14","26030000")</f>
        <v>26030000</v>
      </c>
      <c r="G319" s="4" t="str">
        <f>HYPERLINK("http://141.218.60.56/~jnz1568/getInfo.php?workbook=26_25.xlsx&amp;sheet=A0&amp;row=319&amp;col=7&amp;number=0&amp;sourceID=14","0")</f>
        <v>0</v>
      </c>
    </row>
    <row r="320" spans="1:7">
      <c r="A320" s="3">
        <v>26</v>
      </c>
      <c r="B320" s="3">
        <v>25</v>
      </c>
      <c r="C320" s="3">
        <v>59</v>
      </c>
      <c r="D320" s="3">
        <v>17</v>
      </c>
      <c r="E320" s="3">
        <v>3765.174</v>
      </c>
      <c r="F320" s="4" t="str">
        <f>HYPERLINK("http://141.218.60.56/~jnz1568/getInfo.php?workbook=26_25.xlsx&amp;sheet=A0&amp;row=320&amp;col=6&amp;number=2790000&amp;sourceID=14","2790000")</f>
        <v>2790000</v>
      </c>
      <c r="G320" s="4" t="str">
        <f>HYPERLINK("http://141.218.60.56/~jnz1568/getInfo.php?workbook=26_25.xlsx&amp;sheet=A0&amp;row=320&amp;col=7&amp;number=0&amp;sourceID=14","0")</f>
        <v>0</v>
      </c>
    </row>
    <row r="321" spans="1:7">
      <c r="A321" s="3">
        <v>26</v>
      </c>
      <c r="B321" s="3">
        <v>25</v>
      </c>
      <c r="C321" s="3">
        <v>59</v>
      </c>
      <c r="D321" s="3">
        <v>18</v>
      </c>
      <c r="E321" s="3">
        <v>3909.652</v>
      </c>
      <c r="F321" s="4" t="str">
        <f>HYPERLINK("http://141.218.60.56/~jnz1568/getInfo.php?workbook=26_25.xlsx&amp;sheet=A0&amp;row=321&amp;col=6&amp;number=738400&amp;sourceID=14","738400")</f>
        <v>738400</v>
      </c>
      <c r="G321" s="4" t="str">
        <f>HYPERLINK("http://141.218.60.56/~jnz1568/getInfo.php?workbook=26_25.xlsx&amp;sheet=A0&amp;row=321&amp;col=7&amp;number=0&amp;sourceID=14","0")</f>
        <v>0</v>
      </c>
    </row>
    <row r="322" spans="1:7">
      <c r="A322" s="3">
        <v>26</v>
      </c>
      <c r="B322" s="3">
        <v>25</v>
      </c>
      <c r="C322" s="3">
        <v>59</v>
      </c>
      <c r="D322" s="3">
        <v>19</v>
      </c>
      <c r="E322" s="3">
        <v>4003.214</v>
      </c>
      <c r="F322" s="4" t="str">
        <f>HYPERLINK("http://141.218.60.56/~jnz1568/getInfo.php?workbook=26_25.xlsx&amp;sheet=A0&amp;row=322&amp;col=6&amp;number=2150000&amp;sourceID=14","2150000")</f>
        <v>2150000</v>
      </c>
      <c r="G322" s="4" t="str">
        <f>HYPERLINK("http://141.218.60.56/~jnz1568/getInfo.php?workbook=26_25.xlsx&amp;sheet=A0&amp;row=322&amp;col=7&amp;number=0&amp;sourceID=14","0")</f>
        <v>0</v>
      </c>
    </row>
    <row r="323" spans="1:7">
      <c r="A323" s="3">
        <v>26</v>
      </c>
      <c r="B323" s="3">
        <v>25</v>
      </c>
      <c r="C323" s="3">
        <v>59</v>
      </c>
      <c r="D323" s="3">
        <v>11</v>
      </c>
      <c r="E323" s="3">
        <v>2564.245</v>
      </c>
      <c r="F323" s="4" t="str">
        <f>HYPERLINK("http://141.218.60.56/~jnz1568/getInfo.php?workbook=26_25.xlsx&amp;sheet=A0&amp;row=323&amp;col=6&amp;number=151800000&amp;sourceID=14","151800000")</f>
        <v>151800000</v>
      </c>
      <c r="G323" s="4" t="str">
        <f>HYPERLINK("http://141.218.60.56/~jnz1568/getInfo.php?workbook=26_25.xlsx&amp;sheet=A0&amp;row=323&amp;col=7&amp;number=0&amp;sourceID=14","0")</f>
        <v>0</v>
      </c>
    </row>
    <row r="324" spans="1:7">
      <c r="A324" s="3">
        <v>26</v>
      </c>
      <c r="B324" s="3">
        <v>25</v>
      </c>
      <c r="C324" s="3">
        <v>59</v>
      </c>
      <c r="D324" s="3">
        <v>12</v>
      </c>
      <c r="E324" s="3">
        <v>2583.357</v>
      </c>
      <c r="F324" s="4" t="str">
        <f>HYPERLINK("http://141.218.60.56/~jnz1568/getInfo.php?workbook=26_25.xlsx&amp;sheet=A0&amp;row=324&amp;col=6&amp;number=75400000&amp;sourceID=14","75400000")</f>
        <v>75400000</v>
      </c>
      <c r="G324" s="4" t="str">
        <f>HYPERLINK("http://141.218.60.56/~jnz1568/getInfo.php?workbook=26_25.xlsx&amp;sheet=A0&amp;row=324&amp;col=7&amp;number=0&amp;sourceID=14","0")</f>
        <v>0</v>
      </c>
    </row>
    <row r="325" spans="1:7">
      <c r="A325" s="3">
        <v>26</v>
      </c>
      <c r="B325" s="3">
        <v>25</v>
      </c>
      <c r="C325" s="3">
        <v>59</v>
      </c>
      <c r="D325" s="3">
        <v>13</v>
      </c>
      <c r="E325" s="3">
        <v>2594.504</v>
      </c>
      <c r="F325" s="4" t="str">
        <f>HYPERLINK("http://141.218.60.56/~jnz1568/getInfo.php?workbook=26_25.xlsx&amp;sheet=A0&amp;row=325&amp;col=6&amp;number=11630000&amp;sourceID=14","11630000")</f>
        <v>11630000</v>
      </c>
      <c r="G325" s="4" t="str">
        <f>HYPERLINK("http://141.218.60.56/~jnz1568/getInfo.php?workbook=26_25.xlsx&amp;sheet=A0&amp;row=325&amp;col=7&amp;number=0&amp;sourceID=14","0")</f>
        <v>0</v>
      </c>
    </row>
    <row r="326" spans="1:7">
      <c r="A326" s="3">
        <v>26</v>
      </c>
      <c r="B326" s="3">
        <v>25</v>
      </c>
      <c r="C326" s="3">
        <v>59</v>
      </c>
      <c r="D326" s="3">
        <v>33</v>
      </c>
      <c r="E326" s="3">
        <v>6249.285</v>
      </c>
      <c r="F326" s="4" t="str">
        <f>HYPERLINK("http://141.218.60.56/~jnz1568/getInfo.php?workbook=26_25.xlsx&amp;sheet=A0&amp;row=326&amp;col=6&amp;number=204500&amp;sourceID=14","204500")</f>
        <v>204500</v>
      </c>
      <c r="G326" s="4" t="str">
        <f>HYPERLINK("http://141.218.60.56/~jnz1568/getInfo.php?workbook=26_25.xlsx&amp;sheet=A0&amp;row=326&amp;col=7&amp;number=0&amp;sourceID=14","0")</f>
        <v>0</v>
      </c>
    </row>
    <row r="327" spans="1:7">
      <c r="A327" s="3">
        <v>26</v>
      </c>
      <c r="B327" s="3">
        <v>25</v>
      </c>
      <c r="C327" s="3">
        <v>59</v>
      </c>
      <c r="D327" s="3">
        <v>34</v>
      </c>
      <c r="E327" s="3">
        <v>6240.118</v>
      </c>
      <c r="F327" s="4" t="str">
        <f>HYPERLINK("http://141.218.60.56/~jnz1568/getInfo.php?workbook=26_25.xlsx&amp;sheet=A0&amp;row=327&amp;col=6&amp;number=104300&amp;sourceID=14","104300")</f>
        <v>104300</v>
      </c>
      <c r="G327" s="4" t="str">
        <f>HYPERLINK("http://141.218.60.56/~jnz1568/getInfo.php?workbook=26_25.xlsx&amp;sheet=A0&amp;row=327&amp;col=7&amp;number=0&amp;sourceID=14","0")</f>
        <v>0</v>
      </c>
    </row>
    <row r="328" spans="1:7">
      <c r="A328" s="3">
        <v>26</v>
      </c>
      <c r="B328" s="3">
        <v>25</v>
      </c>
      <c r="C328" s="3">
        <v>59</v>
      </c>
      <c r="D328" s="3">
        <v>35</v>
      </c>
      <c r="E328" s="3">
        <v>6241.68</v>
      </c>
      <c r="F328" s="4" t="str">
        <f>HYPERLINK("http://141.218.60.56/~jnz1568/getInfo.php?workbook=26_25.xlsx&amp;sheet=A0&amp;row=328&amp;col=6&amp;number=16290&amp;sourceID=14","16290")</f>
        <v>16290</v>
      </c>
      <c r="G328" s="4" t="str">
        <f>HYPERLINK("http://141.218.60.56/~jnz1568/getInfo.php?workbook=26_25.xlsx&amp;sheet=A0&amp;row=328&amp;col=7&amp;number=0&amp;sourceID=14","0")</f>
        <v>0</v>
      </c>
    </row>
    <row r="329" spans="1:7">
      <c r="A329" s="3">
        <v>26</v>
      </c>
      <c r="B329" s="3">
        <v>25</v>
      </c>
      <c r="C329" s="3">
        <v>60</v>
      </c>
      <c r="D329" s="3">
        <v>15</v>
      </c>
      <c r="E329" s="3">
        <v>2945.257</v>
      </c>
      <c r="F329" s="4" t="str">
        <f>HYPERLINK("http://141.218.60.56/~jnz1568/getInfo.php?workbook=26_25.xlsx&amp;sheet=A0&amp;row=329&amp;col=6&amp;number=54270000&amp;sourceID=14","54270000")</f>
        <v>54270000</v>
      </c>
      <c r="G329" s="4" t="str">
        <f>HYPERLINK("http://141.218.60.56/~jnz1568/getInfo.php?workbook=26_25.xlsx&amp;sheet=A0&amp;row=329&amp;col=7&amp;number=0&amp;sourceID=14","0")</f>
        <v>0</v>
      </c>
    </row>
    <row r="330" spans="1:7">
      <c r="A330" s="3">
        <v>26</v>
      </c>
      <c r="B330" s="3">
        <v>25</v>
      </c>
      <c r="C330" s="3">
        <v>60</v>
      </c>
      <c r="D330" s="3">
        <v>16</v>
      </c>
      <c r="E330" s="3">
        <v>2965.489</v>
      </c>
      <c r="F330" s="4" t="str">
        <f>HYPERLINK("http://141.218.60.56/~jnz1568/getInfo.php?workbook=26_25.xlsx&amp;sheet=A0&amp;row=330&amp;col=6&amp;number=10630000&amp;sourceID=14","10630000")</f>
        <v>10630000</v>
      </c>
      <c r="G330" s="4" t="str">
        <f>HYPERLINK("http://141.218.60.56/~jnz1568/getInfo.php?workbook=26_25.xlsx&amp;sheet=A0&amp;row=330&amp;col=7&amp;number=0&amp;sourceID=14","0")</f>
        <v>0</v>
      </c>
    </row>
    <row r="331" spans="1:7">
      <c r="A331" s="3">
        <v>26</v>
      </c>
      <c r="B331" s="3">
        <v>25</v>
      </c>
      <c r="C331" s="3">
        <v>60</v>
      </c>
      <c r="D331" s="3">
        <v>18</v>
      </c>
      <c r="E331" s="3">
        <v>3873.864</v>
      </c>
      <c r="F331" s="4" t="str">
        <f>HYPERLINK("http://141.218.60.56/~jnz1568/getInfo.php?workbook=26_25.xlsx&amp;sheet=A0&amp;row=331&amp;col=6&amp;number=4744000&amp;sourceID=14","4744000")</f>
        <v>4744000</v>
      </c>
      <c r="G331" s="4" t="str">
        <f>HYPERLINK("http://141.218.60.56/~jnz1568/getInfo.php?workbook=26_25.xlsx&amp;sheet=A0&amp;row=331&amp;col=7&amp;number=0&amp;sourceID=14","0")</f>
        <v>0</v>
      </c>
    </row>
    <row r="332" spans="1:7">
      <c r="A332" s="3">
        <v>26</v>
      </c>
      <c r="B332" s="3">
        <v>25</v>
      </c>
      <c r="C332" s="3">
        <v>60</v>
      </c>
      <c r="D332" s="3">
        <v>19</v>
      </c>
      <c r="E332" s="3">
        <v>3965.701</v>
      </c>
      <c r="F332" s="4" t="str">
        <f>HYPERLINK("http://141.218.60.56/~jnz1568/getInfo.php?workbook=26_25.xlsx&amp;sheet=A0&amp;row=332&amp;col=6&amp;number=884400&amp;sourceID=14","884400")</f>
        <v>884400</v>
      </c>
      <c r="G332" s="4" t="str">
        <f>HYPERLINK("http://141.218.60.56/~jnz1568/getInfo.php?workbook=26_25.xlsx&amp;sheet=A0&amp;row=332&amp;col=7&amp;number=0&amp;sourceID=14","0")</f>
        <v>0</v>
      </c>
    </row>
    <row r="333" spans="1:7">
      <c r="A333" s="3">
        <v>26</v>
      </c>
      <c r="B333" s="3">
        <v>25</v>
      </c>
      <c r="C333" s="3">
        <v>60</v>
      </c>
      <c r="D333" s="3">
        <v>12</v>
      </c>
      <c r="E333" s="3">
        <v>2567.683</v>
      </c>
      <c r="F333" s="4" t="str">
        <f>HYPERLINK("http://141.218.60.56/~jnz1568/getInfo.php?workbook=26_25.xlsx&amp;sheet=A0&amp;row=333&amp;col=6&amp;number=120000000&amp;sourceID=14","120000000")</f>
        <v>120000000</v>
      </c>
      <c r="G333" s="4" t="str">
        <f>HYPERLINK("http://141.218.60.56/~jnz1568/getInfo.php?workbook=26_25.xlsx&amp;sheet=A0&amp;row=333&amp;col=7&amp;number=0&amp;sourceID=14","0")</f>
        <v>0</v>
      </c>
    </row>
    <row r="334" spans="1:7">
      <c r="A334" s="3">
        <v>26</v>
      </c>
      <c r="B334" s="3">
        <v>25</v>
      </c>
      <c r="C334" s="3">
        <v>60</v>
      </c>
      <c r="D334" s="3">
        <v>13</v>
      </c>
      <c r="E334" s="3">
        <v>2578.695</v>
      </c>
      <c r="F334" s="4" t="str">
        <f>HYPERLINK("http://141.218.60.56/~jnz1568/getInfo.php?workbook=26_25.xlsx&amp;sheet=A0&amp;row=334&amp;col=6&amp;number=118500000&amp;sourceID=14","118500000")</f>
        <v>118500000</v>
      </c>
      <c r="G334" s="4" t="str">
        <f>HYPERLINK("http://141.218.60.56/~jnz1568/getInfo.php?workbook=26_25.xlsx&amp;sheet=A0&amp;row=334&amp;col=7&amp;number=0&amp;sourceID=14","0")</f>
        <v>0</v>
      </c>
    </row>
    <row r="335" spans="1:7">
      <c r="A335" s="3">
        <v>26</v>
      </c>
      <c r="B335" s="3">
        <v>25</v>
      </c>
      <c r="C335" s="3">
        <v>60</v>
      </c>
      <c r="D335" s="3">
        <v>34</v>
      </c>
      <c r="E335" s="3">
        <v>6149.443</v>
      </c>
      <c r="F335" s="4" t="str">
        <f>HYPERLINK("http://141.218.60.56/~jnz1568/getInfo.php?workbook=26_25.xlsx&amp;sheet=A0&amp;row=335&amp;col=6&amp;number=170300&amp;sourceID=14","170300")</f>
        <v>170300</v>
      </c>
      <c r="G335" s="4" t="str">
        <f>HYPERLINK("http://141.218.60.56/~jnz1568/getInfo.php?workbook=26_25.xlsx&amp;sheet=A0&amp;row=335&amp;col=7&amp;number=0&amp;sourceID=14","0")</f>
        <v>0</v>
      </c>
    </row>
    <row r="336" spans="1:7">
      <c r="A336" s="3">
        <v>26</v>
      </c>
      <c r="B336" s="3">
        <v>25</v>
      </c>
      <c r="C336" s="3">
        <v>60</v>
      </c>
      <c r="D336" s="3">
        <v>35</v>
      </c>
      <c r="E336" s="3">
        <v>6150.96</v>
      </c>
      <c r="F336" s="4" t="str">
        <f>HYPERLINK("http://141.218.60.56/~jnz1568/getInfo.php?workbook=26_25.xlsx&amp;sheet=A0&amp;row=336&amp;col=6&amp;number=170200&amp;sourceID=14","170200")</f>
        <v>170200</v>
      </c>
      <c r="G336" s="4" t="str">
        <f>HYPERLINK("http://141.218.60.56/~jnz1568/getInfo.php?workbook=26_25.xlsx&amp;sheet=A0&amp;row=336&amp;col=7&amp;number=0&amp;sourceID=14","0")</f>
        <v>0</v>
      </c>
    </row>
    <row r="337" spans="1:7">
      <c r="A337" s="3">
        <v>26</v>
      </c>
      <c r="B337" s="3">
        <v>25</v>
      </c>
      <c r="C337" s="3">
        <v>61</v>
      </c>
      <c r="D337" s="3">
        <v>50</v>
      </c>
      <c r="E337" s="3">
        <v>17511.374</v>
      </c>
      <c r="F337" s="4" t="str">
        <f>HYPERLINK("http://141.218.60.56/~jnz1568/getInfo.php?workbook=26_25.xlsx&amp;sheet=A0&amp;row=337&amp;col=6&amp;number=0.688&amp;sourceID=14","0.688")</f>
        <v>0.688</v>
      </c>
      <c r="G337" s="4" t="str">
        <f>HYPERLINK("http://141.218.60.56/~jnz1568/getInfo.php?workbook=26_25.xlsx&amp;sheet=A0&amp;row=337&amp;col=7&amp;number=0&amp;sourceID=14","0")</f>
        <v>0</v>
      </c>
    </row>
    <row r="338" spans="1:7">
      <c r="A338" s="3">
        <v>26</v>
      </c>
      <c r="B338" s="3">
        <v>25</v>
      </c>
      <c r="C338" s="3">
        <v>61</v>
      </c>
      <c r="D338" s="3">
        <v>54</v>
      </c>
      <c r="E338" s="3">
        <v>16877.804</v>
      </c>
      <c r="F338" s="4" t="str">
        <f>HYPERLINK("http://141.218.60.56/~jnz1568/getInfo.php?workbook=26_25.xlsx&amp;sheet=A0&amp;row=338&amp;col=6&amp;number=527.1&amp;sourceID=14","527.1")</f>
        <v>527.1</v>
      </c>
      <c r="G338" s="4" t="str">
        <f>HYPERLINK("http://141.218.60.56/~jnz1568/getInfo.php?workbook=26_25.xlsx&amp;sheet=A0&amp;row=338&amp;col=7&amp;number=0&amp;sourceID=14","0")</f>
        <v>0</v>
      </c>
    </row>
    <row r="339" spans="1:7">
      <c r="A339" s="3">
        <v>26</v>
      </c>
      <c r="B339" s="3">
        <v>25</v>
      </c>
      <c r="C339" s="3">
        <v>61</v>
      </c>
      <c r="D339" s="3">
        <v>55</v>
      </c>
      <c r="E339" s="3">
        <v>18506.002</v>
      </c>
      <c r="F339" s="4" t="str">
        <f>HYPERLINK("http://141.218.60.56/~jnz1568/getInfo.php?workbook=26_25.xlsx&amp;sheet=A0&amp;row=339&amp;col=6&amp;number=36.18&amp;sourceID=14","36.18")</f>
        <v>36.18</v>
      </c>
      <c r="G339" s="4" t="str">
        <f>HYPERLINK("http://141.218.60.56/~jnz1568/getInfo.php?workbook=26_25.xlsx&amp;sheet=A0&amp;row=339&amp;col=7&amp;number=0&amp;sourceID=14","0")</f>
        <v>0</v>
      </c>
    </row>
    <row r="340" spans="1:7">
      <c r="A340" s="3">
        <v>26</v>
      </c>
      <c r="B340" s="3">
        <v>25</v>
      </c>
      <c r="C340" s="3">
        <v>62</v>
      </c>
      <c r="D340" s="3">
        <v>50</v>
      </c>
      <c r="E340" s="3">
        <v>17418.77</v>
      </c>
      <c r="F340" s="4" t="str">
        <f>HYPERLINK("http://141.218.60.56/~jnz1568/getInfo.php?workbook=26_25.xlsx&amp;sheet=A0&amp;row=340&amp;col=6&amp;number=0.09963&amp;sourceID=14","0.09963")</f>
        <v>0.09963</v>
      </c>
      <c r="G340" s="4" t="str">
        <f>HYPERLINK("http://141.218.60.56/~jnz1568/getInfo.php?workbook=26_25.xlsx&amp;sheet=A0&amp;row=340&amp;col=7&amp;number=0&amp;sourceID=14","0")</f>
        <v>0</v>
      </c>
    </row>
    <row r="341" spans="1:7">
      <c r="A341" s="3">
        <v>26</v>
      </c>
      <c r="B341" s="3">
        <v>25</v>
      </c>
      <c r="C341" s="3">
        <v>62</v>
      </c>
      <c r="D341" s="3">
        <v>51</v>
      </c>
      <c r="E341" s="3">
        <v>18508.062</v>
      </c>
      <c r="F341" s="4" t="str">
        <f>HYPERLINK("http://141.218.60.56/~jnz1568/getInfo.php?workbook=26_25.xlsx&amp;sheet=A0&amp;row=341&amp;col=6&amp;number=0.4997&amp;sourceID=14","0.4997")</f>
        <v>0.4997</v>
      </c>
      <c r="G341" s="4" t="str">
        <f>HYPERLINK("http://141.218.60.56/~jnz1568/getInfo.php?workbook=26_25.xlsx&amp;sheet=A0&amp;row=341&amp;col=7&amp;number=0&amp;sourceID=14","0")</f>
        <v>0</v>
      </c>
    </row>
    <row r="342" spans="1:7">
      <c r="A342" s="3">
        <v>26</v>
      </c>
      <c r="B342" s="3">
        <v>25</v>
      </c>
      <c r="C342" s="3">
        <v>62</v>
      </c>
      <c r="D342" s="3">
        <v>54</v>
      </c>
      <c r="E342" s="3">
        <v>16791.763</v>
      </c>
      <c r="F342" s="4" t="str">
        <f>HYPERLINK("http://141.218.60.56/~jnz1568/getInfo.php?workbook=26_25.xlsx&amp;sheet=A0&amp;row=342&amp;col=6&amp;number=60.54&amp;sourceID=14","60.54")</f>
        <v>60.54</v>
      </c>
      <c r="G342" s="4" t="str">
        <f>HYPERLINK("http://141.218.60.56/~jnz1568/getInfo.php?workbook=26_25.xlsx&amp;sheet=A0&amp;row=342&amp;col=7&amp;number=0&amp;sourceID=14","0")</f>
        <v>0</v>
      </c>
    </row>
    <row r="343" spans="1:7">
      <c r="A343" s="3">
        <v>26</v>
      </c>
      <c r="B343" s="3">
        <v>25</v>
      </c>
      <c r="C343" s="3">
        <v>62</v>
      </c>
      <c r="D343" s="3">
        <v>55</v>
      </c>
      <c r="E343" s="3">
        <v>18402.61</v>
      </c>
      <c r="F343" s="4" t="str">
        <f>HYPERLINK("http://141.218.60.56/~jnz1568/getInfo.php?workbook=26_25.xlsx&amp;sheet=A0&amp;row=343&amp;col=6&amp;number=338.6&amp;sourceID=14","338.6")</f>
        <v>338.6</v>
      </c>
      <c r="G343" s="4" t="str">
        <f>HYPERLINK("http://141.218.60.56/~jnz1568/getInfo.php?workbook=26_25.xlsx&amp;sheet=A0&amp;row=343&amp;col=7&amp;number=0&amp;sourceID=14","0")</f>
        <v>0</v>
      </c>
    </row>
    <row r="344" spans="1:7">
      <c r="A344" s="3">
        <v>26</v>
      </c>
      <c r="B344" s="3">
        <v>25</v>
      </c>
      <c r="C344" s="3">
        <v>62</v>
      </c>
      <c r="D344" s="3">
        <v>56</v>
      </c>
      <c r="E344" s="3">
        <v>19577.388</v>
      </c>
      <c r="F344" s="4" t="str">
        <f>HYPERLINK("http://141.218.60.56/~jnz1568/getInfo.php?workbook=26_25.xlsx&amp;sheet=A0&amp;row=344&amp;col=6&amp;number=49.41&amp;sourceID=14","49.41")</f>
        <v>49.41</v>
      </c>
      <c r="G344" s="4" t="str">
        <f>HYPERLINK("http://141.218.60.56/~jnz1568/getInfo.php?workbook=26_25.xlsx&amp;sheet=A0&amp;row=344&amp;col=7&amp;number=0&amp;sourceID=14","0")</f>
        <v>0</v>
      </c>
    </row>
    <row r="345" spans="1:7">
      <c r="A345" s="3">
        <v>26</v>
      </c>
      <c r="B345" s="3">
        <v>25</v>
      </c>
      <c r="C345" s="3">
        <v>63</v>
      </c>
      <c r="D345" s="3">
        <v>50</v>
      </c>
      <c r="E345" s="3">
        <v>17556.469</v>
      </c>
      <c r="F345" s="4" t="str">
        <f>HYPERLINK("http://141.218.60.56/~jnz1568/getInfo.php?workbook=26_25.xlsx&amp;sheet=A0&amp;row=345&amp;col=6&amp;number=0.006597&amp;sourceID=14","0.006597")</f>
        <v>0.006597</v>
      </c>
      <c r="G345" s="4" t="str">
        <f>HYPERLINK("http://141.218.60.56/~jnz1568/getInfo.php?workbook=26_25.xlsx&amp;sheet=A0&amp;row=345&amp;col=7&amp;number=0&amp;sourceID=14","0")</f>
        <v>0</v>
      </c>
    </row>
    <row r="346" spans="1:7">
      <c r="A346" s="3">
        <v>26</v>
      </c>
      <c r="B346" s="3">
        <v>25</v>
      </c>
      <c r="C346" s="3">
        <v>63</v>
      </c>
      <c r="D346" s="3">
        <v>51</v>
      </c>
      <c r="E346" s="3">
        <v>18663.599</v>
      </c>
      <c r="F346" s="4" t="str">
        <f>HYPERLINK("http://141.218.60.56/~jnz1568/getInfo.php?workbook=26_25.xlsx&amp;sheet=A0&amp;row=346&amp;col=6&amp;number=0.1382&amp;sourceID=14","0.1382")</f>
        <v>0.1382</v>
      </c>
      <c r="G346" s="4" t="str">
        <f>HYPERLINK("http://141.218.60.56/~jnz1568/getInfo.php?workbook=26_25.xlsx&amp;sheet=A0&amp;row=346&amp;col=7&amp;number=0&amp;sourceID=14","0")</f>
        <v>0</v>
      </c>
    </row>
    <row r="347" spans="1:7">
      <c r="A347" s="3">
        <v>26</v>
      </c>
      <c r="B347" s="3">
        <v>25</v>
      </c>
      <c r="C347" s="3">
        <v>63</v>
      </c>
      <c r="D347" s="3">
        <v>52</v>
      </c>
      <c r="E347" s="3">
        <v>19613.161</v>
      </c>
      <c r="F347" s="4" t="str">
        <f>HYPERLINK("http://141.218.60.56/~jnz1568/getInfo.php?workbook=26_25.xlsx&amp;sheet=A0&amp;row=347&amp;col=6&amp;number=0.3672&amp;sourceID=14","0.3672")</f>
        <v>0.3672</v>
      </c>
      <c r="G347" s="4" t="str">
        <f>HYPERLINK("http://141.218.60.56/~jnz1568/getInfo.php?workbook=26_25.xlsx&amp;sheet=A0&amp;row=347&amp;col=7&amp;number=0&amp;sourceID=14","0")</f>
        <v>0</v>
      </c>
    </row>
    <row r="348" spans="1:7">
      <c r="A348" s="3">
        <v>26</v>
      </c>
      <c r="B348" s="3">
        <v>25</v>
      </c>
      <c r="C348" s="3">
        <v>63</v>
      </c>
      <c r="D348" s="3">
        <v>55</v>
      </c>
      <c r="E348" s="3">
        <v>18556.372</v>
      </c>
      <c r="F348" s="4" t="str">
        <f>HYPERLINK("http://141.218.60.56/~jnz1568/getInfo.php?workbook=26_25.xlsx&amp;sheet=A0&amp;row=348&amp;col=6&amp;number=77.31&amp;sourceID=14","77.31")</f>
        <v>77.31</v>
      </c>
      <c r="G348" s="4" t="str">
        <f>HYPERLINK("http://141.218.60.56/~jnz1568/getInfo.php?workbook=26_25.xlsx&amp;sheet=A0&amp;row=348&amp;col=7&amp;number=0&amp;sourceID=14","0")</f>
        <v>0</v>
      </c>
    </row>
    <row r="349" spans="1:7">
      <c r="A349" s="3">
        <v>26</v>
      </c>
      <c r="B349" s="3">
        <v>25</v>
      </c>
      <c r="C349" s="3">
        <v>63</v>
      </c>
      <c r="D349" s="3">
        <v>56</v>
      </c>
      <c r="E349" s="3">
        <v>19751.501</v>
      </c>
      <c r="F349" s="4" t="str">
        <f>HYPERLINK("http://141.218.60.56/~jnz1568/getInfo.php?workbook=26_25.xlsx&amp;sheet=A0&amp;row=349&amp;col=6&amp;number=247&amp;sourceID=14","247")</f>
        <v>247</v>
      </c>
      <c r="G349" s="4" t="str">
        <f>HYPERLINK("http://141.218.60.56/~jnz1568/getInfo.php?workbook=26_25.xlsx&amp;sheet=A0&amp;row=349&amp;col=7&amp;number=0&amp;sourceID=14","0")</f>
        <v>0</v>
      </c>
    </row>
    <row r="350" spans="1:7">
      <c r="A350" s="3">
        <v>26</v>
      </c>
      <c r="B350" s="3">
        <v>25</v>
      </c>
      <c r="C350" s="3">
        <v>63</v>
      </c>
      <c r="D350" s="3">
        <v>57</v>
      </c>
      <c r="E350" s="3">
        <v>20605.877</v>
      </c>
      <c r="F350" s="4" t="str">
        <f>HYPERLINK("http://141.218.60.56/~jnz1568/getInfo.php?workbook=26_25.xlsx&amp;sheet=A0&amp;row=350&amp;col=6&amp;number=42.16&amp;sourceID=14","42.16")</f>
        <v>42.16</v>
      </c>
      <c r="G350" s="4" t="str">
        <f>HYPERLINK("http://141.218.60.56/~jnz1568/getInfo.php?workbook=26_25.xlsx&amp;sheet=A0&amp;row=350&amp;col=7&amp;number=0&amp;sourceID=14","0")</f>
        <v>0</v>
      </c>
    </row>
    <row r="351" spans="1:7">
      <c r="A351" s="3">
        <v>26</v>
      </c>
      <c r="B351" s="3">
        <v>25</v>
      </c>
      <c r="C351" s="3">
        <v>64</v>
      </c>
      <c r="D351" s="3">
        <v>51</v>
      </c>
      <c r="E351" s="3">
        <v>18899.489</v>
      </c>
      <c r="F351" s="4" t="str">
        <f>HYPERLINK("http://141.218.60.56/~jnz1568/getInfo.php?workbook=26_25.xlsx&amp;sheet=A0&amp;row=351&amp;col=6&amp;number=0.01095&amp;sourceID=14","0.01095")</f>
        <v>0.01095</v>
      </c>
      <c r="G351" s="4" t="str">
        <f>HYPERLINK("http://141.218.60.56/~jnz1568/getInfo.php?workbook=26_25.xlsx&amp;sheet=A0&amp;row=351&amp;col=7&amp;number=0&amp;sourceID=14","0")</f>
        <v>0</v>
      </c>
    </row>
    <row r="352" spans="1:7">
      <c r="A352" s="3">
        <v>26</v>
      </c>
      <c r="B352" s="3">
        <v>25</v>
      </c>
      <c r="C352" s="3">
        <v>64</v>
      </c>
      <c r="D352" s="3">
        <v>52</v>
      </c>
      <c r="E352" s="3">
        <v>19873.832</v>
      </c>
      <c r="F352" s="4" t="str">
        <f>HYPERLINK("http://141.218.60.56/~jnz1568/getInfo.php?workbook=26_25.xlsx&amp;sheet=A0&amp;row=352&amp;col=6&amp;number=0.1318&amp;sourceID=14","0.1318")</f>
        <v>0.1318</v>
      </c>
      <c r="G352" s="4" t="str">
        <f>HYPERLINK("http://141.218.60.56/~jnz1568/getInfo.php?workbook=26_25.xlsx&amp;sheet=A0&amp;row=352&amp;col=7&amp;number=0&amp;sourceID=14","0")</f>
        <v>0</v>
      </c>
    </row>
    <row r="353" spans="1:7">
      <c r="A353" s="3">
        <v>26</v>
      </c>
      <c r="B353" s="3">
        <v>25</v>
      </c>
      <c r="C353" s="3">
        <v>64</v>
      </c>
      <c r="D353" s="3">
        <v>53</v>
      </c>
      <c r="E353" s="3">
        <v>20536.154</v>
      </c>
      <c r="F353" s="4" t="str">
        <f>HYPERLINK("http://141.218.60.56/~jnz1568/getInfo.php?workbook=26_25.xlsx&amp;sheet=A0&amp;row=353&amp;col=6&amp;number=0.2987&amp;sourceID=14","0.2987")</f>
        <v>0.2987</v>
      </c>
      <c r="G353" s="4" t="str">
        <f>HYPERLINK("http://141.218.60.56/~jnz1568/getInfo.php?workbook=26_25.xlsx&amp;sheet=A0&amp;row=353&amp;col=7&amp;number=0&amp;sourceID=14","0")</f>
        <v>0</v>
      </c>
    </row>
    <row r="354" spans="1:7">
      <c r="A354" s="3">
        <v>26</v>
      </c>
      <c r="B354" s="3">
        <v>25</v>
      </c>
      <c r="C354" s="3">
        <v>64</v>
      </c>
      <c r="D354" s="3">
        <v>56</v>
      </c>
      <c r="E354" s="3">
        <v>20015.888</v>
      </c>
      <c r="F354" s="4" t="str">
        <f>HYPERLINK("http://141.218.60.56/~jnz1568/getInfo.php?workbook=26_25.xlsx&amp;sheet=A0&amp;row=354&amp;col=6&amp;number=69.04&amp;sourceID=14","69.04")</f>
        <v>69.04</v>
      </c>
      <c r="G354" s="4" t="str">
        <f>HYPERLINK("http://141.218.60.56/~jnz1568/getInfo.php?workbook=26_25.xlsx&amp;sheet=A0&amp;row=354&amp;col=7&amp;number=0&amp;sourceID=14","0")</f>
        <v>0</v>
      </c>
    </row>
    <row r="355" spans="1:7">
      <c r="A355" s="3">
        <v>26</v>
      </c>
      <c r="B355" s="3">
        <v>25</v>
      </c>
      <c r="C355" s="3">
        <v>64</v>
      </c>
      <c r="D355" s="3">
        <v>57</v>
      </c>
      <c r="E355" s="3">
        <v>20893.797</v>
      </c>
      <c r="F355" s="4" t="str">
        <f>HYPERLINK("http://141.218.60.56/~jnz1568/getInfo.php?workbook=26_25.xlsx&amp;sheet=A0&amp;row=355&amp;col=6&amp;number=242.8&amp;sourceID=14","242.8")</f>
        <v>242.8</v>
      </c>
      <c r="G355" s="4" t="str">
        <f>HYPERLINK("http://141.218.60.56/~jnz1568/getInfo.php?workbook=26_25.xlsx&amp;sheet=A0&amp;row=355&amp;col=7&amp;number=0&amp;sourceID=14","0")</f>
        <v>0</v>
      </c>
    </row>
    <row r="356" spans="1:7">
      <c r="A356" s="3">
        <v>26</v>
      </c>
      <c r="B356" s="3">
        <v>25</v>
      </c>
      <c r="C356" s="3">
        <v>65</v>
      </c>
      <c r="D356" s="3">
        <v>58</v>
      </c>
      <c r="E356" s="3">
        <v>30813.043</v>
      </c>
      <c r="F356" s="4" t="str">
        <f>HYPERLINK("http://141.218.60.56/~jnz1568/getInfo.php?workbook=26_25.xlsx&amp;sheet=A0&amp;row=356&amp;col=6&amp;number=262.4&amp;sourceID=14","262.4")</f>
        <v>262.4</v>
      </c>
      <c r="G356" s="4" t="str">
        <f>HYPERLINK("http://141.218.60.56/~jnz1568/getInfo.php?workbook=26_25.xlsx&amp;sheet=A0&amp;row=356&amp;col=7&amp;number=0&amp;sourceID=14","0")</f>
        <v>0</v>
      </c>
    </row>
    <row r="357" spans="1:7">
      <c r="A357" s="3">
        <v>26</v>
      </c>
      <c r="B357" s="3">
        <v>25</v>
      </c>
      <c r="C357" s="3">
        <v>65</v>
      </c>
      <c r="D357" s="3">
        <v>59</v>
      </c>
      <c r="E357" s="3">
        <v>35422.72</v>
      </c>
      <c r="F357" s="4" t="str">
        <f>HYPERLINK("http://141.218.60.56/~jnz1568/getInfo.php?workbook=26_25.xlsx&amp;sheet=A0&amp;row=357&amp;col=6&amp;number=74.01&amp;sourceID=14","74.01")</f>
        <v>74.01</v>
      </c>
      <c r="G357" s="4" t="str">
        <f>HYPERLINK("http://141.218.60.56/~jnz1568/getInfo.php?workbook=26_25.xlsx&amp;sheet=A0&amp;row=357&amp;col=7&amp;number=0&amp;sourceID=14","0")</f>
        <v>0</v>
      </c>
    </row>
    <row r="358" spans="1:7">
      <c r="A358" s="3">
        <v>26</v>
      </c>
      <c r="B358" s="3">
        <v>25</v>
      </c>
      <c r="C358" s="3">
        <v>65</v>
      </c>
      <c r="D358" s="3">
        <v>50</v>
      </c>
      <c r="E358" s="3">
        <v>17343.21</v>
      </c>
      <c r="F358" s="4" t="str">
        <f>HYPERLINK("http://141.218.60.56/~jnz1568/getInfo.php?workbook=26_25.xlsx&amp;sheet=A0&amp;row=358&amp;col=6&amp;number=122.6&amp;sourceID=14","122.6")</f>
        <v>122.6</v>
      </c>
      <c r="G358" s="4" t="str">
        <f>HYPERLINK("http://141.218.60.56/~jnz1568/getInfo.php?workbook=26_25.xlsx&amp;sheet=A0&amp;row=358&amp;col=7&amp;number=0&amp;sourceID=14","0")</f>
        <v>0</v>
      </c>
    </row>
    <row r="359" spans="1:7">
      <c r="A359" s="3">
        <v>26</v>
      </c>
      <c r="B359" s="3">
        <v>25</v>
      </c>
      <c r="C359" s="3">
        <v>65</v>
      </c>
      <c r="D359" s="3">
        <v>51</v>
      </c>
      <c r="E359" s="3">
        <v>18422.78</v>
      </c>
      <c r="F359" s="4" t="str">
        <f>HYPERLINK("http://141.218.60.56/~jnz1568/getInfo.php?workbook=26_25.xlsx&amp;sheet=A0&amp;row=359&amp;col=6&amp;number=23.01&amp;sourceID=14","23.01")</f>
        <v>23.01</v>
      </c>
      <c r="G359" s="4" t="str">
        <f>HYPERLINK("http://141.218.60.56/~jnz1568/getInfo.php?workbook=26_25.xlsx&amp;sheet=A0&amp;row=359&amp;col=7&amp;number=0&amp;sourceID=14","0")</f>
        <v>0</v>
      </c>
    </row>
    <row r="360" spans="1:7">
      <c r="A360" s="3">
        <v>26</v>
      </c>
      <c r="B360" s="3">
        <v>25</v>
      </c>
      <c r="C360" s="3">
        <v>65</v>
      </c>
      <c r="D360" s="3">
        <v>52</v>
      </c>
      <c r="E360" s="3">
        <v>19347.388</v>
      </c>
      <c r="F360" s="4" t="str">
        <f>HYPERLINK("http://141.218.60.56/~jnz1568/getInfo.php?workbook=26_25.xlsx&amp;sheet=A0&amp;row=360&amp;col=6&amp;number=2.208&amp;sourceID=14","2.208")</f>
        <v>2.208</v>
      </c>
      <c r="G360" s="4" t="str">
        <f>HYPERLINK("http://141.218.60.56/~jnz1568/getInfo.php?workbook=26_25.xlsx&amp;sheet=A0&amp;row=360&amp;col=7&amp;number=0&amp;sourceID=14","0")</f>
        <v>0</v>
      </c>
    </row>
    <row r="361" spans="1:7">
      <c r="A361" s="3">
        <v>26</v>
      </c>
      <c r="B361" s="3">
        <v>25</v>
      </c>
      <c r="C361" s="3">
        <v>66</v>
      </c>
      <c r="D361" s="3">
        <v>58</v>
      </c>
      <c r="E361" s="3">
        <v>39378.012</v>
      </c>
      <c r="F361" s="4" t="str">
        <f>HYPERLINK("http://141.218.60.56/~jnz1568/getInfo.php?workbook=26_25.xlsx&amp;sheet=A0&amp;row=361&amp;col=6&amp;number=80.85&amp;sourceID=14","80.85")</f>
        <v>80.85</v>
      </c>
      <c r="G361" s="4" t="str">
        <f>HYPERLINK("http://141.218.60.56/~jnz1568/getInfo.php?workbook=26_25.xlsx&amp;sheet=A0&amp;row=361&amp;col=7&amp;number=0&amp;sourceID=14","0")</f>
        <v>0</v>
      </c>
    </row>
    <row r="362" spans="1:7">
      <c r="A362" s="3">
        <v>26</v>
      </c>
      <c r="B362" s="3">
        <v>25</v>
      </c>
      <c r="C362" s="3">
        <v>66</v>
      </c>
      <c r="D362" s="3">
        <v>59</v>
      </c>
      <c r="E362" s="3">
        <v>47233.169</v>
      </c>
      <c r="F362" s="4" t="str">
        <f>HYPERLINK("http://141.218.60.56/~jnz1568/getInfo.php?workbook=26_25.xlsx&amp;sheet=A0&amp;row=362&amp;col=6&amp;number=13.88&amp;sourceID=14","13.88")</f>
        <v>13.88</v>
      </c>
      <c r="G362" s="4" t="str">
        <f>HYPERLINK("http://141.218.60.56/~jnz1568/getInfo.php?workbook=26_25.xlsx&amp;sheet=A0&amp;row=362&amp;col=7&amp;number=0&amp;sourceID=14","0")</f>
        <v>0</v>
      </c>
    </row>
    <row r="363" spans="1:7">
      <c r="A363" s="3">
        <v>26</v>
      </c>
      <c r="B363" s="3">
        <v>25</v>
      </c>
      <c r="C363" s="3">
        <v>66</v>
      </c>
      <c r="D363" s="3">
        <v>60</v>
      </c>
      <c r="E363" s="3">
        <v>53167.186</v>
      </c>
      <c r="F363" s="4" t="str">
        <f>HYPERLINK("http://141.218.60.56/~jnz1568/getInfo.php?workbook=26_25.xlsx&amp;sheet=A0&amp;row=363&amp;col=6&amp;number=30.42&amp;sourceID=14","30.42")</f>
        <v>30.42</v>
      </c>
      <c r="G363" s="4" t="str">
        <f>HYPERLINK("http://141.218.60.56/~jnz1568/getInfo.php?workbook=26_25.xlsx&amp;sheet=A0&amp;row=363&amp;col=7&amp;number=0&amp;sourceID=14","0")</f>
        <v>0</v>
      </c>
    </row>
    <row r="364" spans="1:7">
      <c r="A364" s="3">
        <v>26</v>
      </c>
      <c r="B364" s="3">
        <v>25</v>
      </c>
      <c r="C364" s="3">
        <v>66</v>
      </c>
      <c r="D364" s="3">
        <v>51</v>
      </c>
      <c r="E364" s="3">
        <v>21176.696</v>
      </c>
      <c r="F364" s="4" t="str">
        <f>HYPERLINK("http://141.218.60.56/~jnz1568/getInfo.php?workbook=26_25.xlsx&amp;sheet=A0&amp;row=364&amp;col=6&amp;number=53.02&amp;sourceID=14","53.02")</f>
        <v>53.02</v>
      </c>
      <c r="G364" s="4" t="str">
        <f>HYPERLINK("http://141.218.60.56/~jnz1568/getInfo.php?workbook=26_25.xlsx&amp;sheet=A0&amp;row=364&amp;col=7&amp;number=0&amp;sourceID=14","0")</f>
        <v>0</v>
      </c>
    </row>
    <row r="365" spans="1:7">
      <c r="A365" s="3">
        <v>26</v>
      </c>
      <c r="B365" s="3">
        <v>25</v>
      </c>
      <c r="C365" s="3">
        <v>66</v>
      </c>
      <c r="D365" s="3">
        <v>52</v>
      </c>
      <c r="E365" s="3">
        <v>22407.63</v>
      </c>
      <c r="F365" s="4" t="str">
        <f>HYPERLINK("http://141.218.60.56/~jnz1568/getInfo.php?workbook=26_25.xlsx&amp;sheet=A0&amp;row=365&amp;col=6&amp;number=22.74&amp;sourceID=14","22.74")</f>
        <v>22.74</v>
      </c>
      <c r="G365" s="4" t="str">
        <f>HYPERLINK("http://141.218.60.56/~jnz1568/getInfo.php?workbook=26_25.xlsx&amp;sheet=A0&amp;row=365&amp;col=7&amp;number=0&amp;sourceID=14","0")</f>
        <v>0</v>
      </c>
    </row>
    <row r="366" spans="1:7">
      <c r="A366" s="3">
        <v>26</v>
      </c>
      <c r="B366" s="3">
        <v>25</v>
      </c>
      <c r="C366" s="3">
        <v>66</v>
      </c>
      <c r="D366" s="3">
        <v>53</v>
      </c>
      <c r="E366" s="3">
        <v>23253.195</v>
      </c>
      <c r="F366" s="4" t="str">
        <f>HYPERLINK("http://141.218.60.56/~jnz1568/getInfo.php?workbook=26_25.xlsx&amp;sheet=A0&amp;row=366&amp;col=6&amp;number=3.179&amp;sourceID=14","3.179")</f>
        <v>3.179</v>
      </c>
      <c r="G366" s="4" t="str">
        <f>HYPERLINK("http://141.218.60.56/~jnz1568/getInfo.php?workbook=26_25.xlsx&amp;sheet=A0&amp;row=366&amp;col=7&amp;number=0&amp;sourceID=14","0")</f>
        <v>0</v>
      </c>
    </row>
    <row r="367" spans="1:7">
      <c r="A367" s="3">
        <v>26</v>
      </c>
      <c r="B367" s="3">
        <v>25</v>
      </c>
      <c r="C367" s="3">
        <v>67</v>
      </c>
      <c r="D367" s="3">
        <v>59</v>
      </c>
      <c r="E367" s="3">
        <v>58438.549</v>
      </c>
      <c r="F367" s="4" t="str">
        <f>HYPERLINK("http://141.218.60.56/~jnz1568/getInfo.php?workbook=26_25.xlsx&amp;sheet=A0&amp;row=367&amp;col=6&amp;number=45.78&amp;sourceID=14","45.78")</f>
        <v>45.78</v>
      </c>
      <c r="G367" s="4" t="str">
        <f>HYPERLINK("http://141.218.60.56/~jnz1568/getInfo.php?workbook=26_25.xlsx&amp;sheet=A0&amp;row=367&amp;col=7&amp;number=0&amp;sourceID=14","0")</f>
        <v>0</v>
      </c>
    </row>
    <row r="368" spans="1:7">
      <c r="A368" s="3">
        <v>26</v>
      </c>
      <c r="B368" s="3">
        <v>25</v>
      </c>
      <c r="C368" s="3">
        <v>67</v>
      </c>
      <c r="D368" s="3">
        <v>60</v>
      </c>
      <c r="E368" s="3">
        <v>67801.099</v>
      </c>
      <c r="F368" s="4" t="str">
        <f>HYPERLINK("http://141.218.60.56/~jnz1568/getInfo.php?workbook=26_25.xlsx&amp;sheet=A0&amp;row=368&amp;col=6&amp;number=5.867&amp;sourceID=14","5.867")</f>
        <v>5.867</v>
      </c>
      <c r="G368" s="4" t="str">
        <f>HYPERLINK("http://141.218.60.56/~jnz1568/getInfo.php?workbook=26_25.xlsx&amp;sheet=A0&amp;row=368&amp;col=7&amp;number=0&amp;sourceID=14","0")</f>
        <v>0</v>
      </c>
    </row>
    <row r="369" spans="1:7">
      <c r="A369" s="3">
        <v>26</v>
      </c>
      <c r="B369" s="3">
        <v>25</v>
      </c>
      <c r="C369" s="3">
        <v>67</v>
      </c>
      <c r="D369" s="3">
        <v>52</v>
      </c>
      <c r="E369" s="3">
        <v>24649.918</v>
      </c>
      <c r="F369" s="4" t="str">
        <f>HYPERLINK("http://141.218.60.56/~jnz1568/getInfo.php?workbook=26_25.xlsx&amp;sheet=A0&amp;row=369&amp;col=6&amp;number=26.69&amp;sourceID=14","26.69")</f>
        <v>26.69</v>
      </c>
      <c r="G369" s="4" t="str">
        <f>HYPERLINK("http://141.218.60.56/~jnz1568/getInfo.php?workbook=26_25.xlsx&amp;sheet=A0&amp;row=369&amp;col=7&amp;number=0&amp;sourceID=14","0")</f>
        <v>0</v>
      </c>
    </row>
    <row r="370" spans="1:7">
      <c r="A370" s="3">
        <v>26</v>
      </c>
      <c r="B370" s="3">
        <v>25</v>
      </c>
      <c r="C370" s="3">
        <v>67</v>
      </c>
      <c r="D370" s="3">
        <v>53</v>
      </c>
      <c r="E370" s="3">
        <v>25677.057</v>
      </c>
      <c r="F370" s="4" t="str">
        <f>HYPERLINK("http://141.218.60.56/~jnz1568/getInfo.php?workbook=26_25.xlsx&amp;sheet=A0&amp;row=370&amp;col=6&amp;number=23.61&amp;sourceID=14","23.61")</f>
        <v>23.61</v>
      </c>
      <c r="G370" s="4" t="str">
        <f>HYPERLINK("http://141.218.60.56/~jnz1568/getInfo.php?workbook=26_25.xlsx&amp;sheet=A0&amp;row=370&amp;col=7&amp;number=0&amp;sourceID=14","0")</f>
        <v>0</v>
      </c>
    </row>
    <row r="371" spans="1:7">
      <c r="A371" s="3">
        <v>26</v>
      </c>
      <c r="B371" s="3">
        <v>25</v>
      </c>
      <c r="C371" s="3">
        <v>68</v>
      </c>
      <c r="D371" s="3">
        <v>14</v>
      </c>
      <c r="E371" s="3">
        <v>2165.015</v>
      </c>
      <c r="F371" s="4" t="str">
        <f>HYPERLINK("http://141.218.60.56/~jnz1568/getInfo.php?workbook=26_25.xlsx&amp;sheet=A0&amp;row=371&amp;col=6&amp;number=65910000&amp;sourceID=14","65910000")</f>
        <v>65910000</v>
      </c>
      <c r="G371" s="4" t="str">
        <f>HYPERLINK("http://141.218.60.56/~jnz1568/getInfo.php?workbook=26_25.xlsx&amp;sheet=A0&amp;row=371&amp;col=7&amp;number=0&amp;sourceID=14","0")</f>
        <v>0</v>
      </c>
    </row>
    <row r="372" spans="1:7">
      <c r="A372" s="3">
        <v>26</v>
      </c>
      <c r="B372" s="3">
        <v>25</v>
      </c>
      <c r="C372" s="3">
        <v>68</v>
      </c>
      <c r="D372" s="3">
        <v>15</v>
      </c>
      <c r="E372" s="3">
        <v>2174.373</v>
      </c>
      <c r="F372" s="4" t="str">
        <f>HYPERLINK("http://141.218.60.56/~jnz1568/getInfo.php?workbook=26_25.xlsx&amp;sheet=A0&amp;row=372&amp;col=6&amp;number=43380000&amp;sourceID=14","43380000")</f>
        <v>43380000</v>
      </c>
      <c r="G372" s="4" t="str">
        <f>HYPERLINK("http://141.218.60.56/~jnz1568/getInfo.php?workbook=26_25.xlsx&amp;sheet=A0&amp;row=372&amp;col=7&amp;number=0&amp;sourceID=14","0")</f>
        <v>0</v>
      </c>
    </row>
    <row r="373" spans="1:7">
      <c r="A373" s="3">
        <v>26</v>
      </c>
      <c r="B373" s="3">
        <v>25</v>
      </c>
      <c r="C373" s="3">
        <v>68</v>
      </c>
      <c r="D373" s="3">
        <v>16</v>
      </c>
      <c r="E373" s="3">
        <v>2185.38</v>
      </c>
      <c r="F373" s="4" t="str">
        <f>HYPERLINK("http://141.218.60.56/~jnz1568/getInfo.php?workbook=26_25.xlsx&amp;sheet=A0&amp;row=373&amp;col=6&amp;number=21360000&amp;sourceID=14","21360000")</f>
        <v>21360000</v>
      </c>
      <c r="G373" s="4" t="str">
        <f>HYPERLINK("http://141.218.60.56/~jnz1568/getInfo.php?workbook=26_25.xlsx&amp;sheet=A0&amp;row=373&amp;col=7&amp;number=0&amp;sourceID=14","0")</f>
        <v>0</v>
      </c>
    </row>
    <row r="374" spans="1:7">
      <c r="A374" s="3">
        <v>26</v>
      </c>
      <c r="B374" s="3">
        <v>25</v>
      </c>
      <c r="C374" s="3">
        <v>68</v>
      </c>
      <c r="D374" s="3">
        <v>17</v>
      </c>
      <c r="E374" s="3">
        <v>2575.138</v>
      </c>
      <c r="F374" s="4" t="str">
        <f>HYPERLINK("http://141.218.60.56/~jnz1568/getInfo.php?workbook=26_25.xlsx&amp;sheet=A0&amp;row=374&amp;col=6&amp;number=101500000&amp;sourceID=14","101500000")</f>
        <v>101500000</v>
      </c>
      <c r="G374" s="4" t="str">
        <f>HYPERLINK("http://141.218.60.56/~jnz1568/getInfo.php?workbook=26_25.xlsx&amp;sheet=A0&amp;row=374&amp;col=7&amp;number=0&amp;sourceID=14","0")</f>
        <v>0</v>
      </c>
    </row>
    <row r="375" spans="1:7">
      <c r="A375" s="3">
        <v>26</v>
      </c>
      <c r="B375" s="3">
        <v>25</v>
      </c>
      <c r="C375" s="3">
        <v>68</v>
      </c>
      <c r="D375" s="3">
        <v>18</v>
      </c>
      <c r="E375" s="3">
        <v>2641.91</v>
      </c>
      <c r="F375" s="4" t="str">
        <f>HYPERLINK("http://141.218.60.56/~jnz1568/getInfo.php?workbook=26_25.xlsx&amp;sheet=A0&amp;row=375&amp;col=6&amp;number=62690000&amp;sourceID=14","62690000")</f>
        <v>62690000</v>
      </c>
      <c r="G375" s="4" t="str">
        <f>HYPERLINK("http://141.218.60.56/~jnz1568/getInfo.php?workbook=26_25.xlsx&amp;sheet=A0&amp;row=375&amp;col=7&amp;number=0&amp;sourceID=14","0")</f>
        <v>0</v>
      </c>
    </row>
    <row r="376" spans="1:7">
      <c r="A376" s="3">
        <v>26</v>
      </c>
      <c r="B376" s="3">
        <v>25</v>
      </c>
      <c r="C376" s="3">
        <v>68</v>
      </c>
      <c r="D376" s="3">
        <v>19</v>
      </c>
      <c r="E376" s="3">
        <v>2684.304</v>
      </c>
      <c r="F376" s="4" t="str">
        <f>HYPERLINK("http://141.218.60.56/~jnz1568/getInfo.php?workbook=26_25.xlsx&amp;sheet=A0&amp;row=376&amp;col=6&amp;number=29880000&amp;sourceID=14","29880000")</f>
        <v>29880000</v>
      </c>
      <c r="G376" s="4" t="str">
        <f>HYPERLINK("http://141.218.60.56/~jnz1568/getInfo.php?workbook=26_25.xlsx&amp;sheet=A0&amp;row=376&amp;col=7&amp;number=0&amp;sourceID=14","0")</f>
        <v>0</v>
      </c>
    </row>
    <row r="377" spans="1:7">
      <c r="A377" s="3">
        <v>26</v>
      </c>
      <c r="B377" s="3">
        <v>25</v>
      </c>
      <c r="C377" s="3">
        <v>68</v>
      </c>
      <c r="D377" s="3">
        <v>65</v>
      </c>
      <c r="E377" s="3">
        <v>10581.302</v>
      </c>
      <c r="F377" s="4" t="str">
        <f>HYPERLINK("http://141.218.60.56/~jnz1568/getInfo.php?workbook=26_25.xlsx&amp;sheet=A0&amp;row=377&amp;col=6&amp;number=129700&amp;sourceID=14","129700")</f>
        <v>129700</v>
      </c>
      <c r="G377" s="4" t="str">
        <f>HYPERLINK("http://141.218.60.56/~jnz1568/getInfo.php?workbook=26_25.xlsx&amp;sheet=A0&amp;row=377&amp;col=7&amp;number=0&amp;sourceID=14","0")</f>
        <v>0</v>
      </c>
    </row>
    <row r="378" spans="1:7">
      <c r="A378" s="3">
        <v>26</v>
      </c>
      <c r="B378" s="3">
        <v>25</v>
      </c>
      <c r="C378" s="3">
        <v>68</v>
      </c>
      <c r="D378" s="3">
        <v>66</v>
      </c>
      <c r="E378" s="3">
        <v>9845.889</v>
      </c>
      <c r="F378" s="4" t="str">
        <f>HYPERLINK("http://141.218.60.56/~jnz1568/getInfo.php?workbook=26_25.xlsx&amp;sheet=A0&amp;row=378&amp;col=6&amp;number=107300&amp;sourceID=14","107300")</f>
        <v>107300</v>
      </c>
      <c r="G378" s="4" t="str">
        <f>HYPERLINK("http://141.218.60.56/~jnz1568/getInfo.php?workbook=26_25.xlsx&amp;sheet=A0&amp;row=378&amp;col=7&amp;number=0&amp;sourceID=14","0")</f>
        <v>0</v>
      </c>
    </row>
    <row r="379" spans="1:7">
      <c r="A379" s="3">
        <v>26</v>
      </c>
      <c r="B379" s="3">
        <v>25</v>
      </c>
      <c r="C379" s="3">
        <v>68</v>
      </c>
      <c r="D379" s="3">
        <v>67</v>
      </c>
      <c r="E379" s="3">
        <v>9467.473</v>
      </c>
      <c r="F379" s="4" t="str">
        <f>HYPERLINK("http://141.218.60.56/~jnz1568/getInfo.php?workbook=26_25.xlsx&amp;sheet=A0&amp;row=379&amp;col=6&amp;number=60360&amp;sourceID=14","60360")</f>
        <v>60360</v>
      </c>
      <c r="G379" s="4" t="str">
        <f>HYPERLINK("http://141.218.60.56/~jnz1568/getInfo.php?workbook=26_25.xlsx&amp;sheet=A0&amp;row=379&amp;col=7&amp;number=0&amp;sourceID=14","0")</f>
        <v>0</v>
      </c>
    </row>
    <row r="380" spans="1:7">
      <c r="A380" s="3">
        <v>26</v>
      </c>
      <c r="B380" s="3">
        <v>25</v>
      </c>
      <c r="C380" s="3">
        <v>69</v>
      </c>
      <c r="D380" s="3">
        <v>14</v>
      </c>
      <c r="E380" s="3">
        <v>2130.927</v>
      </c>
      <c r="F380" s="4" t="str">
        <f>HYPERLINK("http://141.218.60.56/~jnz1568/getInfo.php?workbook=26_25.xlsx&amp;sheet=A0&amp;row=380&amp;col=6&amp;number=58450000&amp;sourceID=14","58450000")</f>
        <v>58450000</v>
      </c>
      <c r="G380" s="4" t="str">
        <f>HYPERLINK("http://141.218.60.56/~jnz1568/getInfo.php?workbook=26_25.xlsx&amp;sheet=A0&amp;row=380&amp;col=7&amp;number=0&amp;sourceID=14","0")</f>
        <v>0</v>
      </c>
    </row>
    <row r="381" spans="1:7">
      <c r="A381" s="3">
        <v>26</v>
      </c>
      <c r="B381" s="3">
        <v>25</v>
      </c>
      <c r="C381" s="3">
        <v>69</v>
      </c>
      <c r="D381" s="3">
        <v>15</v>
      </c>
      <c r="E381" s="3">
        <v>2139.991</v>
      </c>
      <c r="F381" s="4" t="str">
        <f>HYPERLINK("http://141.218.60.56/~jnz1568/getInfo.php?workbook=26_25.xlsx&amp;sheet=A0&amp;row=381&amp;col=6&amp;number=24730000&amp;sourceID=14","24730000")</f>
        <v>24730000</v>
      </c>
      <c r="G381" s="4" t="str">
        <f>HYPERLINK("http://141.218.60.56/~jnz1568/getInfo.php?workbook=26_25.xlsx&amp;sheet=A0&amp;row=381&amp;col=7&amp;number=0&amp;sourceID=14","0")</f>
        <v>0</v>
      </c>
    </row>
    <row r="382" spans="1:7">
      <c r="A382" s="3">
        <v>26</v>
      </c>
      <c r="B382" s="3">
        <v>25</v>
      </c>
      <c r="C382" s="3">
        <v>69</v>
      </c>
      <c r="D382" s="3">
        <v>17</v>
      </c>
      <c r="E382" s="3">
        <v>2527.055</v>
      </c>
      <c r="F382" s="4" t="str">
        <f>HYPERLINK("http://141.218.60.56/~jnz1568/getInfo.php?workbook=26_25.xlsx&amp;sheet=A0&amp;row=382&amp;col=6&amp;number=154400000&amp;sourceID=14","154400000")</f>
        <v>154400000</v>
      </c>
      <c r="G382" s="4" t="str">
        <f>HYPERLINK("http://141.218.60.56/~jnz1568/getInfo.php?workbook=26_25.xlsx&amp;sheet=A0&amp;row=382&amp;col=7&amp;number=0&amp;sourceID=14","0")</f>
        <v>0</v>
      </c>
    </row>
    <row r="383" spans="1:7">
      <c r="A383" s="3">
        <v>26</v>
      </c>
      <c r="B383" s="3">
        <v>25</v>
      </c>
      <c r="C383" s="3">
        <v>69</v>
      </c>
      <c r="D383" s="3">
        <v>18</v>
      </c>
      <c r="E383" s="3">
        <v>2591.325</v>
      </c>
      <c r="F383" s="4" t="str">
        <f>HYPERLINK("http://141.218.60.56/~jnz1568/getInfo.php?workbook=26_25.xlsx&amp;sheet=A0&amp;row=383&amp;col=6&amp;number=61360000&amp;sourceID=14","61360000")</f>
        <v>61360000</v>
      </c>
      <c r="G383" s="4" t="str">
        <f>HYPERLINK("http://141.218.60.56/~jnz1568/getInfo.php?workbook=26_25.xlsx&amp;sheet=A0&amp;row=383&amp;col=7&amp;number=0&amp;sourceID=14","0")</f>
        <v>0</v>
      </c>
    </row>
    <row r="384" spans="1:7">
      <c r="A384" s="3">
        <v>26</v>
      </c>
      <c r="B384" s="3">
        <v>25</v>
      </c>
      <c r="C384" s="3">
        <v>69</v>
      </c>
      <c r="D384" s="3">
        <v>65</v>
      </c>
      <c r="E384" s="3">
        <v>9814.005</v>
      </c>
      <c r="F384" s="4" t="str">
        <f>HYPERLINK("http://141.218.60.56/~jnz1568/getInfo.php?workbook=26_25.xlsx&amp;sheet=A0&amp;row=384&amp;col=6&amp;number=119500&amp;sourceID=14","119500")</f>
        <v>119500</v>
      </c>
      <c r="G384" s="4" t="str">
        <f>HYPERLINK("http://141.218.60.56/~jnz1568/getInfo.php?workbook=26_25.xlsx&amp;sheet=A0&amp;row=384&amp;col=7&amp;number=0&amp;sourceID=14","0")</f>
        <v>0</v>
      </c>
    </row>
    <row r="385" spans="1:7">
      <c r="A385" s="3">
        <v>26</v>
      </c>
      <c r="B385" s="3">
        <v>25</v>
      </c>
      <c r="C385" s="3">
        <v>69</v>
      </c>
      <c r="D385" s="3">
        <v>66</v>
      </c>
      <c r="E385" s="3">
        <v>9178.177</v>
      </c>
      <c r="F385" s="4" t="str">
        <f>HYPERLINK("http://141.218.60.56/~jnz1568/getInfo.php?workbook=26_25.xlsx&amp;sheet=A0&amp;row=385&amp;col=6&amp;number=62610&amp;sourceID=14","62610")</f>
        <v>62610</v>
      </c>
      <c r="G385" s="4" t="str">
        <f>HYPERLINK("http://141.218.60.56/~jnz1568/getInfo.php?workbook=26_25.xlsx&amp;sheet=A0&amp;row=385&amp;col=7&amp;number=0&amp;sourceID=14","0")</f>
        <v>0</v>
      </c>
    </row>
    <row r="386" spans="1:7">
      <c r="A386" s="3">
        <v>26</v>
      </c>
      <c r="B386" s="3">
        <v>25</v>
      </c>
      <c r="C386" s="3">
        <v>69</v>
      </c>
      <c r="D386" s="3">
        <v>10</v>
      </c>
      <c r="E386" s="3">
        <v>1906.685</v>
      </c>
      <c r="F386" s="4" t="str">
        <f>HYPERLINK("http://141.218.60.56/~jnz1568/getInfo.php?workbook=26_25.xlsx&amp;sheet=A0&amp;row=386&amp;col=6&amp;number=352200&amp;sourceID=14","352200")</f>
        <v>352200</v>
      </c>
      <c r="G386" s="4" t="str">
        <f>HYPERLINK("http://141.218.60.56/~jnz1568/getInfo.php?workbook=26_25.xlsx&amp;sheet=A0&amp;row=386&amp;col=7&amp;number=0&amp;sourceID=14","0")</f>
        <v>0</v>
      </c>
    </row>
    <row r="387" spans="1:7">
      <c r="A387" s="3">
        <v>26</v>
      </c>
      <c r="B387" s="3">
        <v>25</v>
      </c>
      <c r="C387" s="3">
        <v>69</v>
      </c>
      <c r="D387" s="3">
        <v>11</v>
      </c>
      <c r="E387" s="3">
        <v>1922.692</v>
      </c>
      <c r="F387" s="4" t="str">
        <f>HYPERLINK("http://141.218.60.56/~jnz1568/getInfo.php?workbook=26_25.xlsx&amp;sheet=A0&amp;row=387&amp;col=6&amp;number=77270&amp;sourceID=14","77270")</f>
        <v>77270</v>
      </c>
      <c r="G387" s="4" t="str">
        <f>HYPERLINK("http://141.218.60.56/~jnz1568/getInfo.php?workbook=26_25.xlsx&amp;sheet=A0&amp;row=387&amp;col=7&amp;number=0&amp;sourceID=14","0")</f>
        <v>0</v>
      </c>
    </row>
    <row r="388" spans="1:7">
      <c r="A388" s="3">
        <v>26</v>
      </c>
      <c r="B388" s="3">
        <v>25</v>
      </c>
      <c r="C388" s="3">
        <v>69</v>
      </c>
      <c r="D388" s="3">
        <v>12</v>
      </c>
      <c r="E388" s="3">
        <v>1933.417</v>
      </c>
      <c r="F388" s="4" t="str">
        <f>HYPERLINK("http://141.218.60.56/~jnz1568/getInfo.php?workbook=26_25.xlsx&amp;sheet=A0&amp;row=388&amp;col=6&amp;number=8444&amp;sourceID=14","8444")</f>
        <v>8444</v>
      </c>
      <c r="G388" s="4" t="str">
        <f>HYPERLINK("http://141.218.60.56/~jnz1568/getInfo.php?workbook=26_25.xlsx&amp;sheet=A0&amp;row=388&amp;col=7&amp;number=0&amp;sourceID=14","0")</f>
        <v>0</v>
      </c>
    </row>
    <row r="389" spans="1:7">
      <c r="A389" s="3">
        <v>26</v>
      </c>
      <c r="B389" s="3">
        <v>25</v>
      </c>
      <c r="C389" s="3">
        <v>69</v>
      </c>
      <c r="D389" s="3">
        <v>32</v>
      </c>
      <c r="E389" s="3">
        <v>3457.914</v>
      </c>
      <c r="F389" s="4" t="str">
        <f>HYPERLINK("http://141.218.60.56/~jnz1568/getInfo.php?workbook=26_25.xlsx&amp;sheet=A0&amp;row=389&amp;col=6&amp;number=904800&amp;sourceID=14","904800")</f>
        <v>904800</v>
      </c>
      <c r="G389" s="4" t="str">
        <f>HYPERLINK("http://141.218.60.56/~jnz1568/getInfo.php?workbook=26_25.xlsx&amp;sheet=A0&amp;row=389&amp;col=7&amp;number=0&amp;sourceID=14","0")</f>
        <v>0</v>
      </c>
    </row>
    <row r="390" spans="1:7">
      <c r="A390" s="3">
        <v>26</v>
      </c>
      <c r="B390" s="3">
        <v>25</v>
      </c>
      <c r="C390" s="3">
        <v>69</v>
      </c>
      <c r="D390" s="3">
        <v>33</v>
      </c>
      <c r="E390" s="3">
        <v>3446.565</v>
      </c>
      <c r="F390" s="4" t="str">
        <f>HYPERLINK("http://141.218.60.56/~jnz1568/getInfo.php?workbook=26_25.xlsx&amp;sheet=A0&amp;row=390&amp;col=6&amp;number=205600&amp;sourceID=14","205600")</f>
        <v>205600</v>
      </c>
      <c r="G390" s="4" t="str">
        <f>HYPERLINK("http://141.218.60.56/~jnz1568/getInfo.php?workbook=26_25.xlsx&amp;sheet=A0&amp;row=390&amp;col=7&amp;number=0&amp;sourceID=14","0")</f>
        <v>0</v>
      </c>
    </row>
    <row r="391" spans="1:7">
      <c r="A391" s="3">
        <v>26</v>
      </c>
      <c r="B391" s="3">
        <v>25</v>
      </c>
      <c r="C391" s="3">
        <v>69</v>
      </c>
      <c r="D391" s="3">
        <v>34</v>
      </c>
      <c r="E391" s="3">
        <v>3443.775</v>
      </c>
      <c r="F391" s="4" t="str">
        <f>HYPERLINK("http://141.218.60.56/~jnz1568/getInfo.php?workbook=26_25.xlsx&amp;sheet=A0&amp;row=391&amp;col=6&amp;number=22900&amp;sourceID=14","22900")</f>
        <v>22900</v>
      </c>
      <c r="G391" s="4" t="str">
        <f>HYPERLINK("http://141.218.60.56/~jnz1568/getInfo.php?workbook=26_25.xlsx&amp;sheet=A0&amp;row=391&amp;col=7&amp;number=0&amp;sourceID=14","0")</f>
        <v>0</v>
      </c>
    </row>
    <row r="392" spans="1:7">
      <c r="A392" s="3">
        <v>26</v>
      </c>
      <c r="B392" s="3">
        <v>25</v>
      </c>
      <c r="C392" s="3">
        <v>70</v>
      </c>
      <c r="D392" s="3">
        <v>14</v>
      </c>
      <c r="E392" s="3">
        <v>2089.499</v>
      </c>
      <c r="F392" s="4" t="str">
        <f>HYPERLINK("http://141.218.60.56/~jnz1568/getInfo.php?workbook=26_25.xlsx&amp;sheet=A0&amp;row=392&amp;col=6&amp;number=39860000&amp;sourceID=14","39860000")</f>
        <v>39860000</v>
      </c>
      <c r="G392" s="4" t="str">
        <f>HYPERLINK("http://141.218.60.56/~jnz1568/getInfo.php?workbook=26_25.xlsx&amp;sheet=A0&amp;row=392&amp;col=7&amp;number=0&amp;sourceID=14","0")</f>
        <v>0</v>
      </c>
    </row>
    <row r="393" spans="1:7">
      <c r="A393" s="3">
        <v>26</v>
      </c>
      <c r="B393" s="3">
        <v>25</v>
      </c>
      <c r="C393" s="3">
        <v>70</v>
      </c>
      <c r="D393" s="3">
        <v>15</v>
      </c>
      <c r="E393" s="3">
        <v>2098.214</v>
      </c>
      <c r="F393" s="4" t="str">
        <f>HYPERLINK("http://141.218.60.56/~jnz1568/getInfo.php?workbook=26_25.xlsx&amp;sheet=A0&amp;row=393&amp;col=6&amp;number=11660000&amp;sourceID=14","11660000")</f>
        <v>11660000</v>
      </c>
      <c r="G393" s="4" t="str">
        <f>HYPERLINK("http://141.218.60.56/~jnz1568/getInfo.php?workbook=26_25.xlsx&amp;sheet=A0&amp;row=393&amp;col=7&amp;number=0&amp;sourceID=14","0")</f>
        <v>0</v>
      </c>
    </row>
    <row r="394" spans="1:7">
      <c r="A394" s="3">
        <v>26</v>
      </c>
      <c r="B394" s="3">
        <v>25</v>
      </c>
      <c r="C394" s="3">
        <v>70</v>
      </c>
      <c r="D394" s="3">
        <v>16</v>
      </c>
      <c r="E394" s="3">
        <v>2108.462</v>
      </c>
      <c r="F394" s="4" t="str">
        <f>HYPERLINK("http://141.218.60.56/~jnz1568/getInfo.php?workbook=26_25.xlsx&amp;sheet=A0&amp;row=394&amp;col=6&amp;number=35920000&amp;sourceID=14","35920000")</f>
        <v>35920000</v>
      </c>
      <c r="G394" s="4" t="str">
        <f>HYPERLINK("http://141.218.60.56/~jnz1568/getInfo.php?workbook=26_25.xlsx&amp;sheet=A0&amp;row=394&amp;col=7&amp;number=0&amp;sourceID=14","0")</f>
        <v>0</v>
      </c>
    </row>
    <row r="395" spans="1:7">
      <c r="A395" s="3">
        <v>26</v>
      </c>
      <c r="B395" s="3">
        <v>25</v>
      </c>
      <c r="C395" s="3">
        <v>70</v>
      </c>
      <c r="D395" s="3">
        <v>17</v>
      </c>
      <c r="E395" s="3">
        <v>2469.003</v>
      </c>
      <c r="F395" s="4" t="str">
        <f>HYPERLINK("http://141.218.60.56/~jnz1568/getInfo.php?workbook=26_25.xlsx&amp;sheet=A0&amp;row=395&amp;col=6&amp;number=106400000&amp;sourceID=14","106400000")</f>
        <v>106400000</v>
      </c>
      <c r="G395" s="4" t="str">
        <f>HYPERLINK("http://141.218.60.56/~jnz1568/getInfo.php?workbook=26_25.xlsx&amp;sheet=A0&amp;row=395&amp;col=7&amp;number=0&amp;sourceID=14","0")</f>
        <v>0</v>
      </c>
    </row>
    <row r="396" spans="1:7">
      <c r="A396" s="3">
        <v>26</v>
      </c>
      <c r="B396" s="3">
        <v>25</v>
      </c>
      <c r="C396" s="3">
        <v>70</v>
      </c>
      <c r="D396" s="3">
        <v>18</v>
      </c>
      <c r="E396" s="3">
        <v>2530.319</v>
      </c>
      <c r="F396" s="4" t="str">
        <f>HYPERLINK("http://141.218.60.56/~jnz1568/getInfo.php?workbook=26_25.xlsx&amp;sheet=A0&amp;row=396&amp;col=6&amp;number=29290000&amp;sourceID=14","29290000")</f>
        <v>29290000</v>
      </c>
      <c r="G396" s="4" t="str">
        <f>HYPERLINK("http://141.218.60.56/~jnz1568/getInfo.php?workbook=26_25.xlsx&amp;sheet=A0&amp;row=396&amp;col=7&amp;number=0&amp;sourceID=14","0")</f>
        <v>0</v>
      </c>
    </row>
    <row r="397" spans="1:7">
      <c r="A397" s="3">
        <v>26</v>
      </c>
      <c r="B397" s="3">
        <v>25</v>
      </c>
      <c r="C397" s="3">
        <v>70</v>
      </c>
      <c r="D397" s="3">
        <v>19</v>
      </c>
      <c r="E397" s="3">
        <v>2569.181</v>
      </c>
      <c r="F397" s="4" t="str">
        <f>HYPERLINK("http://141.218.60.56/~jnz1568/getInfo.php?workbook=26_25.xlsx&amp;sheet=A0&amp;row=397&amp;col=6&amp;number=87450000&amp;sourceID=14","87450000")</f>
        <v>87450000</v>
      </c>
      <c r="G397" s="4" t="str">
        <f>HYPERLINK("http://141.218.60.56/~jnz1568/getInfo.php?workbook=26_25.xlsx&amp;sheet=A0&amp;row=397&amp;col=7&amp;number=0&amp;sourceID=14","0")</f>
        <v>0</v>
      </c>
    </row>
    <row r="398" spans="1:7">
      <c r="A398" s="3">
        <v>26</v>
      </c>
      <c r="B398" s="3">
        <v>25</v>
      </c>
      <c r="C398" s="3">
        <v>70</v>
      </c>
      <c r="D398" s="3">
        <v>65</v>
      </c>
      <c r="E398" s="3">
        <v>8992.853</v>
      </c>
      <c r="F398" s="4" t="str">
        <f>HYPERLINK("http://141.218.60.56/~jnz1568/getInfo.php?workbook=26_25.xlsx&amp;sheet=A0&amp;row=398&amp;col=6&amp;number=99850&amp;sourceID=14","99850")</f>
        <v>99850</v>
      </c>
      <c r="G398" s="4" t="str">
        <f>HYPERLINK("http://141.218.60.56/~jnz1568/getInfo.php?workbook=26_25.xlsx&amp;sheet=A0&amp;row=398&amp;col=7&amp;number=0&amp;sourceID=14","0")</f>
        <v>0</v>
      </c>
    </row>
    <row r="399" spans="1:7">
      <c r="A399" s="3">
        <v>26</v>
      </c>
      <c r="B399" s="3">
        <v>25</v>
      </c>
      <c r="C399" s="3">
        <v>70</v>
      </c>
      <c r="D399" s="3">
        <v>66</v>
      </c>
      <c r="E399" s="3">
        <v>8456.065</v>
      </c>
      <c r="F399" s="4" t="str">
        <f>HYPERLINK("http://141.218.60.56/~jnz1568/getInfo.php?workbook=26_25.xlsx&amp;sheet=A0&amp;row=399&amp;col=6&amp;number=35580&amp;sourceID=14","35580")</f>
        <v>35580</v>
      </c>
      <c r="G399" s="4" t="str">
        <f>HYPERLINK("http://141.218.60.56/~jnz1568/getInfo.php?workbook=26_25.xlsx&amp;sheet=A0&amp;row=399&amp;col=7&amp;number=0&amp;sourceID=14","0")</f>
        <v>0</v>
      </c>
    </row>
    <row r="400" spans="1:7">
      <c r="A400" s="3">
        <v>26</v>
      </c>
      <c r="B400" s="3">
        <v>25</v>
      </c>
      <c r="C400" s="3">
        <v>70</v>
      </c>
      <c r="D400" s="3">
        <v>67</v>
      </c>
      <c r="E400" s="3">
        <v>8175.419</v>
      </c>
      <c r="F400" s="4" t="str">
        <f>HYPERLINK("http://141.218.60.56/~jnz1568/getInfo.php?workbook=26_25.xlsx&amp;sheet=A0&amp;row=400&amp;col=6&amp;number=123000&amp;sourceID=14","123000")</f>
        <v>123000</v>
      </c>
      <c r="G400" s="4" t="str">
        <f>HYPERLINK("http://141.218.60.56/~jnz1568/getInfo.php?workbook=26_25.xlsx&amp;sheet=A0&amp;row=400&amp;col=7&amp;number=0&amp;sourceID=14","0")</f>
        <v>0</v>
      </c>
    </row>
    <row r="401" spans="1:7">
      <c r="A401" s="3">
        <v>26</v>
      </c>
      <c r="B401" s="3">
        <v>25</v>
      </c>
      <c r="C401" s="3">
        <v>70</v>
      </c>
      <c r="D401" s="3">
        <v>11</v>
      </c>
      <c r="E401" s="3">
        <v>1888.901</v>
      </c>
      <c r="F401" s="4" t="str">
        <f>HYPERLINK("http://141.218.60.56/~jnz1568/getInfo.php?workbook=26_25.xlsx&amp;sheet=A0&amp;row=401&amp;col=6&amp;number=285200&amp;sourceID=14","285200")</f>
        <v>285200</v>
      </c>
      <c r="G401" s="4" t="str">
        <f>HYPERLINK("http://141.218.60.56/~jnz1568/getInfo.php?workbook=26_25.xlsx&amp;sheet=A0&amp;row=401&amp;col=7&amp;number=0&amp;sourceID=14","0")</f>
        <v>0</v>
      </c>
    </row>
    <row r="402" spans="1:7">
      <c r="A402" s="3">
        <v>26</v>
      </c>
      <c r="B402" s="3">
        <v>25</v>
      </c>
      <c r="C402" s="3">
        <v>70</v>
      </c>
      <c r="D402" s="3">
        <v>12</v>
      </c>
      <c r="E402" s="3">
        <v>1899.252</v>
      </c>
      <c r="F402" s="4" t="str">
        <f>HYPERLINK("http://141.218.60.56/~jnz1568/getInfo.php?workbook=26_25.xlsx&amp;sheet=A0&amp;row=402&amp;col=6&amp;number=142500&amp;sourceID=14","142500")</f>
        <v>142500</v>
      </c>
      <c r="G402" s="4" t="str">
        <f>HYPERLINK("http://141.218.60.56/~jnz1568/getInfo.php?workbook=26_25.xlsx&amp;sheet=A0&amp;row=402&amp;col=7&amp;number=0&amp;sourceID=14","0")</f>
        <v>0</v>
      </c>
    </row>
    <row r="403" spans="1:7">
      <c r="A403" s="3">
        <v>26</v>
      </c>
      <c r="B403" s="3">
        <v>25</v>
      </c>
      <c r="C403" s="3">
        <v>70</v>
      </c>
      <c r="D403" s="3">
        <v>13</v>
      </c>
      <c r="E403" s="3">
        <v>1905.27</v>
      </c>
      <c r="F403" s="4" t="str">
        <f>HYPERLINK("http://141.218.60.56/~jnz1568/getInfo.php?workbook=26_25.xlsx&amp;sheet=A0&amp;row=403&amp;col=6&amp;number=22060&amp;sourceID=14","22060")</f>
        <v>22060</v>
      </c>
      <c r="G403" s="4" t="str">
        <f>HYPERLINK("http://141.218.60.56/~jnz1568/getInfo.php?workbook=26_25.xlsx&amp;sheet=A0&amp;row=403&amp;col=7&amp;number=0&amp;sourceID=14","0")</f>
        <v>0</v>
      </c>
    </row>
    <row r="404" spans="1:7">
      <c r="A404" s="3">
        <v>26</v>
      </c>
      <c r="B404" s="3">
        <v>25</v>
      </c>
      <c r="C404" s="3">
        <v>70</v>
      </c>
      <c r="D404" s="3">
        <v>33</v>
      </c>
      <c r="E404" s="3">
        <v>3339.476</v>
      </c>
      <c r="F404" s="4" t="str">
        <f>HYPERLINK("http://141.218.60.56/~jnz1568/getInfo.php?workbook=26_25.xlsx&amp;sheet=A0&amp;row=404&amp;col=6&amp;number=791100&amp;sourceID=14","791100")</f>
        <v>791100</v>
      </c>
      <c r="G404" s="4" t="str">
        <f>HYPERLINK("http://141.218.60.56/~jnz1568/getInfo.php?workbook=26_25.xlsx&amp;sheet=A0&amp;row=404&amp;col=7&amp;number=0&amp;sourceID=14","0")</f>
        <v>0</v>
      </c>
    </row>
    <row r="405" spans="1:7">
      <c r="A405" s="3">
        <v>26</v>
      </c>
      <c r="B405" s="3">
        <v>25</v>
      </c>
      <c r="C405" s="3">
        <v>70</v>
      </c>
      <c r="D405" s="3">
        <v>34</v>
      </c>
      <c r="E405" s="3">
        <v>3336.856</v>
      </c>
      <c r="F405" s="4" t="str">
        <f>HYPERLINK("http://141.218.60.56/~jnz1568/getInfo.php?workbook=26_25.xlsx&amp;sheet=A0&amp;row=405&amp;col=6&amp;number=402800&amp;sourceID=14","402800")</f>
        <v>402800</v>
      </c>
      <c r="G405" s="4" t="str">
        <f>HYPERLINK("http://141.218.60.56/~jnz1568/getInfo.php?workbook=26_25.xlsx&amp;sheet=A0&amp;row=405&amp;col=7&amp;number=0&amp;sourceID=14","0")</f>
        <v>0</v>
      </c>
    </row>
    <row r="406" spans="1:7">
      <c r="A406" s="3">
        <v>26</v>
      </c>
      <c r="B406" s="3">
        <v>25</v>
      </c>
      <c r="C406" s="3">
        <v>70</v>
      </c>
      <c r="D406" s="3">
        <v>35</v>
      </c>
      <c r="E406" s="3">
        <v>3337.303</v>
      </c>
      <c r="F406" s="4" t="str">
        <f>HYPERLINK("http://141.218.60.56/~jnz1568/getInfo.php?workbook=26_25.xlsx&amp;sheet=A0&amp;row=406&amp;col=6&amp;number=62910&amp;sourceID=14","62910")</f>
        <v>62910</v>
      </c>
      <c r="G406" s="4" t="str">
        <f>HYPERLINK("http://141.218.60.56/~jnz1568/getInfo.php?workbook=26_25.xlsx&amp;sheet=A0&amp;row=406&amp;col=7&amp;number=0&amp;sourceID=14","0")</f>
        <v>0</v>
      </c>
    </row>
    <row r="407" spans="1:7">
      <c r="A407" s="3">
        <v>26</v>
      </c>
      <c r="B407" s="3">
        <v>25</v>
      </c>
      <c r="C407" s="3">
        <v>71</v>
      </c>
      <c r="D407" s="3">
        <v>15</v>
      </c>
      <c r="E407" s="3">
        <v>2111.393</v>
      </c>
      <c r="F407" s="4" t="str">
        <f>HYPERLINK("http://141.218.60.56/~jnz1568/getInfo.php?workbook=26_25.xlsx&amp;sheet=A0&amp;row=407&amp;col=6&amp;number=71530000&amp;sourceID=14","71530000")</f>
        <v>71530000</v>
      </c>
      <c r="G407" s="4" t="str">
        <f>HYPERLINK("http://141.218.60.56/~jnz1568/getInfo.php?workbook=26_25.xlsx&amp;sheet=A0&amp;row=407&amp;col=7&amp;number=0&amp;sourceID=14","0")</f>
        <v>0</v>
      </c>
    </row>
    <row r="408" spans="1:7">
      <c r="A408" s="3">
        <v>26</v>
      </c>
      <c r="B408" s="3">
        <v>25</v>
      </c>
      <c r="C408" s="3">
        <v>71</v>
      </c>
      <c r="D408" s="3">
        <v>16</v>
      </c>
      <c r="E408" s="3">
        <v>2121.77</v>
      </c>
      <c r="F408" s="4" t="str">
        <f>HYPERLINK("http://141.218.60.56/~jnz1568/getInfo.php?workbook=26_25.xlsx&amp;sheet=A0&amp;row=408&amp;col=6&amp;number=14100000&amp;sourceID=14","14100000")</f>
        <v>14100000</v>
      </c>
      <c r="G408" s="4" t="str">
        <f>HYPERLINK("http://141.218.60.56/~jnz1568/getInfo.php?workbook=26_25.xlsx&amp;sheet=A0&amp;row=408&amp;col=7&amp;number=0&amp;sourceID=14","0")</f>
        <v>0</v>
      </c>
    </row>
    <row r="409" spans="1:7">
      <c r="A409" s="3">
        <v>26</v>
      </c>
      <c r="B409" s="3">
        <v>25</v>
      </c>
      <c r="C409" s="3">
        <v>71</v>
      </c>
      <c r="D409" s="3">
        <v>18</v>
      </c>
      <c r="E409" s="3">
        <v>2549.51</v>
      </c>
      <c r="F409" s="4" t="str">
        <f>HYPERLINK("http://141.218.60.56/~jnz1568/getInfo.php?workbook=26_25.xlsx&amp;sheet=A0&amp;row=409&amp;col=6&amp;number=179000000&amp;sourceID=14","179000000")</f>
        <v>179000000</v>
      </c>
      <c r="G409" s="4" t="str">
        <f>HYPERLINK("http://141.218.60.56/~jnz1568/getInfo.php?workbook=26_25.xlsx&amp;sheet=A0&amp;row=409&amp;col=7&amp;number=0&amp;sourceID=14","0")</f>
        <v>0</v>
      </c>
    </row>
    <row r="410" spans="1:7">
      <c r="A410" s="3">
        <v>26</v>
      </c>
      <c r="B410" s="3">
        <v>25</v>
      </c>
      <c r="C410" s="3">
        <v>71</v>
      </c>
      <c r="D410" s="3">
        <v>19</v>
      </c>
      <c r="E410" s="3">
        <v>2588.968</v>
      </c>
      <c r="F410" s="4" t="str">
        <f>HYPERLINK("http://141.218.60.56/~jnz1568/getInfo.php?workbook=26_25.xlsx&amp;sheet=A0&amp;row=410&amp;col=6&amp;number=34180000&amp;sourceID=14","34180000")</f>
        <v>34180000</v>
      </c>
      <c r="G410" s="4" t="str">
        <f>HYPERLINK("http://141.218.60.56/~jnz1568/getInfo.php?workbook=26_25.xlsx&amp;sheet=A0&amp;row=410&amp;col=7&amp;number=0&amp;sourceID=14","0")</f>
        <v>0</v>
      </c>
    </row>
    <row r="411" spans="1:7">
      <c r="A411" s="3">
        <v>26</v>
      </c>
      <c r="B411" s="3">
        <v>25</v>
      </c>
      <c r="C411" s="3">
        <v>71</v>
      </c>
      <c r="D411" s="3">
        <v>66</v>
      </c>
      <c r="E411" s="3">
        <v>8674.267</v>
      </c>
      <c r="F411" s="4" t="str">
        <f>HYPERLINK("http://141.218.60.56/~jnz1568/getInfo.php?workbook=26_25.xlsx&amp;sheet=A0&amp;row=411&amp;col=6&amp;number=206000&amp;sourceID=14","206000")</f>
        <v>206000</v>
      </c>
      <c r="G411" s="4" t="str">
        <f>HYPERLINK("http://141.218.60.56/~jnz1568/getInfo.php?workbook=26_25.xlsx&amp;sheet=A0&amp;row=411&amp;col=7&amp;number=0&amp;sourceID=14","0")</f>
        <v>0</v>
      </c>
    </row>
    <row r="412" spans="1:7">
      <c r="A412" s="3">
        <v>26</v>
      </c>
      <c r="B412" s="3">
        <v>25</v>
      </c>
      <c r="C412" s="3">
        <v>71</v>
      </c>
      <c r="D412" s="3">
        <v>67</v>
      </c>
      <c r="E412" s="3">
        <v>8379.203</v>
      </c>
      <c r="F412" s="4" t="str">
        <f>HYPERLINK("http://141.218.60.56/~jnz1568/getInfo.php?workbook=26_25.xlsx&amp;sheet=A0&amp;row=412&amp;col=6&amp;number=45700&amp;sourceID=14","45700")</f>
        <v>45700</v>
      </c>
      <c r="G412" s="4" t="str">
        <f>HYPERLINK("http://141.218.60.56/~jnz1568/getInfo.php?workbook=26_25.xlsx&amp;sheet=A0&amp;row=412&amp;col=7&amp;number=0&amp;sourceID=14","0")</f>
        <v>0</v>
      </c>
    </row>
    <row r="413" spans="1:7">
      <c r="A413" s="3">
        <v>26</v>
      </c>
      <c r="B413" s="3">
        <v>25</v>
      </c>
      <c r="C413" s="3">
        <v>71</v>
      </c>
      <c r="D413" s="3">
        <v>12</v>
      </c>
      <c r="E413" s="3">
        <v>1910.043</v>
      </c>
      <c r="F413" s="4" t="str">
        <f>HYPERLINK("http://141.218.60.56/~jnz1568/getInfo.php?workbook=26_25.xlsx&amp;sheet=A0&amp;row=413&amp;col=6&amp;number=218900&amp;sourceID=14","218900")</f>
        <v>218900</v>
      </c>
      <c r="G413" s="4" t="str">
        <f>HYPERLINK("http://141.218.60.56/~jnz1568/getInfo.php?workbook=26_25.xlsx&amp;sheet=A0&amp;row=413&amp;col=7&amp;number=0&amp;sourceID=14","0")</f>
        <v>0</v>
      </c>
    </row>
    <row r="414" spans="1:7">
      <c r="A414" s="3">
        <v>26</v>
      </c>
      <c r="B414" s="3">
        <v>25</v>
      </c>
      <c r="C414" s="3">
        <v>71</v>
      </c>
      <c r="D414" s="3">
        <v>13</v>
      </c>
      <c r="E414" s="3">
        <v>1916.13</v>
      </c>
      <c r="F414" s="4" t="str">
        <f>HYPERLINK("http://141.218.60.56/~jnz1568/getInfo.php?workbook=26_25.xlsx&amp;sheet=A0&amp;row=414&amp;col=6&amp;number=216900&amp;sourceID=14","216900")</f>
        <v>216900</v>
      </c>
      <c r="G414" s="4" t="str">
        <f>HYPERLINK("http://141.218.60.56/~jnz1568/getInfo.php?workbook=26_25.xlsx&amp;sheet=A0&amp;row=414&amp;col=7&amp;number=0&amp;sourceID=14","0")</f>
        <v>0</v>
      </c>
    </row>
    <row r="415" spans="1:7">
      <c r="A415" s="3">
        <v>26</v>
      </c>
      <c r="B415" s="3">
        <v>25</v>
      </c>
      <c r="C415" s="3">
        <v>71</v>
      </c>
      <c r="D415" s="3">
        <v>34</v>
      </c>
      <c r="E415" s="3">
        <v>3370.312</v>
      </c>
      <c r="F415" s="4" t="str">
        <f>HYPERLINK("http://141.218.60.56/~jnz1568/getInfo.php?workbook=26_25.xlsx&amp;sheet=A0&amp;row=415&amp;col=6&amp;number=610800&amp;sourceID=14","610800")</f>
        <v>610800</v>
      </c>
      <c r="G415" s="4" t="str">
        <f>HYPERLINK("http://141.218.60.56/~jnz1568/getInfo.php?workbook=26_25.xlsx&amp;sheet=A0&amp;row=415&amp;col=7&amp;number=0&amp;sourceID=14","0")</f>
        <v>0</v>
      </c>
    </row>
    <row r="416" spans="1:7">
      <c r="A416" s="3">
        <v>26</v>
      </c>
      <c r="B416" s="3">
        <v>25</v>
      </c>
      <c r="C416" s="3">
        <v>71</v>
      </c>
      <c r="D416" s="3">
        <v>35</v>
      </c>
      <c r="E416" s="3">
        <v>3370.767</v>
      </c>
      <c r="F416" s="4" t="str">
        <f>HYPERLINK("http://141.218.60.56/~jnz1568/getInfo.php?workbook=26_25.xlsx&amp;sheet=A0&amp;row=416&amp;col=6&amp;number=610500&amp;sourceID=14","610500")</f>
        <v>610500</v>
      </c>
      <c r="G416" s="4" t="str">
        <f>HYPERLINK("http://141.218.60.56/~jnz1568/getInfo.php?workbook=26_25.xlsx&amp;sheet=A0&amp;row=416&amp;col=7&amp;number=0&amp;sourceID=14","0")</f>
        <v>0</v>
      </c>
    </row>
    <row r="417" spans="1:7">
      <c r="A417" s="3">
        <v>26</v>
      </c>
      <c r="B417" s="3">
        <v>25</v>
      </c>
      <c r="C417" s="3">
        <v>72</v>
      </c>
      <c r="D417" s="3">
        <v>6</v>
      </c>
      <c r="E417" s="3">
        <v>1702.044</v>
      </c>
      <c r="F417" s="4" t="str">
        <f>HYPERLINK("http://141.218.60.56/~jnz1568/getInfo.php?workbook=26_25.xlsx&amp;sheet=A0&amp;row=417&amp;col=6&amp;number=158700000&amp;sourceID=14","158700000")</f>
        <v>158700000</v>
      </c>
      <c r="G417" s="4" t="str">
        <f>HYPERLINK("http://141.218.60.56/~jnz1568/getInfo.php?workbook=26_25.xlsx&amp;sheet=A0&amp;row=417&amp;col=7&amp;number=0&amp;sourceID=14","0")</f>
        <v>0</v>
      </c>
    </row>
    <row r="418" spans="1:7">
      <c r="A418" s="3">
        <v>26</v>
      </c>
      <c r="B418" s="3">
        <v>25</v>
      </c>
      <c r="C418" s="3">
        <v>72</v>
      </c>
      <c r="D418" s="3">
        <v>24</v>
      </c>
      <c r="E418" s="3">
        <v>2632.393</v>
      </c>
      <c r="F418" s="4" t="str">
        <f>HYPERLINK("http://141.218.60.56/~jnz1568/getInfo.php?workbook=26_25.xlsx&amp;sheet=A0&amp;row=418&amp;col=6&amp;number=56840000&amp;sourceID=14","56840000")</f>
        <v>56840000</v>
      </c>
      <c r="G418" s="4" t="str">
        <f>HYPERLINK("http://141.218.60.56/~jnz1568/getInfo.php?workbook=26_25.xlsx&amp;sheet=A0&amp;row=418&amp;col=7&amp;number=0&amp;sourceID=14","0")</f>
        <v>0</v>
      </c>
    </row>
    <row r="419" spans="1:7">
      <c r="A419" s="3">
        <v>26</v>
      </c>
      <c r="B419" s="3">
        <v>25</v>
      </c>
      <c r="C419" s="3">
        <v>72</v>
      </c>
      <c r="D419" s="3">
        <v>61</v>
      </c>
      <c r="E419" s="3">
        <v>9552.927</v>
      </c>
      <c r="F419" s="4" t="str">
        <f>HYPERLINK("http://141.218.60.56/~jnz1568/getInfo.php?workbook=26_25.xlsx&amp;sheet=A0&amp;row=419&amp;col=6&amp;number=81020&amp;sourceID=14","81020")</f>
        <v>81020</v>
      </c>
      <c r="G419" s="4" t="str">
        <f>HYPERLINK("http://141.218.60.56/~jnz1568/getInfo.php?workbook=26_25.xlsx&amp;sheet=A0&amp;row=419&amp;col=7&amp;number=0&amp;sourceID=14","0")</f>
        <v>0</v>
      </c>
    </row>
    <row r="420" spans="1:7">
      <c r="A420" s="3">
        <v>26</v>
      </c>
      <c r="B420" s="3">
        <v>25</v>
      </c>
      <c r="C420" s="3">
        <v>72</v>
      </c>
      <c r="D420" s="3">
        <v>28</v>
      </c>
      <c r="E420" s="3">
        <v>2841.178</v>
      </c>
      <c r="F420" s="4" t="str">
        <f>HYPERLINK("http://141.218.60.56/~jnz1568/getInfo.php?workbook=26_25.xlsx&amp;sheet=A0&amp;row=420&amp;col=6&amp;number=7354000&amp;sourceID=14","7354000")</f>
        <v>7354000</v>
      </c>
      <c r="G420" s="4" t="str">
        <f>HYPERLINK("http://141.218.60.56/~jnz1568/getInfo.php?workbook=26_25.xlsx&amp;sheet=A0&amp;row=420&amp;col=7&amp;number=0&amp;sourceID=14","0")</f>
        <v>0</v>
      </c>
    </row>
    <row r="421" spans="1:7">
      <c r="A421" s="3">
        <v>26</v>
      </c>
      <c r="B421" s="3">
        <v>25</v>
      </c>
      <c r="C421" s="3">
        <v>72</v>
      </c>
      <c r="D421" s="3">
        <v>29</v>
      </c>
      <c r="E421" s="3">
        <v>2871.903</v>
      </c>
      <c r="F421" s="4" t="str">
        <f>HYPERLINK("http://141.218.60.56/~jnz1568/getInfo.php?workbook=26_25.xlsx&amp;sheet=A0&amp;row=421&amp;col=6&amp;number=411400&amp;sourceID=14","411400")</f>
        <v>411400</v>
      </c>
      <c r="G421" s="4" t="str">
        <f>HYPERLINK("http://141.218.60.56/~jnz1568/getInfo.php?workbook=26_25.xlsx&amp;sheet=A0&amp;row=421&amp;col=7&amp;number=0&amp;sourceID=14","0")</f>
        <v>0</v>
      </c>
    </row>
    <row r="422" spans="1:7">
      <c r="A422" s="3">
        <v>26</v>
      </c>
      <c r="B422" s="3">
        <v>25</v>
      </c>
      <c r="C422" s="3">
        <v>72</v>
      </c>
      <c r="D422" s="3">
        <v>20</v>
      </c>
      <c r="E422" s="3">
        <v>2539.757</v>
      </c>
      <c r="F422" s="4" t="str">
        <f>HYPERLINK("http://141.218.60.56/~jnz1568/getInfo.php?workbook=26_25.xlsx&amp;sheet=A0&amp;row=422&amp;col=6&amp;number=205700000&amp;sourceID=14","205700000")</f>
        <v>205700000</v>
      </c>
      <c r="G422" s="4" t="str">
        <f>HYPERLINK("http://141.218.60.56/~jnz1568/getInfo.php?workbook=26_25.xlsx&amp;sheet=A0&amp;row=422&amp;col=7&amp;number=0&amp;sourceID=14","0")</f>
        <v>0</v>
      </c>
    </row>
    <row r="423" spans="1:7">
      <c r="A423" s="3">
        <v>26</v>
      </c>
      <c r="B423" s="3">
        <v>25</v>
      </c>
      <c r="C423" s="3">
        <v>72</v>
      </c>
      <c r="D423" s="3">
        <v>21</v>
      </c>
      <c r="E423" s="3">
        <v>2551.34</v>
      </c>
      <c r="F423" s="4" t="str">
        <f>HYPERLINK("http://141.218.60.56/~jnz1568/getInfo.php?workbook=26_25.xlsx&amp;sheet=A0&amp;row=423&amp;col=6&amp;number=9500000&amp;sourceID=14","9500000")</f>
        <v>9500000</v>
      </c>
      <c r="G423" s="4" t="str">
        <f>HYPERLINK("http://141.218.60.56/~jnz1568/getInfo.php?workbook=26_25.xlsx&amp;sheet=A0&amp;row=423&amp;col=7&amp;number=0&amp;sourceID=14","0")</f>
        <v>0</v>
      </c>
    </row>
    <row r="424" spans="1:7">
      <c r="A424" s="3">
        <v>26</v>
      </c>
      <c r="B424" s="3">
        <v>25</v>
      </c>
      <c r="C424" s="3">
        <v>72</v>
      </c>
      <c r="D424" s="3">
        <v>22</v>
      </c>
      <c r="E424" s="3">
        <v>2561.225</v>
      </c>
      <c r="F424" s="4" t="str">
        <f>HYPERLINK("http://141.218.60.56/~jnz1568/getInfo.php?workbook=26_25.xlsx&amp;sheet=A0&amp;row=424&amp;col=6&amp;number=175100&amp;sourceID=14","175100")</f>
        <v>175100</v>
      </c>
      <c r="G424" s="4" t="str">
        <f>HYPERLINK("http://141.218.60.56/~jnz1568/getInfo.php?workbook=26_25.xlsx&amp;sheet=A0&amp;row=424&amp;col=7&amp;number=0&amp;sourceID=14","0")</f>
        <v>0</v>
      </c>
    </row>
    <row r="425" spans="1:7">
      <c r="A425" s="3">
        <v>26</v>
      </c>
      <c r="B425" s="3">
        <v>25</v>
      </c>
      <c r="C425" s="3">
        <v>73</v>
      </c>
      <c r="D425" s="3">
        <v>6</v>
      </c>
      <c r="E425" s="3">
        <v>1696.794</v>
      </c>
      <c r="F425" s="4" t="str">
        <f>HYPERLINK("http://141.218.60.56/~jnz1568/getInfo.php?workbook=26_25.xlsx&amp;sheet=A0&amp;row=425&amp;col=6&amp;number=13270000&amp;sourceID=14","13270000")</f>
        <v>13270000</v>
      </c>
      <c r="G425" s="4" t="str">
        <f>HYPERLINK("http://141.218.60.56/~jnz1568/getInfo.php?workbook=26_25.xlsx&amp;sheet=A0&amp;row=425&amp;col=7&amp;number=0&amp;sourceID=14","0")</f>
        <v>0</v>
      </c>
    </row>
    <row r="426" spans="1:7">
      <c r="A426" s="3">
        <v>26</v>
      </c>
      <c r="B426" s="3">
        <v>25</v>
      </c>
      <c r="C426" s="3">
        <v>73</v>
      </c>
      <c r="D426" s="3">
        <v>7</v>
      </c>
      <c r="E426" s="3">
        <v>1713</v>
      </c>
      <c r="F426" s="4" t="str">
        <f>HYPERLINK("http://141.218.60.56/~jnz1568/getInfo.php?workbook=26_25.xlsx&amp;sheet=A0&amp;row=426&amp;col=6&amp;number=142500000&amp;sourceID=14","142500000")</f>
        <v>142500000</v>
      </c>
      <c r="G426" s="4" t="str">
        <f>HYPERLINK("http://141.218.60.56/~jnz1568/getInfo.php?workbook=26_25.xlsx&amp;sheet=A0&amp;row=426&amp;col=7&amp;number=0&amp;sourceID=14","0")</f>
        <v>0</v>
      </c>
    </row>
    <row r="427" spans="1:7">
      <c r="A427" s="3">
        <v>26</v>
      </c>
      <c r="B427" s="3">
        <v>25</v>
      </c>
      <c r="C427" s="3">
        <v>73</v>
      </c>
      <c r="D427" s="3">
        <v>24</v>
      </c>
      <c r="E427" s="3">
        <v>2619.857</v>
      </c>
      <c r="F427" s="4" t="str">
        <f>HYPERLINK("http://141.218.60.56/~jnz1568/getInfo.php?workbook=26_25.xlsx&amp;sheet=A0&amp;row=427&amp;col=6&amp;number=4778000&amp;sourceID=14","4778000")</f>
        <v>4778000</v>
      </c>
      <c r="G427" s="4" t="str">
        <f>HYPERLINK("http://141.218.60.56/~jnz1568/getInfo.php?workbook=26_25.xlsx&amp;sheet=A0&amp;row=427&amp;col=7&amp;number=0&amp;sourceID=14","0")</f>
        <v>0</v>
      </c>
    </row>
    <row r="428" spans="1:7">
      <c r="A428" s="3">
        <v>26</v>
      </c>
      <c r="B428" s="3">
        <v>25</v>
      </c>
      <c r="C428" s="3">
        <v>73</v>
      </c>
      <c r="D428" s="3">
        <v>25</v>
      </c>
      <c r="E428" s="3">
        <v>2631.795</v>
      </c>
      <c r="F428" s="4" t="str">
        <f>HYPERLINK("http://141.218.60.56/~jnz1568/getInfo.php?workbook=26_25.xlsx&amp;sheet=A0&amp;row=428&amp;col=6&amp;number=52090000&amp;sourceID=14","52090000")</f>
        <v>52090000</v>
      </c>
      <c r="G428" s="4" t="str">
        <f>HYPERLINK("http://141.218.60.56/~jnz1568/getInfo.php?workbook=26_25.xlsx&amp;sheet=A0&amp;row=428&amp;col=7&amp;number=0&amp;sourceID=14","0")</f>
        <v>0</v>
      </c>
    </row>
    <row r="429" spans="1:7">
      <c r="A429" s="3">
        <v>26</v>
      </c>
      <c r="B429" s="3">
        <v>25</v>
      </c>
      <c r="C429" s="3">
        <v>73</v>
      </c>
      <c r="D429" s="3">
        <v>61</v>
      </c>
      <c r="E429" s="3">
        <v>9389.868</v>
      </c>
      <c r="F429" s="4" t="str">
        <f>HYPERLINK("http://141.218.60.56/~jnz1568/getInfo.php?workbook=26_25.xlsx&amp;sheet=A0&amp;row=429&amp;col=6&amp;number=7070&amp;sourceID=14","7070")</f>
        <v>7070</v>
      </c>
      <c r="G429" s="4" t="str">
        <f>HYPERLINK("http://141.218.60.56/~jnz1568/getInfo.php?workbook=26_25.xlsx&amp;sheet=A0&amp;row=429&amp;col=7&amp;number=0&amp;sourceID=14","0")</f>
        <v>0</v>
      </c>
    </row>
    <row r="430" spans="1:7">
      <c r="A430" s="3">
        <v>26</v>
      </c>
      <c r="B430" s="3">
        <v>25</v>
      </c>
      <c r="C430" s="3">
        <v>73</v>
      </c>
      <c r="D430" s="3">
        <v>62</v>
      </c>
      <c r="E430" s="3">
        <v>9416.712</v>
      </c>
      <c r="F430" s="4" t="str">
        <f>HYPERLINK("http://141.218.60.56/~jnz1568/getInfo.php?workbook=26_25.xlsx&amp;sheet=A0&amp;row=430&amp;col=6&amp;number=77460&amp;sourceID=14","77460")</f>
        <v>77460</v>
      </c>
      <c r="G430" s="4" t="str">
        <f>HYPERLINK("http://141.218.60.56/~jnz1568/getInfo.php?workbook=26_25.xlsx&amp;sheet=A0&amp;row=430&amp;col=7&amp;number=0&amp;sourceID=14","0")</f>
        <v>0</v>
      </c>
    </row>
    <row r="431" spans="1:7">
      <c r="A431" s="3">
        <v>26</v>
      </c>
      <c r="B431" s="3">
        <v>25</v>
      </c>
      <c r="C431" s="3">
        <v>73</v>
      </c>
      <c r="D431" s="3">
        <v>28</v>
      </c>
      <c r="E431" s="3">
        <v>2826.58</v>
      </c>
      <c r="F431" s="4" t="str">
        <f>HYPERLINK("http://141.218.60.56/~jnz1568/getInfo.php?workbook=26_25.xlsx&amp;sheet=A0&amp;row=431&amp;col=6&amp;number=517900&amp;sourceID=14","517900")</f>
        <v>517900</v>
      </c>
      <c r="G431" s="4" t="str">
        <f>HYPERLINK("http://141.218.60.56/~jnz1568/getInfo.php?workbook=26_25.xlsx&amp;sheet=A0&amp;row=431&amp;col=7&amp;number=0&amp;sourceID=14","0")</f>
        <v>0</v>
      </c>
    </row>
    <row r="432" spans="1:7">
      <c r="A432" s="3">
        <v>26</v>
      </c>
      <c r="B432" s="3">
        <v>25</v>
      </c>
      <c r="C432" s="3">
        <v>73</v>
      </c>
      <c r="D432" s="3">
        <v>29</v>
      </c>
      <c r="E432" s="3">
        <v>2856.988</v>
      </c>
      <c r="F432" s="4" t="str">
        <f>HYPERLINK("http://141.218.60.56/~jnz1568/getInfo.php?workbook=26_25.xlsx&amp;sheet=A0&amp;row=432&amp;col=6&amp;number=6469000&amp;sourceID=14","6469000")</f>
        <v>6469000</v>
      </c>
      <c r="G432" s="4" t="str">
        <f>HYPERLINK("http://141.218.60.56/~jnz1568/getInfo.php?workbook=26_25.xlsx&amp;sheet=A0&amp;row=432&amp;col=7&amp;number=0&amp;sourceID=14","0")</f>
        <v>0</v>
      </c>
    </row>
    <row r="433" spans="1:7">
      <c r="A433" s="3">
        <v>26</v>
      </c>
      <c r="B433" s="3">
        <v>25</v>
      </c>
      <c r="C433" s="3">
        <v>73</v>
      </c>
      <c r="D433" s="3">
        <v>30</v>
      </c>
      <c r="E433" s="3">
        <v>2871.451</v>
      </c>
      <c r="F433" s="4" t="str">
        <f>HYPERLINK("http://141.218.60.56/~jnz1568/getInfo.php?workbook=26_25.xlsx&amp;sheet=A0&amp;row=433&amp;col=6&amp;number=644700&amp;sourceID=14","644700")</f>
        <v>644700</v>
      </c>
      <c r="G433" s="4" t="str">
        <f>HYPERLINK("http://141.218.60.56/~jnz1568/getInfo.php?workbook=26_25.xlsx&amp;sheet=A0&amp;row=433&amp;col=7&amp;number=0&amp;sourceID=14","0")</f>
        <v>0</v>
      </c>
    </row>
    <row r="434" spans="1:7">
      <c r="A434" s="3">
        <v>26</v>
      </c>
      <c r="B434" s="3">
        <v>25</v>
      </c>
      <c r="C434" s="3">
        <v>73</v>
      </c>
      <c r="D434" s="3">
        <v>21</v>
      </c>
      <c r="E434" s="3">
        <v>2539.562</v>
      </c>
      <c r="F434" s="4" t="str">
        <f>HYPERLINK("http://141.218.60.56/~jnz1568/getInfo.php?workbook=26_25.xlsx&amp;sheet=A0&amp;row=434&amp;col=6&amp;number=200000000&amp;sourceID=14","200000000")</f>
        <v>200000000</v>
      </c>
      <c r="G434" s="4" t="str">
        <f>HYPERLINK("http://141.218.60.56/~jnz1568/getInfo.php?workbook=26_25.xlsx&amp;sheet=A0&amp;row=434&amp;col=7&amp;number=0&amp;sourceID=14","0")</f>
        <v>0</v>
      </c>
    </row>
    <row r="435" spans="1:7">
      <c r="A435" s="3">
        <v>26</v>
      </c>
      <c r="B435" s="3">
        <v>25</v>
      </c>
      <c r="C435" s="3">
        <v>73</v>
      </c>
      <c r="D435" s="3">
        <v>22</v>
      </c>
      <c r="E435" s="3">
        <v>2549.356</v>
      </c>
      <c r="F435" s="4" t="str">
        <f>HYPERLINK("http://141.218.60.56/~jnz1568/getInfo.php?workbook=26_25.xlsx&amp;sheet=A0&amp;row=435&amp;col=6&amp;number=15110000&amp;sourceID=14","15110000")</f>
        <v>15110000</v>
      </c>
      <c r="G435" s="4" t="str">
        <f>HYPERLINK("http://141.218.60.56/~jnz1568/getInfo.php?workbook=26_25.xlsx&amp;sheet=A0&amp;row=435&amp;col=7&amp;number=0&amp;sourceID=14","0")</f>
        <v>0</v>
      </c>
    </row>
    <row r="436" spans="1:7">
      <c r="A436" s="3">
        <v>26</v>
      </c>
      <c r="B436" s="3">
        <v>25</v>
      </c>
      <c r="C436" s="3">
        <v>73</v>
      </c>
      <c r="D436" s="3">
        <v>23</v>
      </c>
      <c r="E436" s="3">
        <v>2557.851</v>
      </c>
      <c r="F436" s="4" t="str">
        <f>HYPERLINK("http://141.218.60.56/~jnz1568/getInfo.php?workbook=26_25.xlsx&amp;sheet=A0&amp;row=436&amp;col=6&amp;number=249300&amp;sourceID=14","249300")</f>
        <v>249300</v>
      </c>
      <c r="G436" s="4" t="str">
        <f>HYPERLINK("http://141.218.60.56/~jnz1568/getInfo.php?workbook=26_25.xlsx&amp;sheet=A0&amp;row=436&amp;col=7&amp;number=0&amp;sourceID=14","0")</f>
        <v>0</v>
      </c>
    </row>
    <row r="437" spans="1:7">
      <c r="A437" s="3">
        <v>26</v>
      </c>
      <c r="B437" s="3">
        <v>25</v>
      </c>
      <c r="C437" s="3">
        <v>74</v>
      </c>
      <c r="D437" s="3">
        <v>6</v>
      </c>
      <c r="E437" s="3">
        <v>1692.499</v>
      </c>
      <c r="F437" s="4" t="str">
        <f>HYPERLINK("http://141.218.60.56/~jnz1568/getInfo.php?workbook=26_25.xlsx&amp;sheet=A0&amp;row=437&amp;col=6&amp;number=489900&amp;sourceID=14","489900")</f>
        <v>489900</v>
      </c>
      <c r="G437" s="4" t="str">
        <f>HYPERLINK("http://141.218.60.56/~jnz1568/getInfo.php?workbook=26_25.xlsx&amp;sheet=A0&amp;row=437&amp;col=7&amp;number=0&amp;sourceID=14","0")</f>
        <v>0</v>
      </c>
    </row>
    <row r="438" spans="1:7">
      <c r="A438" s="3">
        <v>26</v>
      </c>
      <c r="B438" s="3">
        <v>25</v>
      </c>
      <c r="C438" s="3">
        <v>74</v>
      </c>
      <c r="D438" s="3">
        <v>7</v>
      </c>
      <c r="E438" s="3">
        <v>1708.622</v>
      </c>
      <c r="F438" s="4" t="str">
        <f>HYPERLINK("http://141.218.60.56/~jnz1568/getInfo.php?workbook=26_25.xlsx&amp;sheet=A0&amp;row=438&amp;col=6&amp;number=21290000&amp;sourceID=14","21290000")</f>
        <v>21290000</v>
      </c>
      <c r="G438" s="4" t="str">
        <f>HYPERLINK("http://141.218.60.56/~jnz1568/getInfo.php?workbook=26_25.xlsx&amp;sheet=A0&amp;row=438&amp;col=7&amp;number=0&amp;sourceID=14","0")</f>
        <v>0</v>
      </c>
    </row>
    <row r="439" spans="1:7">
      <c r="A439" s="3">
        <v>26</v>
      </c>
      <c r="B439" s="3">
        <v>25</v>
      </c>
      <c r="C439" s="3">
        <v>74</v>
      </c>
      <c r="D439" s="3">
        <v>8</v>
      </c>
      <c r="E439" s="3">
        <v>1720.613</v>
      </c>
      <c r="F439" s="4" t="str">
        <f>HYPERLINK("http://141.218.60.56/~jnz1568/getInfo.php?workbook=26_25.xlsx&amp;sheet=A0&amp;row=439&amp;col=6&amp;number=132200000&amp;sourceID=14","132200000")</f>
        <v>132200000</v>
      </c>
      <c r="G439" s="4" t="str">
        <f>HYPERLINK("http://141.218.60.56/~jnz1568/getInfo.php?workbook=26_25.xlsx&amp;sheet=A0&amp;row=439&amp;col=7&amp;number=0&amp;sourceID=14","0")</f>
        <v>0</v>
      </c>
    </row>
    <row r="440" spans="1:7">
      <c r="A440" s="3">
        <v>26</v>
      </c>
      <c r="B440" s="3">
        <v>25</v>
      </c>
      <c r="C440" s="3">
        <v>74</v>
      </c>
      <c r="D440" s="3">
        <v>24</v>
      </c>
      <c r="E440" s="3">
        <v>2609.632</v>
      </c>
      <c r="F440" s="4" t="str">
        <f>HYPERLINK("http://141.218.60.56/~jnz1568/getInfo.php?workbook=26_25.xlsx&amp;sheet=A0&amp;row=440&amp;col=6&amp;number=177100&amp;sourceID=14","177100")</f>
        <v>177100</v>
      </c>
      <c r="G440" s="4" t="str">
        <f>HYPERLINK("http://141.218.60.56/~jnz1568/getInfo.php?workbook=26_25.xlsx&amp;sheet=A0&amp;row=440&amp;col=7&amp;number=0&amp;sourceID=14","0")</f>
        <v>0</v>
      </c>
    </row>
    <row r="441" spans="1:7">
      <c r="A441" s="3">
        <v>26</v>
      </c>
      <c r="B441" s="3">
        <v>25</v>
      </c>
      <c r="C441" s="3">
        <v>74</v>
      </c>
      <c r="D441" s="3">
        <v>25</v>
      </c>
      <c r="E441" s="3">
        <v>2621.478</v>
      </c>
      <c r="F441" s="4" t="str">
        <f>HYPERLINK("http://141.218.60.56/~jnz1568/getInfo.php?workbook=26_25.xlsx&amp;sheet=A0&amp;row=441&amp;col=6&amp;number=7811000&amp;sourceID=14","7811000")</f>
        <v>7811000</v>
      </c>
      <c r="G441" s="4" t="str">
        <f>HYPERLINK("http://141.218.60.56/~jnz1568/getInfo.php?workbook=26_25.xlsx&amp;sheet=A0&amp;row=441&amp;col=7&amp;number=0&amp;sourceID=14","0")</f>
        <v>0</v>
      </c>
    </row>
    <row r="442" spans="1:7">
      <c r="A442" s="3">
        <v>26</v>
      </c>
      <c r="B442" s="3">
        <v>25</v>
      </c>
      <c r="C442" s="3">
        <v>74</v>
      </c>
      <c r="D442" s="3">
        <v>26</v>
      </c>
      <c r="E442" s="3">
        <v>2630.373</v>
      </c>
      <c r="F442" s="4" t="str">
        <f>HYPERLINK("http://141.218.60.56/~jnz1568/getInfo.php?workbook=26_25.xlsx&amp;sheet=A0&amp;row=442&amp;col=6&amp;number=49040000&amp;sourceID=14","49040000")</f>
        <v>49040000</v>
      </c>
      <c r="G442" s="4" t="str">
        <f>HYPERLINK("http://141.218.60.56/~jnz1568/getInfo.php?workbook=26_25.xlsx&amp;sheet=A0&amp;row=442&amp;col=7&amp;number=0&amp;sourceID=14","0")</f>
        <v>0</v>
      </c>
    </row>
    <row r="443" spans="1:7">
      <c r="A443" s="3">
        <v>26</v>
      </c>
      <c r="B443" s="3">
        <v>25</v>
      </c>
      <c r="C443" s="3">
        <v>74</v>
      </c>
      <c r="D443" s="3">
        <v>62</v>
      </c>
      <c r="E443" s="3">
        <v>9285.94</v>
      </c>
      <c r="F443" s="4" t="str">
        <f>HYPERLINK("http://141.218.60.56/~jnz1568/getInfo.php?workbook=26_25.xlsx&amp;sheet=A0&amp;row=443&amp;col=6&amp;number=11970&amp;sourceID=14","11970")</f>
        <v>11970</v>
      </c>
      <c r="G443" s="4" t="str">
        <f>HYPERLINK("http://141.218.60.56/~jnz1568/getInfo.php?workbook=26_25.xlsx&amp;sheet=A0&amp;row=443&amp;col=7&amp;number=0&amp;sourceID=14","0")</f>
        <v>0</v>
      </c>
    </row>
    <row r="444" spans="1:7">
      <c r="A444" s="3">
        <v>26</v>
      </c>
      <c r="B444" s="3">
        <v>25</v>
      </c>
      <c r="C444" s="3">
        <v>74</v>
      </c>
      <c r="D444" s="3">
        <v>63</v>
      </c>
      <c r="E444" s="3">
        <v>9247.275</v>
      </c>
      <c r="F444" s="4" t="str">
        <f>HYPERLINK("http://141.218.60.56/~jnz1568/getInfo.php?workbook=26_25.xlsx&amp;sheet=A0&amp;row=444&amp;col=6&amp;number=76900&amp;sourceID=14","76900")</f>
        <v>76900</v>
      </c>
      <c r="G444" s="4" t="str">
        <f>HYPERLINK("http://141.218.60.56/~jnz1568/getInfo.php?workbook=26_25.xlsx&amp;sheet=A0&amp;row=444&amp;col=7&amp;number=0&amp;sourceID=14","0")</f>
        <v>0</v>
      </c>
    </row>
    <row r="445" spans="1:7">
      <c r="A445" s="3">
        <v>26</v>
      </c>
      <c r="B445" s="3">
        <v>25</v>
      </c>
      <c r="C445" s="3">
        <v>74</v>
      </c>
      <c r="D445" s="3">
        <v>29</v>
      </c>
      <c r="E445" s="3">
        <v>2844.833</v>
      </c>
      <c r="F445" s="4" t="str">
        <f>HYPERLINK("http://141.218.60.56/~jnz1568/getInfo.php?workbook=26_25.xlsx&amp;sheet=A0&amp;row=445&amp;col=6&amp;number=828700&amp;sourceID=14","828700")</f>
        <v>828700</v>
      </c>
      <c r="G445" s="4" t="str">
        <f>HYPERLINK("http://141.218.60.56/~jnz1568/getInfo.php?workbook=26_25.xlsx&amp;sheet=A0&amp;row=445&amp;col=7&amp;number=0&amp;sourceID=14","0")</f>
        <v>0</v>
      </c>
    </row>
    <row r="446" spans="1:7">
      <c r="A446" s="3">
        <v>26</v>
      </c>
      <c r="B446" s="3">
        <v>25</v>
      </c>
      <c r="C446" s="3">
        <v>74</v>
      </c>
      <c r="D446" s="3">
        <v>30</v>
      </c>
      <c r="E446" s="3">
        <v>2859.173</v>
      </c>
      <c r="F446" s="4" t="str">
        <f>HYPERLINK("http://141.218.60.56/~jnz1568/getInfo.php?workbook=26_25.xlsx&amp;sheet=A0&amp;row=446&amp;col=6&amp;number=6191000&amp;sourceID=14","6191000")</f>
        <v>6191000</v>
      </c>
      <c r="G446" s="4" t="str">
        <f>HYPERLINK("http://141.218.60.56/~jnz1568/getInfo.php?workbook=26_25.xlsx&amp;sheet=A0&amp;row=446&amp;col=7&amp;number=0&amp;sourceID=14","0")</f>
        <v>0</v>
      </c>
    </row>
    <row r="447" spans="1:7">
      <c r="A447" s="3">
        <v>26</v>
      </c>
      <c r="B447" s="3">
        <v>25</v>
      </c>
      <c r="C447" s="3">
        <v>74</v>
      </c>
      <c r="D447" s="3">
        <v>31</v>
      </c>
      <c r="E447" s="3">
        <v>2865.218</v>
      </c>
      <c r="F447" s="4" t="str">
        <f>HYPERLINK("http://141.218.60.56/~jnz1568/getInfo.php?workbook=26_25.xlsx&amp;sheet=A0&amp;row=447&amp;col=6&amp;number=611000&amp;sourceID=14","611000")</f>
        <v>611000</v>
      </c>
      <c r="G447" s="4" t="str">
        <f>HYPERLINK("http://141.218.60.56/~jnz1568/getInfo.php?workbook=26_25.xlsx&amp;sheet=A0&amp;row=447&amp;col=7&amp;number=0&amp;sourceID=14","0")</f>
        <v>0</v>
      </c>
    </row>
    <row r="448" spans="1:7">
      <c r="A448" s="3">
        <v>26</v>
      </c>
      <c r="B448" s="3">
        <v>25</v>
      </c>
      <c r="C448" s="3">
        <v>74</v>
      </c>
      <c r="D448" s="3">
        <v>22</v>
      </c>
      <c r="E448" s="3">
        <v>2539.673</v>
      </c>
      <c r="F448" s="4" t="str">
        <f>HYPERLINK("http://141.218.60.56/~jnz1568/getInfo.php?workbook=26_25.xlsx&amp;sheet=A0&amp;row=448&amp;col=6&amp;number=200800000&amp;sourceID=14","200800000")</f>
        <v>200800000</v>
      </c>
      <c r="G448" s="4" t="str">
        <f>HYPERLINK("http://141.218.60.56/~jnz1568/getInfo.php?workbook=26_25.xlsx&amp;sheet=A0&amp;row=448&amp;col=7&amp;number=0&amp;sourceID=14","0")</f>
        <v>0</v>
      </c>
    </row>
    <row r="449" spans="1:7">
      <c r="A449" s="3">
        <v>26</v>
      </c>
      <c r="B449" s="3">
        <v>25</v>
      </c>
      <c r="C449" s="3">
        <v>74</v>
      </c>
      <c r="D449" s="3">
        <v>23</v>
      </c>
      <c r="E449" s="3">
        <v>2548.104</v>
      </c>
      <c r="F449" s="4" t="str">
        <f>HYPERLINK("http://141.218.60.56/~jnz1568/getInfo.php?workbook=26_25.xlsx&amp;sheet=A0&amp;row=449&amp;col=6&amp;number=14310000&amp;sourceID=14","14310000")</f>
        <v>14310000</v>
      </c>
      <c r="G449" s="4" t="str">
        <f>HYPERLINK("http://141.218.60.56/~jnz1568/getInfo.php?workbook=26_25.xlsx&amp;sheet=A0&amp;row=449&amp;col=7&amp;number=0&amp;sourceID=14","0")</f>
        <v>0</v>
      </c>
    </row>
    <row r="450" spans="1:7">
      <c r="A450" s="3">
        <v>26</v>
      </c>
      <c r="B450" s="3">
        <v>25</v>
      </c>
      <c r="C450" s="3">
        <v>75</v>
      </c>
      <c r="D450" s="3">
        <v>7</v>
      </c>
      <c r="E450" s="3">
        <v>1706.145</v>
      </c>
      <c r="F450" s="4" t="str">
        <f>HYPERLINK("http://141.218.60.56/~jnz1568/getInfo.php?workbook=26_25.xlsx&amp;sheet=A0&amp;row=450&amp;col=6&amp;number=787600&amp;sourceID=14","787600")</f>
        <v>787600</v>
      </c>
      <c r="G450" s="4" t="str">
        <f>HYPERLINK("http://141.218.60.56/~jnz1568/getInfo.php?workbook=26_25.xlsx&amp;sheet=A0&amp;row=450&amp;col=7&amp;number=0&amp;sourceID=14","0")</f>
        <v>0</v>
      </c>
    </row>
    <row r="451" spans="1:7">
      <c r="A451" s="3">
        <v>26</v>
      </c>
      <c r="B451" s="3">
        <v>25</v>
      </c>
      <c r="C451" s="3">
        <v>75</v>
      </c>
      <c r="D451" s="3">
        <v>8</v>
      </c>
      <c r="E451" s="3">
        <v>1718.101</v>
      </c>
      <c r="F451" s="4" t="str">
        <f>HYPERLINK("http://141.218.60.56/~jnz1568/getInfo.php?workbook=26_25.xlsx&amp;sheet=A0&amp;row=451&amp;col=6&amp;number=21300000&amp;sourceID=14","21300000")</f>
        <v>21300000</v>
      </c>
      <c r="G451" s="4" t="str">
        <f>HYPERLINK("http://141.218.60.56/~jnz1568/getInfo.php?workbook=26_25.xlsx&amp;sheet=A0&amp;row=451&amp;col=7&amp;number=0&amp;sourceID=14","0")</f>
        <v>0</v>
      </c>
    </row>
    <row r="452" spans="1:7">
      <c r="A452" s="3">
        <v>26</v>
      </c>
      <c r="B452" s="3">
        <v>25</v>
      </c>
      <c r="C452" s="3">
        <v>75</v>
      </c>
      <c r="D452" s="3">
        <v>9</v>
      </c>
      <c r="E452" s="3">
        <v>1726.392</v>
      </c>
      <c r="F452" s="4" t="str">
        <f>HYPERLINK("http://141.218.60.56/~jnz1568/getInfo.php?workbook=26_25.xlsx&amp;sheet=A0&amp;row=452&amp;col=6&amp;number=130300000&amp;sourceID=14","130300000")</f>
        <v>130300000</v>
      </c>
      <c r="G452" s="4" t="str">
        <f>HYPERLINK("http://141.218.60.56/~jnz1568/getInfo.php?workbook=26_25.xlsx&amp;sheet=A0&amp;row=452&amp;col=7&amp;number=0&amp;sourceID=14","0")</f>
        <v>0</v>
      </c>
    </row>
    <row r="453" spans="1:7">
      <c r="A453" s="3">
        <v>26</v>
      </c>
      <c r="B453" s="3">
        <v>25</v>
      </c>
      <c r="C453" s="3">
        <v>75</v>
      </c>
      <c r="D453" s="3">
        <v>25</v>
      </c>
      <c r="E453" s="3">
        <v>2615.652</v>
      </c>
      <c r="F453" s="4" t="str">
        <f>HYPERLINK("http://141.218.60.56/~jnz1568/getInfo.php?workbook=26_25.xlsx&amp;sheet=A0&amp;row=453&amp;col=6&amp;number=289700&amp;sourceID=14","289700")</f>
        <v>289700</v>
      </c>
      <c r="G453" s="4" t="str">
        <f>HYPERLINK("http://141.218.60.56/~jnz1568/getInfo.php?workbook=26_25.xlsx&amp;sheet=A0&amp;row=453&amp;col=7&amp;number=0&amp;sourceID=14","0")</f>
        <v>0</v>
      </c>
    </row>
    <row r="454" spans="1:7">
      <c r="A454" s="3">
        <v>26</v>
      </c>
      <c r="B454" s="3">
        <v>25</v>
      </c>
      <c r="C454" s="3">
        <v>75</v>
      </c>
      <c r="D454" s="3">
        <v>26</v>
      </c>
      <c r="E454" s="3">
        <v>2624.507</v>
      </c>
      <c r="F454" s="4" t="str">
        <f>HYPERLINK("http://141.218.60.56/~jnz1568/getInfo.php?workbook=26_25.xlsx&amp;sheet=A0&amp;row=454&amp;col=6&amp;number=7920000&amp;sourceID=14","7920000")</f>
        <v>7920000</v>
      </c>
      <c r="G454" s="4" t="str">
        <f>HYPERLINK("http://141.218.60.56/~jnz1568/getInfo.php?workbook=26_25.xlsx&amp;sheet=A0&amp;row=454&amp;col=7&amp;number=0&amp;sourceID=14","0")</f>
        <v>0</v>
      </c>
    </row>
    <row r="455" spans="1:7">
      <c r="A455" s="3">
        <v>26</v>
      </c>
      <c r="B455" s="3">
        <v>25</v>
      </c>
      <c r="C455" s="3">
        <v>75</v>
      </c>
      <c r="D455" s="3">
        <v>27</v>
      </c>
      <c r="E455" s="3">
        <v>2630.856</v>
      </c>
      <c r="F455" s="4" t="str">
        <f>HYPERLINK("http://141.218.60.56/~jnz1568/getInfo.php?workbook=26_25.xlsx&amp;sheet=A0&amp;row=455&amp;col=6&amp;number=48800000&amp;sourceID=14","48800000")</f>
        <v>48800000</v>
      </c>
      <c r="G455" s="4" t="str">
        <f>HYPERLINK("http://141.218.60.56/~jnz1568/getInfo.php?workbook=26_25.xlsx&amp;sheet=A0&amp;row=455&amp;col=7&amp;number=0&amp;sourceID=14","0")</f>
        <v>0</v>
      </c>
    </row>
    <row r="456" spans="1:7">
      <c r="A456" s="3">
        <v>26</v>
      </c>
      <c r="B456" s="3">
        <v>25</v>
      </c>
      <c r="C456" s="3">
        <v>75</v>
      </c>
      <c r="D456" s="3">
        <v>63</v>
      </c>
      <c r="E456" s="3">
        <v>9175.187</v>
      </c>
      <c r="F456" s="4" t="str">
        <f>HYPERLINK("http://141.218.60.56/~jnz1568/getInfo.php?workbook=26_25.xlsx&amp;sheet=A0&amp;row=456&amp;col=6&amp;number=12630&amp;sourceID=14","12630")</f>
        <v>12630</v>
      </c>
      <c r="G456" s="4" t="str">
        <f>HYPERLINK("http://141.218.60.56/~jnz1568/getInfo.php?workbook=26_25.xlsx&amp;sheet=A0&amp;row=456&amp;col=7&amp;number=0&amp;sourceID=14","0")</f>
        <v>0</v>
      </c>
    </row>
    <row r="457" spans="1:7">
      <c r="A457" s="3">
        <v>26</v>
      </c>
      <c r="B457" s="3">
        <v>25</v>
      </c>
      <c r="C457" s="3">
        <v>75</v>
      </c>
      <c r="D457" s="3">
        <v>64</v>
      </c>
      <c r="E457" s="3">
        <v>9119.232</v>
      </c>
      <c r="F457" s="4" t="str">
        <f>HYPERLINK("http://141.218.60.56/~jnz1568/getInfo.php?workbook=26_25.xlsx&amp;sheet=A0&amp;row=457&amp;col=6&amp;number=79820&amp;sourceID=14","79820")</f>
        <v>79820</v>
      </c>
      <c r="G457" s="4" t="str">
        <f>HYPERLINK("http://141.218.60.56/~jnz1568/getInfo.php?workbook=26_25.xlsx&amp;sheet=A0&amp;row=457&amp;col=7&amp;number=0&amp;sourceID=14","0")</f>
        <v>0</v>
      </c>
    </row>
    <row r="458" spans="1:7">
      <c r="A458" s="3">
        <v>26</v>
      </c>
      <c r="B458" s="3">
        <v>25</v>
      </c>
      <c r="C458" s="3">
        <v>75</v>
      </c>
      <c r="D458" s="3">
        <v>30</v>
      </c>
      <c r="E458" s="3">
        <v>2852.244</v>
      </c>
      <c r="F458" s="4" t="str">
        <f>HYPERLINK("http://141.218.60.56/~jnz1568/getInfo.php?workbook=26_25.xlsx&amp;sheet=A0&amp;row=458&amp;col=6&amp;number=825800&amp;sourceID=14","825800")</f>
        <v>825800</v>
      </c>
      <c r="G458" s="4" t="str">
        <f>HYPERLINK("http://141.218.60.56/~jnz1568/getInfo.php?workbook=26_25.xlsx&amp;sheet=A0&amp;row=458&amp;col=7&amp;number=0&amp;sourceID=14","0")</f>
        <v>0</v>
      </c>
    </row>
    <row r="459" spans="1:7">
      <c r="A459" s="3">
        <v>26</v>
      </c>
      <c r="B459" s="3">
        <v>25</v>
      </c>
      <c r="C459" s="3">
        <v>75</v>
      </c>
      <c r="D459" s="3">
        <v>31</v>
      </c>
      <c r="E459" s="3">
        <v>2858.26</v>
      </c>
      <c r="F459" s="4" t="str">
        <f>HYPERLINK("http://141.218.60.56/~jnz1568/getInfo.php?workbook=26_25.xlsx&amp;sheet=A0&amp;row=459&amp;col=6&amp;number=6820000&amp;sourceID=14","6820000")</f>
        <v>6820000</v>
      </c>
      <c r="G459" s="4" t="str">
        <f>HYPERLINK("http://141.218.60.56/~jnz1568/getInfo.php?workbook=26_25.xlsx&amp;sheet=A0&amp;row=459&amp;col=7&amp;number=0&amp;sourceID=14","0")</f>
        <v>0</v>
      </c>
    </row>
    <row r="460" spans="1:7">
      <c r="A460" s="3">
        <v>26</v>
      </c>
      <c r="B460" s="3">
        <v>25</v>
      </c>
      <c r="C460" s="3">
        <v>75</v>
      </c>
      <c r="D460" s="3">
        <v>23</v>
      </c>
      <c r="E460" s="3">
        <v>2542.599</v>
      </c>
      <c r="F460" s="4" t="str">
        <f>HYPERLINK("http://141.218.60.56/~jnz1568/getInfo.php?workbook=26_25.xlsx&amp;sheet=A0&amp;row=460&amp;col=6&amp;number=214800000&amp;sourceID=14","214800000")</f>
        <v>214800000</v>
      </c>
      <c r="G460" s="4" t="str">
        <f>HYPERLINK("http://141.218.60.56/~jnz1568/getInfo.php?workbook=26_25.xlsx&amp;sheet=A0&amp;row=460&amp;col=7&amp;number=0&amp;sourceID=14","0")</f>
        <v>0</v>
      </c>
    </row>
    <row r="461" spans="1:7">
      <c r="A461" s="3">
        <v>26</v>
      </c>
      <c r="B461" s="3">
        <v>25</v>
      </c>
      <c r="C461" s="3">
        <v>76</v>
      </c>
      <c r="D461" s="3">
        <v>28</v>
      </c>
      <c r="E461" s="3">
        <v>2824.158</v>
      </c>
      <c r="F461" s="4" t="str">
        <f>HYPERLINK("http://141.218.60.56/~jnz1568/getInfo.php?workbook=26_25.xlsx&amp;sheet=A0&amp;row=461&amp;col=6&amp;number=16180000&amp;sourceID=14","16180000")</f>
        <v>16180000</v>
      </c>
      <c r="G461" s="4" t="str">
        <f>HYPERLINK("http://141.218.60.56/~jnz1568/getInfo.php?workbook=26_25.xlsx&amp;sheet=A0&amp;row=461&amp;col=7&amp;number=0&amp;sourceID=14","0")</f>
        <v>0</v>
      </c>
    </row>
    <row r="462" spans="1:7">
      <c r="A462" s="3">
        <v>26</v>
      </c>
      <c r="B462" s="3">
        <v>25</v>
      </c>
      <c r="C462" s="3">
        <v>76</v>
      </c>
      <c r="D462" s="3">
        <v>20</v>
      </c>
      <c r="E462" s="3">
        <v>2526.148</v>
      </c>
      <c r="F462" s="4" t="str">
        <f>HYPERLINK("http://141.218.60.56/~jnz1568/getInfo.php?workbook=26_25.xlsx&amp;sheet=A0&amp;row=462&amp;col=6&amp;number=244500000&amp;sourceID=14","244500000")</f>
        <v>244500000</v>
      </c>
      <c r="G462" s="4" t="str">
        <f>HYPERLINK("http://141.218.60.56/~jnz1568/getInfo.php?workbook=26_25.xlsx&amp;sheet=A0&amp;row=462&amp;col=7&amp;number=0&amp;sourceID=14","0")</f>
        <v>0</v>
      </c>
    </row>
    <row r="463" spans="1:7">
      <c r="A463" s="3">
        <v>26</v>
      </c>
      <c r="B463" s="3">
        <v>25</v>
      </c>
      <c r="C463" s="3">
        <v>76</v>
      </c>
      <c r="D463" s="3">
        <v>21</v>
      </c>
      <c r="E463" s="3">
        <v>2537.607</v>
      </c>
      <c r="F463" s="4" t="str">
        <f>HYPERLINK("http://141.218.60.56/~jnz1568/getInfo.php?workbook=26_25.xlsx&amp;sheet=A0&amp;row=463&amp;col=6&amp;number=9609000&amp;sourceID=14","9609000")</f>
        <v>9609000</v>
      </c>
      <c r="G463" s="4" t="str">
        <f>HYPERLINK("http://141.218.60.56/~jnz1568/getInfo.php?workbook=26_25.xlsx&amp;sheet=A0&amp;row=463&amp;col=7&amp;number=0&amp;sourceID=14","0")</f>
        <v>0</v>
      </c>
    </row>
    <row r="464" spans="1:7">
      <c r="A464" s="3">
        <v>26</v>
      </c>
      <c r="B464" s="3">
        <v>25</v>
      </c>
      <c r="C464" s="3">
        <v>77</v>
      </c>
      <c r="D464" s="3">
        <v>28</v>
      </c>
      <c r="E464" s="3">
        <v>2820.173</v>
      </c>
      <c r="F464" s="4" t="str">
        <f>HYPERLINK("http://141.218.60.56/~jnz1568/getInfo.php?workbook=26_25.xlsx&amp;sheet=A0&amp;row=464&amp;col=6&amp;number=887800&amp;sourceID=14","887800")</f>
        <v>887800</v>
      </c>
      <c r="G464" s="4" t="str">
        <f>HYPERLINK("http://141.218.60.56/~jnz1568/getInfo.php?workbook=26_25.xlsx&amp;sheet=A0&amp;row=464&amp;col=7&amp;number=0&amp;sourceID=14","0")</f>
        <v>0</v>
      </c>
    </row>
    <row r="465" spans="1:7">
      <c r="A465" s="3">
        <v>26</v>
      </c>
      <c r="B465" s="3">
        <v>25</v>
      </c>
      <c r="C465" s="3">
        <v>77</v>
      </c>
      <c r="D465" s="3">
        <v>29</v>
      </c>
      <c r="E465" s="3">
        <v>2850.443</v>
      </c>
      <c r="F465" s="4" t="str">
        <f>HYPERLINK("http://141.218.60.56/~jnz1568/getInfo.php?workbook=26_25.xlsx&amp;sheet=A0&amp;row=465&amp;col=6&amp;number=14880000&amp;sourceID=14","14880000")</f>
        <v>14880000</v>
      </c>
      <c r="G465" s="4" t="str">
        <f>HYPERLINK("http://141.218.60.56/~jnz1568/getInfo.php?workbook=26_25.xlsx&amp;sheet=A0&amp;row=465&amp;col=7&amp;number=0&amp;sourceID=14","0")</f>
        <v>0</v>
      </c>
    </row>
    <row r="466" spans="1:7">
      <c r="A466" s="3">
        <v>26</v>
      </c>
      <c r="B466" s="3">
        <v>25</v>
      </c>
      <c r="C466" s="3">
        <v>77</v>
      </c>
      <c r="D466" s="3">
        <v>20</v>
      </c>
      <c r="E466" s="3">
        <v>2522.959</v>
      </c>
      <c r="F466" s="4" t="str">
        <f>HYPERLINK("http://141.218.60.56/~jnz1568/getInfo.php?workbook=26_25.xlsx&amp;sheet=A0&amp;row=466&amp;col=6&amp;number=11410000&amp;sourceID=14","11410000")</f>
        <v>11410000</v>
      </c>
      <c r="G466" s="4" t="str">
        <f>HYPERLINK("http://141.218.60.56/~jnz1568/getInfo.php?workbook=26_25.xlsx&amp;sheet=A0&amp;row=466&amp;col=7&amp;number=0&amp;sourceID=14","0")</f>
        <v>0</v>
      </c>
    </row>
    <row r="467" spans="1:7">
      <c r="A467" s="3">
        <v>26</v>
      </c>
      <c r="B467" s="3">
        <v>25</v>
      </c>
      <c r="C467" s="3">
        <v>77</v>
      </c>
      <c r="D467" s="3">
        <v>21</v>
      </c>
      <c r="E467" s="3">
        <v>2534.389</v>
      </c>
      <c r="F467" s="4" t="str">
        <f>HYPERLINK("http://141.218.60.56/~jnz1568/getInfo.php?workbook=26_25.xlsx&amp;sheet=A0&amp;row=467&amp;col=6&amp;number=225100000&amp;sourceID=14","225100000")</f>
        <v>225100000</v>
      </c>
      <c r="G467" s="4" t="str">
        <f>HYPERLINK("http://141.218.60.56/~jnz1568/getInfo.php?workbook=26_25.xlsx&amp;sheet=A0&amp;row=467&amp;col=7&amp;number=0&amp;sourceID=14","0")</f>
        <v>0</v>
      </c>
    </row>
    <row r="468" spans="1:7">
      <c r="A468" s="3">
        <v>26</v>
      </c>
      <c r="B468" s="3">
        <v>25</v>
      </c>
      <c r="C468" s="3">
        <v>77</v>
      </c>
      <c r="D468" s="3">
        <v>22</v>
      </c>
      <c r="E468" s="3">
        <v>2544.143</v>
      </c>
      <c r="F468" s="4" t="str">
        <f>HYPERLINK("http://141.218.60.56/~jnz1568/getInfo.php?workbook=26_25.xlsx&amp;sheet=A0&amp;row=468&amp;col=6&amp;number=14710000&amp;sourceID=14","14710000")</f>
        <v>14710000</v>
      </c>
      <c r="G468" s="4" t="str">
        <f>HYPERLINK("http://141.218.60.56/~jnz1568/getInfo.php?workbook=26_25.xlsx&amp;sheet=A0&amp;row=468&amp;col=7&amp;number=0&amp;sourceID=14","0")</f>
        <v>0</v>
      </c>
    </row>
    <row r="469" spans="1:7">
      <c r="A469" s="3">
        <v>26</v>
      </c>
      <c r="B469" s="3">
        <v>25</v>
      </c>
      <c r="C469" s="3">
        <v>78</v>
      </c>
      <c r="D469" s="3">
        <v>28</v>
      </c>
      <c r="E469" s="3">
        <v>2812.096</v>
      </c>
      <c r="F469" s="4" t="str">
        <f>HYPERLINK("http://141.218.60.56/~jnz1568/getInfo.php?workbook=26_25.xlsx&amp;sheet=A0&amp;row=469&amp;col=6&amp;number=20040&amp;sourceID=14","20040")</f>
        <v>20040</v>
      </c>
      <c r="G469" s="4" t="str">
        <f>HYPERLINK("http://141.218.60.56/~jnz1568/getInfo.php?workbook=26_25.xlsx&amp;sheet=A0&amp;row=469&amp;col=7&amp;number=0&amp;sourceID=14","0")</f>
        <v>0</v>
      </c>
    </row>
    <row r="470" spans="1:7">
      <c r="A470" s="3">
        <v>26</v>
      </c>
      <c r="B470" s="3">
        <v>25</v>
      </c>
      <c r="C470" s="3">
        <v>78</v>
      </c>
      <c r="D470" s="3">
        <v>29</v>
      </c>
      <c r="E470" s="3">
        <v>2842.192</v>
      </c>
      <c r="F470" s="4" t="str">
        <f>HYPERLINK("http://141.218.60.56/~jnz1568/getInfo.php?workbook=26_25.xlsx&amp;sheet=A0&amp;row=470&amp;col=6&amp;number=1376000&amp;sourceID=14","1376000")</f>
        <v>1376000</v>
      </c>
      <c r="G470" s="4" t="str">
        <f>HYPERLINK("http://141.218.60.56/~jnz1568/getInfo.php?workbook=26_25.xlsx&amp;sheet=A0&amp;row=470&amp;col=7&amp;number=0&amp;sourceID=14","0")</f>
        <v>0</v>
      </c>
    </row>
    <row r="471" spans="1:7">
      <c r="A471" s="3">
        <v>26</v>
      </c>
      <c r="B471" s="3">
        <v>25</v>
      </c>
      <c r="C471" s="3">
        <v>78</v>
      </c>
      <c r="D471" s="3">
        <v>30</v>
      </c>
      <c r="E471" s="3">
        <v>2856.505</v>
      </c>
      <c r="F471" s="4" t="str">
        <f>HYPERLINK("http://141.218.60.56/~jnz1568/getInfo.php?workbook=26_25.xlsx&amp;sheet=A0&amp;row=471&amp;col=6&amp;number=14250000&amp;sourceID=14","14250000")</f>
        <v>14250000</v>
      </c>
      <c r="G471" s="4" t="str">
        <f>HYPERLINK("http://141.218.60.56/~jnz1568/getInfo.php?workbook=26_25.xlsx&amp;sheet=A0&amp;row=471&amp;col=7&amp;number=0&amp;sourceID=14","0")</f>
        <v>0</v>
      </c>
    </row>
    <row r="472" spans="1:7">
      <c r="A472" s="3">
        <v>26</v>
      </c>
      <c r="B472" s="3">
        <v>25</v>
      </c>
      <c r="C472" s="3">
        <v>78</v>
      </c>
      <c r="D472" s="3">
        <v>21</v>
      </c>
      <c r="E472" s="3">
        <v>2527.864</v>
      </c>
      <c r="F472" s="4" t="str">
        <f>HYPERLINK("http://141.218.60.56/~jnz1568/getInfo.php?workbook=26_25.xlsx&amp;sheet=A0&amp;row=472&amp;col=6&amp;number=17990000&amp;sourceID=14","17990000")</f>
        <v>17990000</v>
      </c>
      <c r="G472" s="4" t="str">
        <f>HYPERLINK("http://141.218.60.56/~jnz1568/getInfo.php?workbook=26_25.xlsx&amp;sheet=A0&amp;row=472&amp;col=7&amp;number=0&amp;sourceID=14","0")</f>
        <v>0</v>
      </c>
    </row>
    <row r="473" spans="1:7">
      <c r="A473" s="3">
        <v>26</v>
      </c>
      <c r="B473" s="3">
        <v>25</v>
      </c>
      <c r="C473" s="3">
        <v>78</v>
      </c>
      <c r="D473" s="3">
        <v>22</v>
      </c>
      <c r="E473" s="3">
        <v>2537.568</v>
      </c>
      <c r="F473" s="4" t="str">
        <f>HYPERLINK("http://141.218.60.56/~jnz1568/getInfo.php?workbook=26_25.xlsx&amp;sheet=A0&amp;row=473&amp;col=6&amp;number=219600000&amp;sourceID=14","219600000")</f>
        <v>219600000</v>
      </c>
      <c r="G473" s="4" t="str">
        <f>HYPERLINK("http://141.218.60.56/~jnz1568/getInfo.php?workbook=26_25.xlsx&amp;sheet=A0&amp;row=473&amp;col=7&amp;number=0&amp;sourceID=14","0")</f>
        <v>0</v>
      </c>
    </row>
    <row r="474" spans="1:7">
      <c r="A474" s="3">
        <v>26</v>
      </c>
      <c r="B474" s="3">
        <v>25</v>
      </c>
      <c r="C474" s="3">
        <v>78</v>
      </c>
      <c r="D474" s="3">
        <v>23</v>
      </c>
      <c r="E474" s="3">
        <v>2545.985</v>
      </c>
      <c r="F474" s="4" t="str">
        <f>HYPERLINK("http://141.218.60.56/~jnz1568/getInfo.php?workbook=26_25.xlsx&amp;sheet=A0&amp;row=474&amp;col=6&amp;number=13320000&amp;sourceID=14","13320000")</f>
        <v>13320000</v>
      </c>
      <c r="G474" s="4" t="str">
        <f>HYPERLINK("http://141.218.60.56/~jnz1568/getInfo.php?workbook=26_25.xlsx&amp;sheet=A0&amp;row=474&amp;col=7&amp;number=0&amp;sourceID=14","0")</f>
        <v>0</v>
      </c>
    </row>
    <row r="475" spans="1:7">
      <c r="A475" s="3">
        <v>26</v>
      </c>
      <c r="B475" s="3">
        <v>25</v>
      </c>
      <c r="C475" s="3">
        <v>79</v>
      </c>
      <c r="D475" s="3">
        <v>29</v>
      </c>
      <c r="E475" s="3">
        <v>2828.734</v>
      </c>
      <c r="F475" s="4" t="str">
        <f>HYPERLINK("http://141.218.60.56/~jnz1568/getInfo.php?workbook=26_25.xlsx&amp;sheet=A0&amp;row=475&amp;col=6&amp;number=29080&amp;sourceID=14","29080")</f>
        <v>29080</v>
      </c>
      <c r="G475" s="4" t="str">
        <f>HYPERLINK("http://141.218.60.56/~jnz1568/getInfo.php?workbook=26_25.xlsx&amp;sheet=A0&amp;row=475&amp;col=7&amp;number=0&amp;sourceID=14","0")</f>
        <v>0</v>
      </c>
    </row>
    <row r="476" spans="1:7">
      <c r="A476" s="3">
        <v>26</v>
      </c>
      <c r="B476" s="3">
        <v>25</v>
      </c>
      <c r="C476" s="3">
        <v>79</v>
      </c>
      <c r="D476" s="3">
        <v>30</v>
      </c>
      <c r="E476" s="3">
        <v>2842.911</v>
      </c>
      <c r="F476" s="4" t="str">
        <f>HYPERLINK("http://141.218.60.56/~jnz1568/getInfo.php?workbook=26_25.xlsx&amp;sheet=A0&amp;row=476&amp;col=6&amp;number=1300000&amp;sourceID=14","1300000")</f>
        <v>1300000</v>
      </c>
      <c r="G476" s="4" t="str">
        <f>HYPERLINK("http://141.218.60.56/~jnz1568/getInfo.php?workbook=26_25.xlsx&amp;sheet=A0&amp;row=476&amp;col=7&amp;number=0&amp;sourceID=14","0")</f>
        <v>0</v>
      </c>
    </row>
    <row r="477" spans="1:7">
      <c r="A477" s="3">
        <v>26</v>
      </c>
      <c r="B477" s="3">
        <v>25</v>
      </c>
      <c r="C477" s="3">
        <v>79</v>
      </c>
      <c r="D477" s="3">
        <v>31</v>
      </c>
      <c r="E477" s="3">
        <v>2848.888</v>
      </c>
      <c r="F477" s="4" t="str">
        <f>HYPERLINK("http://141.218.60.56/~jnz1568/getInfo.php?workbook=26_25.xlsx&amp;sheet=A0&amp;row=477&amp;col=6&amp;number=14450000&amp;sourceID=14","14450000")</f>
        <v>14450000</v>
      </c>
      <c r="G477" s="4" t="str">
        <f>HYPERLINK("http://141.218.60.56/~jnz1568/getInfo.php?workbook=26_25.xlsx&amp;sheet=A0&amp;row=477&amp;col=7&amp;number=0&amp;sourceID=14","0")</f>
        <v>0</v>
      </c>
    </row>
    <row r="478" spans="1:7">
      <c r="A478" s="3">
        <v>26</v>
      </c>
      <c r="B478" s="3">
        <v>25</v>
      </c>
      <c r="C478" s="3">
        <v>79</v>
      </c>
      <c r="D478" s="3">
        <v>22</v>
      </c>
      <c r="E478" s="3">
        <v>2526.835</v>
      </c>
      <c r="F478" s="4" t="str">
        <f>HYPERLINK("http://141.218.60.56/~jnz1568/getInfo.php?workbook=26_25.xlsx&amp;sheet=A0&amp;row=478&amp;col=6&amp;number=17030000&amp;sourceID=14","17030000")</f>
        <v>17030000</v>
      </c>
      <c r="G478" s="4" t="str">
        <f>HYPERLINK("http://141.218.60.56/~jnz1568/getInfo.php?workbook=26_25.xlsx&amp;sheet=A0&amp;row=478&amp;col=7&amp;number=0&amp;sourceID=14","0")</f>
        <v>0</v>
      </c>
    </row>
    <row r="479" spans="1:7">
      <c r="A479" s="3">
        <v>26</v>
      </c>
      <c r="B479" s="3">
        <v>25</v>
      </c>
      <c r="C479" s="3">
        <v>79</v>
      </c>
      <c r="D479" s="3">
        <v>23</v>
      </c>
      <c r="E479" s="3">
        <v>2535.181</v>
      </c>
      <c r="F479" s="4" t="str">
        <f>HYPERLINK("http://141.218.60.56/~jnz1568/getInfo.php?workbook=26_25.xlsx&amp;sheet=A0&amp;row=479&amp;col=6&amp;number=235200000&amp;sourceID=14","235200000")</f>
        <v>235200000</v>
      </c>
      <c r="G479" s="4" t="str">
        <f>HYPERLINK("http://141.218.60.56/~jnz1568/getInfo.php?workbook=26_25.xlsx&amp;sheet=A0&amp;row=479&amp;col=7&amp;number=0&amp;sourceID=14","0")</f>
        <v>0</v>
      </c>
    </row>
    <row r="480" spans="1:7">
      <c r="A480" s="3">
        <v>26</v>
      </c>
      <c r="B480" s="3">
        <v>25</v>
      </c>
      <c r="C480" s="3">
        <v>80</v>
      </c>
      <c r="D480" s="3">
        <v>20</v>
      </c>
      <c r="E480" s="3">
        <v>2494.014</v>
      </c>
      <c r="F480" s="4" t="str">
        <f>HYPERLINK("http://141.218.60.56/~jnz1568/getInfo.php?workbook=26_25.xlsx&amp;sheet=A0&amp;row=480&amp;col=6&amp;number=309100000&amp;sourceID=14","309100000")</f>
        <v>309100000</v>
      </c>
      <c r="G480" s="4" t="str">
        <f>HYPERLINK("http://141.218.60.56/~jnz1568/getInfo.php?workbook=26_25.xlsx&amp;sheet=A0&amp;row=480&amp;col=7&amp;number=0&amp;sourceID=14","0")</f>
        <v>0</v>
      </c>
    </row>
    <row r="481" spans="1:7">
      <c r="A481" s="3">
        <v>26</v>
      </c>
      <c r="B481" s="3">
        <v>25</v>
      </c>
      <c r="C481" s="3">
        <v>81</v>
      </c>
      <c r="D481" s="3">
        <v>20</v>
      </c>
      <c r="E481" s="3">
        <v>2482.868</v>
      </c>
      <c r="F481" s="4" t="str">
        <f>HYPERLINK("http://141.218.60.56/~jnz1568/getInfo.php?workbook=26_25.xlsx&amp;sheet=A0&amp;row=481&amp;col=6&amp;number=12000000&amp;sourceID=14","12000000")</f>
        <v>12000000</v>
      </c>
      <c r="G481" s="4" t="str">
        <f>HYPERLINK("http://141.218.60.56/~jnz1568/getInfo.php?workbook=26_25.xlsx&amp;sheet=A0&amp;row=481&amp;col=7&amp;number=0&amp;sourceID=14","0")</f>
        <v>0</v>
      </c>
    </row>
    <row r="482" spans="1:7">
      <c r="A482" s="3">
        <v>26</v>
      </c>
      <c r="B482" s="3">
        <v>25</v>
      </c>
      <c r="C482" s="3">
        <v>81</v>
      </c>
      <c r="D482" s="3">
        <v>21</v>
      </c>
      <c r="E482" s="3">
        <v>2493.936</v>
      </c>
      <c r="F482" s="4" t="str">
        <f>HYPERLINK("http://141.218.60.56/~jnz1568/getInfo.php?workbook=26_25.xlsx&amp;sheet=A0&amp;row=482&amp;col=6&amp;number=297300000&amp;sourceID=14","297300000")</f>
        <v>297300000</v>
      </c>
      <c r="G482" s="4" t="str">
        <f>HYPERLINK("http://141.218.60.56/~jnz1568/getInfo.php?workbook=26_25.xlsx&amp;sheet=A0&amp;row=482&amp;col=7&amp;number=0&amp;sourceID=14","0")</f>
        <v>0</v>
      </c>
    </row>
    <row r="483" spans="1:7">
      <c r="A483" s="3">
        <v>26</v>
      </c>
      <c r="B483" s="3">
        <v>25</v>
      </c>
      <c r="C483" s="3">
        <v>82</v>
      </c>
      <c r="D483" s="3">
        <v>20</v>
      </c>
      <c r="E483" s="3">
        <v>2479.199</v>
      </c>
      <c r="F483" s="4" t="str">
        <f>HYPERLINK("http://141.218.60.56/~jnz1568/getInfo.php?workbook=26_25.xlsx&amp;sheet=A0&amp;row=483&amp;col=6&amp;number=190700&amp;sourceID=14","190700")</f>
        <v>190700</v>
      </c>
      <c r="G483" s="4" t="str">
        <f>HYPERLINK("http://141.218.60.56/~jnz1568/getInfo.php?workbook=26_25.xlsx&amp;sheet=A0&amp;row=483&amp;col=7&amp;number=0&amp;sourceID=14","0")</f>
        <v>0</v>
      </c>
    </row>
    <row r="484" spans="1:7">
      <c r="A484" s="3">
        <v>26</v>
      </c>
      <c r="B484" s="3">
        <v>25</v>
      </c>
      <c r="C484" s="3">
        <v>82</v>
      </c>
      <c r="D484" s="3">
        <v>21</v>
      </c>
      <c r="E484" s="3">
        <v>2490.235</v>
      </c>
      <c r="F484" s="4" t="str">
        <f>HYPERLINK("http://141.218.60.56/~jnz1568/getInfo.php?workbook=26_25.xlsx&amp;sheet=A0&amp;row=484&amp;col=6&amp;number=18350000&amp;sourceID=14","18350000")</f>
        <v>18350000</v>
      </c>
      <c r="G484" s="4" t="str">
        <f>HYPERLINK("http://141.218.60.56/~jnz1568/getInfo.php?workbook=26_25.xlsx&amp;sheet=A0&amp;row=484&amp;col=7&amp;number=0&amp;sourceID=14","0")</f>
        <v>0</v>
      </c>
    </row>
    <row r="485" spans="1:7">
      <c r="A485" s="3">
        <v>26</v>
      </c>
      <c r="B485" s="3">
        <v>25</v>
      </c>
      <c r="C485" s="3">
        <v>82</v>
      </c>
      <c r="D485" s="3">
        <v>22</v>
      </c>
      <c r="E485" s="3">
        <v>2499.651</v>
      </c>
      <c r="F485" s="4" t="str">
        <f>HYPERLINK("http://141.218.60.56/~jnz1568/getInfo.php?workbook=26_25.xlsx&amp;sheet=A0&amp;row=485&amp;col=6&amp;number=288400000&amp;sourceID=14","288400000")</f>
        <v>288400000</v>
      </c>
      <c r="G485" s="4" t="str">
        <f>HYPERLINK("http://141.218.60.56/~jnz1568/getInfo.php?workbook=26_25.xlsx&amp;sheet=A0&amp;row=485&amp;col=7&amp;number=0&amp;sourceID=14","0")</f>
        <v>0</v>
      </c>
    </row>
    <row r="486" spans="1:7">
      <c r="A486" s="3">
        <v>26</v>
      </c>
      <c r="B486" s="3">
        <v>25</v>
      </c>
      <c r="C486" s="3">
        <v>83</v>
      </c>
      <c r="D486" s="3">
        <v>21</v>
      </c>
      <c r="E486" s="3">
        <v>2494.868</v>
      </c>
      <c r="F486" s="4" t="str">
        <f>HYPERLINK("http://141.218.60.56/~jnz1568/getInfo.php?workbook=26_25.xlsx&amp;sheet=A0&amp;row=486&amp;col=6&amp;number=252600&amp;sourceID=14","252600")</f>
        <v>252600</v>
      </c>
      <c r="G486" s="4" t="str">
        <f>HYPERLINK("http://141.218.60.56/~jnz1568/getInfo.php?workbook=26_25.xlsx&amp;sheet=A0&amp;row=486&amp;col=7&amp;number=0&amp;sourceID=14","0")</f>
        <v>0</v>
      </c>
    </row>
    <row r="487" spans="1:7">
      <c r="A487" s="3">
        <v>26</v>
      </c>
      <c r="B487" s="3">
        <v>25</v>
      </c>
      <c r="C487" s="3">
        <v>83</v>
      </c>
      <c r="D487" s="3">
        <v>22</v>
      </c>
      <c r="E487" s="3">
        <v>2504.32</v>
      </c>
      <c r="F487" s="4" t="str">
        <f>HYPERLINK("http://141.218.60.56/~jnz1568/getInfo.php?workbook=26_25.xlsx&amp;sheet=A0&amp;row=487&amp;col=6&amp;number=21650000&amp;sourceID=14","21650000")</f>
        <v>21650000</v>
      </c>
      <c r="G487" s="4" t="str">
        <f>HYPERLINK("http://141.218.60.56/~jnz1568/getInfo.php?workbook=26_25.xlsx&amp;sheet=A0&amp;row=487&amp;col=7&amp;number=0&amp;sourceID=14","0")</f>
        <v>0</v>
      </c>
    </row>
    <row r="488" spans="1:7">
      <c r="A488" s="3">
        <v>26</v>
      </c>
      <c r="B488" s="3">
        <v>25</v>
      </c>
      <c r="C488" s="3">
        <v>83</v>
      </c>
      <c r="D488" s="3">
        <v>23</v>
      </c>
      <c r="E488" s="3">
        <v>2512.518</v>
      </c>
      <c r="F488" s="4" t="str">
        <f>HYPERLINK("http://141.218.60.56/~jnz1568/getInfo.php?workbook=26_25.xlsx&amp;sheet=A0&amp;row=488&amp;col=6&amp;number=285800000&amp;sourceID=14","285800000")</f>
        <v>285800000</v>
      </c>
      <c r="G488" s="4" t="str">
        <f>HYPERLINK("http://141.218.60.56/~jnz1568/getInfo.php?workbook=26_25.xlsx&amp;sheet=A0&amp;row=488&amp;col=7&amp;number=0&amp;sourceID=14","0")</f>
        <v>0</v>
      </c>
    </row>
    <row r="489" spans="1:7">
      <c r="A489" s="3">
        <v>26</v>
      </c>
      <c r="B489" s="3">
        <v>25</v>
      </c>
      <c r="C489" s="3">
        <v>84</v>
      </c>
      <c r="D489" s="3">
        <v>14</v>
      </c>
      <c r="E489" s="3">
        <v>2072.467</v>
      </c>
      <c r="F489" s="4" t="str">
        <f>HYPERLINK("http://141.218.60.56/~jnz1568/getInfo.php?workbook=26_25.xlsx&amp;sheet=A0&amp;row=489&amp;col=6&amp;number=89890000&amp;sourceID=14","89890000")</f>
        <v>89890000</v>
      </c>
      <c r="G489" s="4" t="str">
        <f>HYPERLINK("http://141.218.60.56/~jnz1568/getInfo.php?workbook=26_25.xlsx&amp;sheet=A0&amp;row=489&amp;col=7&amp;number=0&amp;sourceID=14","0")</f>
        <v>0</v>
      </c>
    </row>
    <row r="490" spans="1:7">
      <c r="A490" s="3">
        <v>26</v>
      </c>
      <c r="B490" s="3">
        <v>25</v>
      </c>
      <c r="C490" s="3">
        <v>84</v>
      </c>
      <c r="D490" s="3">
        <v>17</v>
      </c>
      <c r="E490" s="3">
        <v>2445.257</v>
      </c>
      <c r="F490" s="4" t="str">
        <f>HYPERLINK("http://141.218.60.56/~jnz1568/getInfo.php?workbook=26_25.xlsx&amp;sheet=A0&amp;row=490&amp;col=6&amp;number=261000000&amp;sourceID=14","261000000")</f>
        <v>261000000</v>
      </c>
      <c r="G490" s="4" t="str">
        <f>HYPERLINK("http://141.218.60.56/~jnz1568/getInfo.php?workbook=26_25.xlsx&amp;sheet=A0&amp;row=490&amp;col=7&amp;number=0&amp;sourceID=14","0")</f>
        <v>0</v>
      </c>
    </row>
    <row r="491" spans="1:7">
      <c r="A491" s="3">
        <v>26</v>
      </c>
      <c r="B491" s="3">
        <v>25</v>
      </c>
      <c r="C491" s="3">
        <v>84</v>
      </c>
      <c r="D491" s="3">
        <v>10</v>
      </c>
      <c r="E491" s="3">
        <v>1859.746</v>
      </c>
      <c r="F491" s="4" t="str">
        <f>HYPERLINK("http://141.218.60.56/~jnz1568/getInfo.php?workbook=26_25.xlsx&amp;sheet=A0&amp;row=491&amp;col=6&amp;number=7069000&amp;sourceID=14","7069000")</f>
        <v>7069000</v>
      </c>
      <c r="G491" s="4" t="str">
        <f>HYPERLINK("http://141.218.60.56/~jnz1568/getInfo.php?workbook=26_25.xlsx&amp;sheet=A0&amp;row=491&amp;col=7&amp;number=0&amp;sourceID=14","0")</f>
        <v>0</v>
      </c>
    </row>
    <row r="492" spans="1:7">
      <c r="A492" s="3">
        <v>26</v>
      </c>
      <c r="B492" s="3">
        <v>25</v>
      </c>
      <c r="C492" s="3">
        <v>84</v>
      </c>
      <c r="D492" s="3">
        <v>11</v>
      </c>
      <c r="E492" s="3">
        <v>1874.972</v>
      </c>
      <c r="F492" s="4" t="str">
        <f>HYPERLINK("http://141.218.60.56/~jnz1568/getInfo.php?workbook=26_25.xlsx&amp;sheet=A0&amp;row=492&amp;col=6&amp;number=1146000&amp;sourceID=14","1146000")</f>
        <v>1146000</v>
      </c>
      <c r="G492" s="4" t="str">
        <f>HYPERLINK("http://141.218.60.56/~jnz1568/getInfo.php?workbook=26_25.xlsx&amp;sheet=A0&amp;row=492&amp;col=7&amp;number=0&amp;sourceID=14","0")</f>
        <v>0</v>
      </c>
    </row>
    <row r="493" spans="1:7">
      <c r="A493" s="3">
        <v>26</v>
      </c>
      <c r="B493" s="3">
        <v>25</v>
      </c>
      <c r="C493" s="3">
        <v>84</v>
      </c>
      <c r="D493" s="3">
        <v>32</v>
      </c>
      <c r="E493" s="3">
        <v>3306.561</v>
      </c>
      <c r="F493" s="4" t="str">
        <f>HYPERLINK("http://141.218.60.56/~jnz1568/getInfo.php?workbook=26_25.xlsx&amp;sheet=A0&amp;row=493&amp;col=6&amp;number=11740&amp;sourceID=14","11740")</f>
        <v>11740</v>
      </c>
      <c r="G493" s="4" t="str">
        <f>HYPERLINK("http://141.218.60.56/~jnz1568/getInfo.php?workbook=26_25.xlsx&amp;sheet=A0&amp;row=493&amp;col=7&amp;number=0&amp;sourceID=14","0")</f>
        <v>0</v>
      </c>
    </row>
    <row r="494" spans="1:7">
      <c r="A494" s="3">
        <v>26</v>
      </c>
      <c r="B494" s="3">
        <v>25</v>
      </c>
      <c r="C494" s="3">
        <v>84</v>
      </c>
      <c r="D494" s="3">
        <v>6</v>
      </c>
      <c r="E494" s="3">
        <v>1670.746</v>
      </c>
      <c r="F494" s="4" t="str">
        <f>HYPERLINK("http://141.218.60.56/~jnz1568/getInfo.php?workbook=26_25.xlsx&amp;sheet=A0&amp;row=494&amp;col=6&amp;number=104000000&amp;sourceID=14","104000000")</f>
        <v>104000000</v>
      </c>
      <c r="G494" s="4" t="str">
        <f>HYPERLINK("http://141.218.60.56/~jnz1568/getInfo.php?workbook=26_25.xlsx&amp;sheet=A0&amp;row=494&amp;col=7&amp;number=0&amp;sourceID=14","0")</f>
        <v>0</v>
      </c>
    </row>
    <row r="495" spans="1:7">
      <c r="A495" s="3">
        <v>26</v>
      </c>
      <c r="B495" s="3">
        <v>25</v>
      </c>
      <c r="C495" s="3">
        <v>84</v>
      </c>
      <c r="D495" s="3">
        <v>7</v>
      </c>
      <c r="E495" s="3">
        <v>1686.455</v>
      </c>
      <c r="F495" s="4" t="str">
        <f>HYPERLINK("http://141.218.60.56/~jnz1568/getInfo.php?workbook=26_25.xlsx&amp;sheet=A0&amp;row=495&amp;col=6&amp;number=11530000&amp;sourceID=14","11530000")</f>
        <v>11530000</v>
      </c>
      <c r="G495" s="4" t="str">
        <f>HYPERLINK("http://141.218.60.56/~jnz1568/getInfo.php?workbook=26_25.xlsx&amp;sheet=A0&amp;row=495&amp;col=7&amp;number=0&amp;sourceID=14","0")</f>
        <v>0</v>
      </c>
    </row>
    <row r="496" spans="1:7">
      <c r="A496" s="3">
        <v>26</v>
      </c>
      <c r="B496" s="3">
        <v>25</v>
      </c>
      <c r="C496" s="3">
        <v>84</v>
      </c>
      <c r="D496" s="3">
        <v>8</v>
      </c>
      <c r="E496" s="3">
        <v>1698.135</v>
      </c>
      <c r="F496" s="4" t="str">
        <f>HYPERLINK("http://141.218.60.56/~jnz1568/getInfo.php?workbook=26_25.xlsx&amp;sheet=A0&amp;row=496&amp;col=6&amp;number=574500&amp;sourceID=14","574500")</f>
        <v>574500</v>
      </c>
      <c r="G496" s="4" t="str">
        <f>HYPERLINK("http://141.218.60.56/~jnz1568/getInfo.php?workbook=26_25.xlsx&amp;sheet=A0&amp;row=496&amp;col=7&amp;number=0&amp;sourceID=14","0")</f>
        <v>0</v>
      </c>
    </row>
    <row r="497" spans="1:7">
      <c r="A497" s="3">
        <v>26</v>
      </c>
      <c r="B497" s="3">
        <v>25</v>
      </c>
      <c r="C497" s="3">
        <v>84</v>
      </c>
      <c r="D497" s="3">
        <v>24</v>
      </c>
      <c r="E497" s="3">
        <v>2558.273</v>
      </c>
      <c r="F497" s="4" t="str">
        <f>HYPERLINK("http://141.218.60.56/~jnz1568/getInfo.php?workbook=26_25.xlsx&amp;sheet=A0&amp;row=497&amp;col=6&amp;number=2475000&amp;sourceID=14","2475000")</f>
        <v>2475000</v>
      </c>
      <c r="G497" s="4" t="str">
        <f>HYPERLINK("http://141.218.60.56/~jnz1568/getInfo.php?workbook=26_25.xlsx&amp;sheet=A0&amp;row=497&amp;col=7&amp;number=0&amp;sourceID=14","0")</f>
        <v>0</v>
      </c>
    </row>
    <row r="498" spans="1:7">
      <c r="A498" s="3">
        <v>26</v>
      </c>
      <c r="B498" s="3">
        <v>25</v>
      </c>
      <c r="C498" s="3">
        <v>84</v>
      </c>
      <c r="D498" s="3">
        <v>25</v>
      </c>
      <c r="E498" s="3">
        <v>2569.656</v>
      </c>
      <c r="F498" s="4" t="str">
        <f>HYPERLINK("http://141.218.60.56/~jnz1568/getInfo.php?workbook=26_25.xlsx&amp;sheet=A0&amp;row=498&amp;col=6&amp;number=278400&amp;sourceID=14","278400")</f>
        <v>278400</v>
      </c>
      <c r="G498" s="4" t="str">
        <f>HYPERLINK("http://141.218.60.56/~jnz1568/getInfo.php?workbook=26_25.xlsx&amp;sheet=A0&amp;row=498&amp;col=7&amp;number=0&amp;sourceID=14","0")</f>
        <v>0</v>
      </c>
    </row>
    <row r="499" spans="1:7">
      <c r="A499" s="3">
        <v>26</v>
      </c>
      <c r="B499" s="3">
        <v>25</v>
      </c>
      <c r="C499" s="3">
        <v>84</v>
      </c>
      <c r="D499" s="3">
        <v>26</v>
      </c>
      <c r="E499" s="3">
        <v>2578.202</v>
      </c>
      <c r="F499" s="4" t="str">
        <f>HYPERLINK("http://141.218.60.56/~jnz1568/getInfo.php?workbook=26_25.xlsx&amp;sheet=A0&amp;row=499&amp;col=6&amp;number=14030&amp;sourceID=14","14030")</f>
        <v>14030</v>
      </c>
      <c r="G499" s="4" t="str">
        <f>HYPERLINK("http://141.218.60.56/~jnz1568/getInfo.php?workbook=26_25.xlsx&amp;sheet=A0&amp;row=499&amp;col=7&amp;number=0&amp;sourceID=14","0")</f>
        <v>0</v>
      </c>
    </row>
    <row r="500" spans="1:7">
      <c r="A500" s="3">
        <v>26</v>
      </c>
      <c r="B500" s="3">
        <v>25</v>
      </c>
      <c r="C500" s="3">
        <v>84</v>
      </c>
      <c r="D500" s="3">
        <v>61</v>
      </c>
      <c r="E500" s="3">
        <v>8644.07</v>
      </c>
      <c r="F500" s="4" t="str">
        <f>HYPERLINK("http://141.218.60.56/~jnz1568/getInfo.php?workbook=26_25.xlsx&amp;sheet=A0&amp;row=500&amp;col=6&amp;number=8313&amp;sourceID=14","8313")</f>
        <v>8313</v>
      </c>
      <c r="G500" s="4" t="str">
        <f>HYPERLINK("http://141.218.60.56/~jnz1568/getInfo.php?workbook=26_25.xlsx&amp;sheet=A0&amp;row=500&amp;col=7&amp;number=0&amp;sourceID=14","0")</f>
        <v>0</v>
      </c>
    </row>
    <row r="501" spans="1:7">
      <c r="A501" s="3">
        <v>26</v>
      </c>
      <c r="B501" s="3">
        <v>25</v>
      </c>
      <c r="C501" s="3">
        <v>85</v>
      </c>
      <c r="D501" s="3">
        <v>14</v>
      </c>
      <c r="E501" s="3">
        <v>2031.881</v>
      </c>
      <c r="F501" s="4" t="str">
        <f>HYPERLINK("http://141.218.60.56/~jnz1568/getInfo.php?workbook=26_25.xlsx&amp;sheet=A0&amp;row=501&amp;col=6&amp;number=28620000&amp;sourceID=14","28620000")</f>
        <v>28620000</v>
      </c>
      <c r="G501" s="4" t="str">
        <f>HYPERLINK("http://141.218.60.56/~jnz1568/getInfo.php?workbook=26_25.xlsx&amp;sheet=A0&amp;row=501&amp;col=7&amp;number=0&amp;sourceID=14","0")</f>
        <v>0</v>
      </c>
    </row>
    <row r="502" spans="1:7">
      <c r="A502" s="3">
        <v>26</v>
      </c>
      <c r="B502" s="3">
        <v>25</v>
      </c>
      <c r="C502" s="3">
        <v>85</v>
      </c>
      <c r="D502" s="3">
        <v>15</v>
      </c>
      <c r="E502" s="3">
        <v>2040.121</v>
      </c>
      <c r="F502" s="4" t="str">
        <f>HYPERLINK("http://141.218.60.56/~jnz1568/getInfo.php?workbook=26_25.xlsx&amp;sheet=A0&amp;row=502&amp;col=6&amp;number=65960000&amp;sourceID=14","65960000")</f>
        <v>65960000</v>
      </c>
      <c r="G502" s="4" t="str">
        <f>HYPERLINK("http://141.218.60.56/~jnz1568/getInfo.php?workbook=26_25.xlsx&amp;sheet=A0&amp;row=502&amp;col=7&amp;number=0&amp;sourceID=14","0")</f>
        <v>0</v>
      </c>
    </row>
    <row r="503" spans="1:7">
      <c r="A503" s="3">
        <v>26</v>
      </c>
      <c r="B503" s="3">
        <v>25</v>
      </c>
      <c r="C503" s="3">
        <v>85</v>
      </c>
      <c r="D503" s="3">
        <v>17</v>
      </c>
      <c r="E503" s="3">
        <v>2388.956</v>
      </c>
      <c r="F503" s="4" t="str">
        <f>HYPERLINK("http://141.218.60.56/~jnz1568/getInfo.php?workbook=26_25.xlsx&amp;sheet=A0&amp;row=503&amp;col=6&amp;number=83960000&amp;sourceID=14","83960000")</f>
        <v>83960000</v>
      </c>
      <c r="G503" s="4" t="str">
        <f>HYPERLINK("http://141.218.60.56/~jnz1568/getInfo.php?workbook=26_25.xlsx&amp;sheet=A0&amp;row=503&amp;col=7&amp;number=0&amp;sourceID=14","0")</f>
        <v>0</v>
      </c>
    </row>
    <row r="504" spans="1:7">
      <c r="A504" s="3">
        <v>26</v>
      </c>
      <c r="B504" s="3">
        <v>25</v>
      </c>
      <c r="C504" s="3">
        <v>85</v>
      </c>
      <c r="D504" s="3">
        <v>18</v>
      </c>
      <c r="E504" s="3">
        <v>2446.314</v>
      </c>
      <c r="F504" s="4" t="str">
        <f>HYPERLINK("http://141.218.60.56/~jnz1568/getInfo.php?workbook=26_25.xlsx&amp;sheet=A0&amp;row=504&amp;col=6&amp;number=182400000&amp;sourceID=14","182400000")</f>
        <v>182400000</v>
      </c>
      <c r="G504" s="4" t="str">
        <f>HYPERLINK("http://141.218.60.56/~jnz1568/getInfo.php?workbook=26_25.xlsx&amp;sheet=A0&amp;row=504&amp;col=7&amp;number=0&amp;sourceID=14","0")</f>
        <v>0</v>
      </c>
    </row>
    <row r="505" spans="1:7">
      <c r="A505" s="3">
        <v>26</v>
      </c>
      <c r="B505" s="3">
        <v>25</v>
      </c>
      <c r="C505" s="3">
        <v>85</v>
      </c>
      <c r="D505" s="3">
        <v>10</v>
      </c>
      <c r="E505" s="3">
        <v>1826.999</v>
      </c>
      <c r="F505" s="4" t="str">
        <f>HYPERLINK("http://141.218.60.56/~jnz1568/getInfo.php?workbook=26_25.xlsx&amp;sheet=A0&amp;row=505&amp;col=6&amp;number=1652000&amp;sourceID=14","1652000")</f>
        <v>1652000</v>
      </c>
      <c r="G505" s="4" t="str">
        <f>HYPERLINK("http://141.218.60.56/~jnz1568/getInfo.php?workbook=26_25.xlsx&amp;sheet=A0&amp;row=505&amp;col=7&amp;number=0&amp;sourceID=14","0")</f>
        <v>0</v>
      </c>
    </row>
    <row r="506" spans="1:7">
      <c r="A506" s="3">
        <v>26</v>
      </c>
      <c r="B506" s="3">
        <v>25</v>
      </c>
      <c r="C506" s="3">
        <v>85</v>
      </c>
      <c r="D506" s="3">
        <v>11</v>
      </c>
      <c r="E506" s="3">
        <v>1841.69</v>
      </c>
      <c r="F506" s="4" t="str">
        <f>HYPERLINK("http://141.218.60.56/~jnz1568/getInfo.php?workbook=26_25.xlsx&amp;sheet=A0&amp;row=506&amp;col=6&amp;number=4867000&amp;sourceID=14","4867000")</f>
        <v>4867000</v>
      </c>
      <c r="G506" s="4" t="str">
        <f>HYPERLINK("http://141.218.60.56/~jnz1568/getInfo.php?workbook=26_25.xlsx&amp;sheet=A0&amp;row=506&amp;col=7&amp;number=0&amp;sourceID=14","0")</f>
        <v>0</v>
      </c>
    </row>
    <row r="507" spans="1:7">
      <c r="A507" s="3">
        <v>26</v>
      </c>
      <c r="B507" s="3">
        <v>25</v>
      </c>
      <c r="C507" s="3">
        <v>85</v>
      </c>
      <c r="D507" s="3">
        <v>12</v>
      </c>
      <c r="E507" s="3">
        <v>1851.529</v>
      </c>
      <c r="F507" s="4" t="str">
        <f>HYPERLINK("http://141.218.60.56/~jnz1568/getInfo.php?workbook=26_25.xlsx&amp;sheet=A0&amp;row=507&amp;col=6&amp;number=1949000&amp;sourceID=14","1949000")</f>
        <v>1949000</v>
      </c>
      <c r="G507" s="4" t="str">
        <f>HYPERLINK("http://141.218.60.56/~jnz1568/getInfo.php?workbook=26_25.xlsx&amp;sheet=A0&amp;row=507&amp;col=7&amp;number=0&amp;sourceID=14","0")</f>
        <v>0</v>
      </c>
    </row>
    <row r="508" spans="1:7">
      <c r="A508" s="3">
        <v>26</v>
      </c>
      <c r="B508" s="3">
        <v>25</v>
      </c>
      <c r="C508" s="3">
        <v>85</v>
      </c>
      <c r="D508" s="3">
        <v>33</v>
      </c>
      <c r="E508" s="3">
        <v>3194.691</v>
      </c>
      <c r="F508" s="4" t="str">
        <f>HYPERLINK("http://141.218.60.56/~jnz1568/getInfo.php?workbook=26_25.xlsx&amp;sheet=A0&amp;row=508&amp;col=6&amp;number=8704&amp;sourceID=14","8704")</f>
        <v>8704</v>
      </c>
      <c r="G508" s="4" t="str">
        <f>HYPERLINK("http://141.218.60.56/~jnz1568/getInfo.php?workbook=26_25.xlsx&amp;sheet=A0&amp;row=508&amp;col=7&amp;number=0&amp;sourceID=14","0")</f>
        <v>0</v>
      </c>
    </row>
    <row r="509" spans="1:7">
      <c r="A509" s="3">
        <v>26</v>
      </c>
      <c r="B509" s="3">
        <v>25</v>
      </c>
      <c r="C509" s="3">
        <v>85</v>
      </c>
      <c r="D509" s="3">
        <v>7</v>
      </c>
      <c r="E509" s="3">
        <v>1659.482</v>
      </c>
      <c r="F509" s="4" t="str">
        <f>HYPERLINK("http://141.218.60.56/~jnz1568/getInfo.php?workbook=26_25.xlsx&amp;sheet=A0&amp;row=509&amp;col=6&amp;number=97070000&amp;sourceID=14","97070000")</f>
        <v>97070000</v>
      </c>
      <c r="G509" s="4" t="str">
        <f>HYPERLINK("http://141.218.60.56/~jnz1568/getInfo.php?workbook=26_25.xlsx&amp;sheet=A0&amp;row=509&amp;col=7&amp;number=0&amp;sourceID=14","0")</f>
        <v>0</v>
      </c>
    </row>
    <row r="510" spans="1:7">
      <c r="A510" s="3">
        <v>26</v>
      </c>
      <c r="B510" s="3">
        <v>25</v>
      </c>
      <c r="C510" s="3">
        <v>85</v>
      </c>
      <c r="D510" s="3">
        <v>8</v>
      </c>
      <c r="E510" s="3">
        <v>1670.79</v>
      </c>
      <c r="F510" s="4" t="str">
        <f>HYPERLINK("http://141.218.60.56/~jnz1568/getInfo.php?workbook=26_25.xlsx&amp;sheet=A0&amp;row=510&amp;col=6&amp;number=20240000&amp;sourceID=14","20240000")</f>
        <v>20240000</v>
      </c>
      <c r="G510" s="4" t="str">
        <f>HYPERLINK("http://141.218.60.56/~jnz1568/getInfo.php?workbook=26_25.xlsx&amp;sheet=A0&amp;row=510&amp;col=7&amp;number=0&amp;sourceID=14","0")</f>
        <v>0</v>
      </c>
    </row>
    <row r="511" spans="1:7">
      <c r="A511" s="3">
        <v>26</v>
      </c>
      <c r="B511" s="3">
        <v>25</v>
      </c>
      <c r="C511" s="3">
        <v>85</v>
      </c>
      <c r="D511" s="3">
        <v>9</v>
      </c>
      <c r="E511" s="3">
        <v>1678.629</v>
      </c>
      <c r="F511" s="4" t="str">
        <f>HYPERLINK("http://141.218.60.56/~jnz1568/getInfo.php?workbook=26_25.xlsx&amp;sheet=A0&amp;row=511&amp;col=6&amp;number=1094000&amp;sourceID=14","1094000")</f>
        <v>1094000</v>
      </c>
      <c r="G511" s="4" t="str">
        <f>HYPERLINK("http://141.218.60.56/~jnz1568/getInfo.php?workbook=26_25.xlsx&amp;sheet=A0&amp;row=511&amp;col=7&amp;number=0&amp;sourceID=14","0")</f>
        <v>0</v>
      </c>
    </row>
    <row r="512" spans="1:7">
      <c r="A512" s="3">
        <v>26</v>
      </c>
      <c r="B512" s="3">
        <v>25</v>
      </c>
      <c r="C512" s="3">
        <v>85</v>
      </c>
      <c r="D512" s="3">
        <v>25</v>
      </c>
      <c r="E512" s="3">
        <v>2507.553</v>
      </c>
      <c r="F512" s="4" t="str">
        <f>HYPERLINK("http://141.218.60.56/~jnz1568/getInfo.php?workbook=26_25.xlsx&amp;sheet=A0&amp;row=512&amp;col=6&amp;number=2404000&amp;sourceID=14","2404000")</f>
        <v>2404000</v>
      </c>
      <c r="G512" s="4" t="str">
        <f>HYPERLINK("http://141.218.60.56/~jnz1568/getInfo.php?workbook=26_25.xlsx&amp;sheet=A0&amp;row=512&amp;col=7&amp;number=0&amp;sourceID=14","0")</f>
        <v>0</v>
      </c>
    </row>
    <row r="513" spans="1:7">
      <c r="A513" s="3">
        <v>26</v>
      </c>
      <c r="B513" s="3">
        <v>25</v>
      </c>
      <c r="C513" s="3">
        <v>85</v>
      </c>
      <c r="D513" s="3">
        <v>26</v>
      </c>
      <c r="E513" s="3">
        <v>2515.69</v>
      </c>
      <c r="F513" s="4" t="str">
        <f>HYPERLINK("http://141.218.60.56/~jnz1568/getInfo.php?workbook=26_25.xlsx&amp;sheet=A0&amp;row=513&amp;col=6&amp;number=506700&amp;sourceID=14","506700")</f>
        <v>506700</v>
      </c>
      <c r="G513" s="4" t="str">
        <f>HYPERLINK("http://141.218.60.56/~jnz1568/getInfo.php?workbook=26_25.xlsx&amp;sheet=A0&amp;row=513&amp;col=7&amp;number=0&amp;sourceID=14","0")</f>
        <v>0</v>
      </c>
    </row>
    <row r="514" spans="1:7">
      <c r="A514" s="3">
        <v>26</v>
      </c>
      <c r="B514" s="3">
        <v>25</v>
      </c>
      <c r="C514" s="3">
        <v>85</v>
      </c>
      <c r="D514" s="3">
        <v>27</v>
      </c>
      <c r="E514" s="3">
        <v>2521.523</v>
      </c>
      <c r="F514" s="4" t="str">
        <f>HYPERLINK("http://141.218.60.56/~jnz1568/getInfo.php?workbook=26_25.xlsx&amp;sheet=A0&amp;row=514&amp;col=6&amp;number=27570&amp;sourceID=14","27570")</f>
        <v>27570</v>
      </c>
      <c r="G514" s="4" t="str">
        <f>HYPERLINK("http://141.218.60.56/~jnz1568/getInfo.php?workbook=26_25.xlsx&amp;sheet=A0&amp;row=514&amp;col=7&amp;number=0&amp;sourceID=14","0")</f>
        <v>0</v>
      </c>
    </row>
    <row r="515" spans="1:7">
      <c r="A515" s="3">
        <v>26</v>
      </c>
      <c r="B515" s="3">
        <v>25</v>
      </c>
      <c r="C515" s="3">
        <v>85</v>
      </c>
      <c r="D515" s="3">
        <v>62</v>
      </c>
      <c r="E515" s="3">
        <v>7998.678</v>
      </c>
      <c r="F515" s="4" t="str">
        <f>HYPERLINK("http://141.218.60.56/~jnz1568/getInfo.php?workbook=26_25.xlsx&amp;sheet=A0&amp;row=515&amp;col=6&amp;number=9595&amp;sourceID=14","9595")</f>
        <v>9595</v>
      </c>
      <c r="G515" s="4" t="str">
        <f>HYPERLINK("http://141.218.60.56/~jnz1568/getInfo.php?workbook=26_25.xlsx&amp;sheet=A0&amp;row=515&amp;col=7&amp;number=0&amp;sourceID=14","0")</f>
        <v>0</v>
      </c>
    </row>
    <row r="516" spans="1:7">
      <c r="A516" s="3">
        <v>26</v>
      </c>
      <c r="B516" s="3">
        <v>25</v>
      </c>
      <c r="C516" s="3">
        <v>86</v>
      </c>
      <c r="D516" s="3">
        <v>14</v>
      </c>
      <c r="E516" s="3">
        <v>2020.7</v>
      </c>
      <c r="F516" s="4" t="str">
        <f>HYPERLINK("http://141.218.60.56/~jnz1568/getInfo.php?workbook=26_25.xlsx&amp;sheet=A0&amp;row=516&amp;col=6&amp;number=4849000&amp;sourceID=14","4849000")</f>
        <v>4849000</v>
      </c>
      <c r="G516" s="4" t="str">
        <f>HYPERLINK("http://141.218.60.56/~jnz1568/getInfo.php?workbook=26_25.xlsx&amp;sheet=A0&amp;row=516&amp;col=7&amp;number=0&amp;sourceID=14","0")</f>
        <v>0</v>
      </c>
    </row>
    <row r="517" spans="1:7">
      <c r="A517" s="3">
        <v>26</v>
      </c>
      <c r="B517" s="3">
        <v>25</v>
      </c>
      <c r="C517" s="3">
        <v>86</v>
      </c>
      <c r="D517" s="3">
        <v>15</v>
      </c>
      <c r="E517" s="3">
        <v>2028.849</v>
      </c>
      <c r="F517" s="4" t="str">
        <f>HYPERLINK("http://141.218.60.56/~jnz1568/getInfo.php?workbook=26_25.xlsx&amp;sheet=A0&amp;row=517&amp;col=6&amp;number=51100000&amp;sourceID=14","51100000")</f>
        <v>51100000</v>
      </c>
      <c r="G517" s="4" t="str">
        <f>HYPERLINK("http://141.218.60.56/~jnz1568/getInfo.php?workbook=26_25.xlsx&amp;sheet=A0&amp;row=517&amp;col=7&amp;number=0&amp;sourceID=14","0")</f>
        <v>0</v>
      </c>
    </row>
    <row r="518" spans="1:7">
      <c r="A518" s="3">
        <v>26</v>
      </c>
      <c r="B518" s="3">
        <v>25</v>
      </c>
      <c r="C518" s="3">
        <v>86</v>
      </c>
      <c r="D518" s="3">
        <v>16</v>
      </c>
      <c r="E518" s="3">
        <v>2038.429</v>
      </c>
      <c r="F518" s="4" t="str">
        <f>HYPERLINK("http://141.218.60.56/~jnz1568/getInfo.php?workbook=26_25.xlsx&amp;sheet=A0&amp;row=518&amp;col=6&amp;number=39360000&amp;sourceID=14","39360000")</f>
        <v>39360000</v>
      </c>
      <c r="G518" s="4" t="str">
        <f>HYPERLINK("http://141.218.60.56/~jnz1568/getInfo.php?workbook=26_25.xlsx&amp;sheet=A0&amp;row=518&amp;col=7&amp;number=0&amp;sourceID=14","0")</f>
        <v>0</v>
      </c>
    </row>
    <row r="519" spans="1:7">
      <c r="A519" s="3">
        <v>26</v>
      </c>
      <c r="B519" s="3">
        <v>25</v>
      </c>
      <c r="C519" s="3">
        <v>86</v>
      </c>
      <c r="D519" s="3">
        <v>17</v>
      </c>
      <c r="E519" s="3">
        <v>2373.514</v>
      </c>
      <c r="F519" s="4" t="str">
        <f>HYPERLINK("http://141.218.60.56/~jnz1568/getInfo.php?workbook=26_25.xlsx&amp;sheet=A0&amp;row=519&amp;col=6&amp;number=14270000&amp;sourceID=14","14270000")</f>
        <v>14270000</v>
      </c>
      <c r="G519" s="4" t="str">
        <f>HYPERLINK("http://141.218.60.56/~jnz1568/getInfo.php?workbook=26_25.xlsx&amp;sheet=A0&amp;row=519&amp;col=7&amp;number=0&amp;sourceID=14","0")</f>
        <v>0</v>
      </c>
    </row>
    <row r="520" spans="1:7">
      <c r="A520" s="3">
        <v>26</v>
      </c>
      <c r="B520" s="3">
        <v>25</v>
      </c>
      <c r="C520" s="3">
        <v>86</v>
      </c>
      <c r="D520" s="3">
        <v>18</v>
      </c>
      <c r="E520" s="3">
        <v>2430.125</v>
      </c>
      <c r="F520" s="4" t="str">
        <f>HYPERLINK("http://141.218.60.56/~jnz1568/getInfo.php?workbook=26_25.xlsx&amp;sheet=A0&amp;row=520&amp;col=6&amp;number=141800000&amp;sourceID=14","141800000")</f>
        <v>141800000</v>
      </c>
      <c r="G520" s="4" t="str">
        <f>HYPERLINK("http://141.218.60.56/~jnz1568/getInfo.php?workbook=26_25.xlsx&amp;sheet=A0&amp;row=520&amp;col=7&amp;number=0&amp;sourceID=14","0")</f>
        <v>0</v>
      </c>
    </row>
    <row r="521" spans="1:7">
      <c r="A521" s="3">
        <v>26</v>
      </c>
      <c r="B521" s="3">
        <v>25</v>
      </c>
      <c r="C521" s="3">
        <v>86</v>
      </c>
      <c r="D521" s="3">
        <v>19</v>
      </c>
      <c r="E521" s="3">
        <v>2465.948</v>
      </c>
      <c r="F521" s="4" t="str">
        <f>HYPERLINK("http://141.218.60.56/~jnz1568/getInfo.php?workbook=26_25.xlsx&amp;sheet=A0&amp;row=521&amp;col=6&amp;number=106000000&amp;sourceID=14","106000000")</f>
        <v>106000000</v>
      </c>
      <c r="G521" s="4" t="str">
        <f>HYPERLINK("http://141.218.60.56/~jnz1568/getInfo.php?workbook=26_25.xlsx&amp;sheet=A0&amp;row=521&amp;col=7&amp;number=0&amp;sourceID=14","0")</f>
        <v>0</v>
      </c>
    </row>
    <row r="522" spans="1:7">
      <c r="A522" s="3">
        <v>26</v>
      </c>
      <c r="B522" s="3">
        <v>25</v>
      </c>
      <c r="C522" s="3">
        <v>86</v>
      </c>
      <c r="D522" s="3">
        <v>11</v>
      </c>
      <c r="E522" s="3">
        <v>1832.5</v>
      </c>
      <c r="F522" s="4" t="str">
        <f>HYPERLINK("http://141.218.60.56/~jnz1568/getInfo.php?workbook=26_25.xlsx&amp;sheet=A0&amp;row=522&amp;col=6&amp;number=3016000&amp;sourceID=14","3016000")</f>
        <v>3016000</v>
      </c>
      <c r="G522" s="4" t="str">
        <f>HYPERLINK("http://141.218.60.56/~jnz1568/getInfo.php?workbook=26_25.xlsx&amp;sheet=A0&amp;row=522&amp;col=7&amp;number=0&amp;sourceID=14","0")</f>
        <v>0</v>
      </c>
    </row>
    <row r="523" spans="1:7">
      <c r="A523" s="3">
        <v>26</v>
      </c>
      <c r="B523" s="3">
        <v>25</v>
      </c>
      <c r="C523" s="3">
        <v>86</v>
      </c>
      <c r="D523" s="3">
        <v>12</v>
      </c>
      <c r="E523" s="3">
        <v>1842.24</v>
      </c>
      <c r="F523" s="4" t="str">
        <f>HYPERLINK("http://141.218.60.56/~jnz1568/getInfo.php?workbook=26_25.xlsx&amp;sheet=A0&amp;row=523&amp;col=6&amp;number=3392000&amp;sourceID=14","3392000")</f>
        <v>3392000</v>
      </c>
      <c r="G523" s="4" t="str">
        <f>HYPERLINK("http://141.218.60.56/~jnz1568/getInfo.php?workbook=26_25.xlsx&amp;sheet=A0&amp;row=523&amp;col=7&amp;number=0&amp;sourceID=14","0")</f>
        <v>0</v>
      </c>
    </row>
    <row r="524" spans="1:7">
      <c r="A524" s="3">
        <v>26</v>
      </c>
      <c r="B524" s="3">
        <v>25</v>
      </c>
      <c r="C524" s="3">
        <v>86</v>
      </c>
      <c r="D524" s="3">
        <v>13</v>
      </c>
      <c r="E524" s="3">
        <v>1847.902</v>
      </c>
      <c r="F524" s="4" t="str">
        <f>HYPERLINK("http://141.218.60.56/~jnz1568/getInfo.php?workbook=26_25.xlsx&amp;sheet=A0&amp;row=524&amp;col=6&amp;number=2101000&amp;sourceID=14","2101000")</f>
        <v>2101000</v>
      </c>
      <c r="G524" s="4" t="str">
        <f>HYPERLINK("http://141.218.60.56/~jnz1568/getInfo.php?workbook=26_25.xlsx&amp;sheet=A0&amp;row=524&amp;col=7&amp;number=0&amp;sourceID=14","0")</f>
        <v>0</v>
      </c>
    </row>
    <row r="525" spans="1:7">
      <c r="A525" s="3">
        <v>26</v>
      </c>
      <c r="B525" s="3">
        <v>25</v>
      </c>
      <c r="C525" s="3">
        <v>86</v>
      </c>
      <c r="D525" s="3">
        <v>33</v>
      </c>
      <c r="E525" s="3">
        <v>3167.137</v>
      </c>
      <c r="F525" s="4" t="str">
        <f>HYPERLINK("http://141.218.60.56/~jnz1568/getInfo.php?workbook=26_25.xlsx&amp;sheet=A0&amp;row=525&amp;col=6&amp;number=5454&amp;sourceID=14","5454")</f>
        <v>5454</v>
      </c>
      <c r="G525" s="4" t="str">
        <f>HYPERLINK("http://141.218.60.56/~jnz1568/getInfo.php?workbook=26_25.xlsx&amp;sheet=A0&amp;row=525&amp;col=7&amp;number=0&amp;sourceID=14","0")</f>
        <v>0</v>
      </c>
    </row>
    <row r="526" spans="1:7">
      <c r="A526" s="3">
        <v>26</v>
      </c>
      <c r="B526" s="3">
        <v>25</v>
      </c>
      <c r="C526" s="3">
        <v>86</v>
      </c>
      <c r="D526" s="3">
        <v>34</v>
      </c>
      <c r="E526" s="3">
        <v>3164.781</v>
      </c>
      <c r="F526" s="4" t="str">
        <f>HYPERLINK("http://141.218.60.56/~jnz1568/getInfo.php?workbook=26_25.xlsx&amp;sheet=A0&amp;row=526&amp;col=6&amp;number=6247&amp;sourceID=14","6247")</f>
        <v>6247</v>
      </c>
      <c r="G526" s="4" t="str">
        <f>HYPERLINK("http://141.218.60.56/~jnz1568/getInfo.php?workbook=26_25.xlsx&amp;sheet=A0&amp;row=526&amp;col=7&amp;number=0&amp;sourceID=14","0")</f>
        <v>0</v>
      </c>
    </row>
    <row r="527" spans="1:7">
      <c r="A527" s="3">
        <v>26</v>
      </c>
      <c r="B527" s="3">
        <v>25</v>
      </c>
      <c r="C527" s="3">
        <v>86</v>
      </c>
      <c r="D527" s="3">
        <v>8</v>
      </c>
      <c r="E527" s="3">
        <v>1663.222</v>
      </c>
      <c r="F527" s="4" t="str">
        <f>HYPERLINK("http://141.218.60.56/~jnz1568/getInfo.php?workbook=26_25.xlsx&amp;sheet=A0&amp;row=527&amp;col=6&amp;number=94870000&amp;sourceID=14","94870000")</f>
        <v>94870000</v>
      </c>
      <c r="G527" s="4" t="str">
        <f>HYPERLINK("http://141.218.60.56/~jnz1568/getInfo.php?workbook=26_25.xlsx&amp;sheet=A0&amp;row=527&amp;col=7&amp;number=0&amp;sourceID=14","0")</f>
        <v>0</v>
      </c>
    </row>
    <row r="528" spans="1:7">
      <c r="A528" s="3">
        <v>26</v>
      </c>
      <c r="B528" s="3">
        <v>25</v>
      </c>
      <c r="C528" s="3">
        <v>86</v>
      </c>
      <c r="D528" s="3">
        <v>9</v>
      </c>
      <c r="E528" s="3">
        <v>1670.991</v>
      </c>
      <c r="F528" s="4" t="str">
        <f>HYPERLINK("http://141.218.60.56/~jnz1568/getInfo.php?workbook=26_25.xlsx&amp;sheet=A0&amp;row=528&amp;col=6&amp;number=23290000&amp;sourceID=14","23290000")</f>
        <v>23290000</v>
      </c>
      <c r="G528" s="4" t="str">
        <f>HYPERLINK("http://141.218.60.56/~jnz1568/getInfo.php?workbook=26_25.xlsx&amp;sheet=A0&amp;row=528&amp;col=7&amp;number=0&amp;sourceID=14","0")</f>
        <v>0</v>
      </c>
    </row>
    <row r="529" spans="1:7">
      <c r="A529" s="3">
        <v>26</v>
      </c>
      <c r="B529" s="3">
        <v>25</v>
      </c>
      <c r="C529" s="3">
        <v>86</v>
      </c>
      <c r="D529" s="3">
        <v>26</v>
      </c>
      <c r="E529" s="3">
        <v>2498.573</v>
      </c>
      <c r="F529" s="4" t="str">
        <f>HYPERLINK("http://141.218.60.56/~jnz1568/getInfo.php?workbook=26_25.xlsx&amp;sheet=A0&amp;row=529&amp;col=6&amp;number=2391000&amp;sourceID=14","2391000")</f>
        <v>2391000</v>
      </c>
      <c r="G529" s="4" t="str">
        <f>HYPERLINK("http://141.218.60.56/~jnz1568/getInfo.php?workbook=26_25.xlsx&amp;sheet=A0&amp;row=529&amp;col=7&amp;number=0&amp;sourceID=14","0")</f>
        <v>0</v>
      </c>
    </row>
    <row r="530" spans="1:7">
      <c r="A530" s="3">
        <v>26</v>
      </c>
      <c r="B530" s="3">
        <v>25</v>
      </c>
      <c r="C530" s="3">
        <v>86</v>
      </c>
      <c r="D530" s="3">
        <v>27</v>
      </c>
      <c r="E530" s="3">
        <v>2504.326</v>
      </c>
      <c r="F530" s="4" t="str">
        <f>HYPERLINK("http://141.218.60.56/~jnz1568/getInfo.php?workbook=26_25.xlsx&amp;sheet=A0&amp;row=530&amp;col=6&amp;number=591000&amp;sourceID=14","591000")</f>
        <v>591000</v>
      </c>
      <c r="G530" s="4" t="str">
        <f>HYPERLINK("http://141.218.60.56/~jnz1568/getInfo.php?workbook=26_25.xlsx&amp;sheet=A0&amp;row=530&amp;col=7&amp;number=0&amp;sourceID=14","0")</f>
        <v>0</v>
      </c>
    </row>
    <row r="531" spans="1:7">
      <c r="A531" s="3">
        <v>26</v>
      </c>
      <c r="B531" s="3">
        <v>25</v>
      </c>
      <c r="C531" s="3">
        <v>86</v>
      </c>
      <c r="D531" s="3">
        <v>63</v>
      </c>
      <c r="E531" s="3">
        <v>7800.666</v>
      </c>
      <c r="F531" s="4" t="str">
        <f>HYPERLINK("http://141.218.60.56/~jnz1568/getInfo.php?workbook=26_25.xlsx&amp;sheet=A0&amp;row=531&amp;col=6&amp;number=10180&amp;sourceID=14","10180")</f>
        <v>10180</v>
      </c>
      <c r="G531" s="4" t="str">
        <f>HYPERLINK("http://141.218.60.56/~jnz1568/getInfo.php?workbook=26_25.xlsx&amp;sheet=A0&amp;row=531&amp;col=7&amp;number=0&amp;sourceID=14","0")</f>
        <v>0</v>
      </c>
    </row>
    <row r="532" spans="1:7">
      <c r="A532" s="3">
        <v>26</v>
      </c>
      <c r="B532" s="3">
        <v>25</v>
      </c>
      <c r="C532" s="3">
        <v>87</v>
      </c>
      <c r="D532" s="3">
        <v>15</v>
      </c>
      <c r="E532" s="3">
        <v>2034.344</v>
      </c>
      <c r="F532" s="4" t="str">
        <f>HYPERLINK("http://141.218.60.56/~jnz1568/getInfo.php?workbook=26_25.xlsx&amp;sheet=A0&amp;row=532&amp;col=6&amp;number=15840000&amp;sourceID=14","15840000")</f>
        <v>15840000</v>
      </c>
      <c r="G532" s="4" t="str">
        <f>HYPERLINK("http://141.218.60.56/~jnz1568/getInfo.php?workbook=26_25.xlsx&amp;sheet=A0&amp;row=532&amp;col=7&amp;number=0&amp;sourceID=14","0")</f>
        <v>0</v>
      </c>
    </row>
    <row r="533" spans="1:7">
      <c r="A533" s="3">
        <v>26</v>
      </c>
      <c r="B533" s="3">
        <v>25</v>
      </c>
      <c r="C533" s="3">
        <v>87</v>
      </c>
      <c r="D533" s="3">
        <v>16</v>
      </c>
      <c r="E533" s="3">
        <v>2043.976</v>
      </c>
      <c r="F533" s="4" t="str">
        <f>HYPERLINK("http://141.218.60.56/~jnz1568/getInfo.php?workbook=26_25.xlsx&amp;sheet=A0&amp;row=533&amp;col=6&amp;number=78090000&amp;sourceID=14","78090000")</f>
        <v>78090000</v>
      </c>
      <c r="G533" s="4" t="str">
        <f>HYPERLINK("http://141.218.60.56/~jnz1568/getInfo.php?workbook=26_25.xlsx&amp;sheet=A0&amp;row=533&amp;col=7&amp;number=0&amp;sourceID=14","0")</f>
        <v>0</v>
      </c>
    </row>
    <row r="534" spans="1:7">
      <c r="A534" s="3">
        <v>26</v>
      </c>
      <c r="B534" s="3">
        <v>25</v>
      </c>
      <c r="C534" s="3">
        <v>87</v>
      </c>
      <c r="D534" s="3">
        <v>18</v>
      </c>
      <c r="E534" s="3">
        <v>2438.012</v>
      </c>
      <c r="F534" s="4" t="str">
        <f>HYPERLINK("http://141.218.60.56/~jnz1568/getInfo.php?workbook=26_25.xlsx&amp;sheet=A0&amp;row=534&amp;col=6&amp;number=43880000&amp;sourceID=14","43880000")</f>
        <v>43880000</v>
      </c>
      <c r="G534" s="4" t="str">
        <f>HYPERLINK("http://141.218.60.56/~jnz1568/getInfo.php?workbook=26_25.xlsx&amp;sheet=A0&amp;row=534&amp;col=7&amp;number=0&amp;sourceID=14","0")</f>
        <v>0</v>
      </c>
    </row>
    <row r="535" spans="1:7">
      <c r="A535" s="3">
        <v>26</v>
      </c>
      <c r="B535" s="3">
        <v>25</v>
      </c>
      <c r="C535" s="3">
        <v>87</v>
      </c>
      <c r="D535" s="3">
        <v>19</v>
      </c>
      <c r="E535" s="3">
        <v>2474.07</v>
      </c>
      <c r="F535" s="4" t="str">
        <f>HYPERLINK("http://141.218.60.56/~jnz1568/getInfo.php?workbook=26_25.xlsx&amp;sheet=A0&amp;row=535&amp;col=6&amp;number=210000000&amp;sourceID=14","210000000")</f>
        <v>210000000</v>
      </c>
      <c r="G535" s="4" t="str">
        <f>HYPERLINK("http://141.218.60.56/~jnz1568/getInfo.php?workbook=26_25.xlsx&amp;sheet=A0&amp;row=535&amp;col=7&amp;number=0&amp;sourceID=14","0")</f>
        <v>0</v>
      </c>
    </row>
    <row r="536" spans="1:7">
      <c r="A536" s="3">
        <v>26</v>
      </c>
      <c r="B536" s="3">
        <v>25</v>
      </c>
      <c r="C536" s="3">
        <v>87</v>
      </c>
      <c r="D536" s="3">
        <v>12</v>
      </c>
      <c r="E536" s="3">
        <v>1846.769</v>
      </c>
      <c r="F536" s="4" t="str">
        <f>HYPERLINK("http://141.218.60.56/~jnz1568/getInfo.php?workbook=26_25.xlsx&amp;sheet=A0&amp;row=536&amp;col=6&amp;number=4209000&amp;sourceID=14","4209000")</f>
        <v>4209000</v>
      </c>
      <c r="G536" s="4" t="str">
        <f>HYPERLINK("http://141.218.60.56/~jnz1568/getInfo.php?workbook=26_25.xlsx&amp;sheet=A0&amp;row=536&amp;col=7&amp;number=0&amp;sourceID=14","0")</f>
        <v>0</v>
      </c>
    </row>
    <row r="537" spans="1:7">
      <c r="A537" s="3">
        <v>26</v>
      </c>
      <c r="B537" s="3">
        <v>25</v>
      </c>
      <c r="C537" s="3">
        <v>87</v>
      </c>
      <c r="D537" s="3">
        <v>13</v>
      </c>
      <c r="E537" s="3">
        <v>1852.459</v>
      </c>
      <c r="F537" s="4" t="str">
        <f>HYPERLINK("http://141.218.60.56/~jnz1568/getInfo.php?workbook=26_25.xlsx&amp;sheet=A0&amp;row=537&amp;col=6&amp;number=4171000&amp;sourceID=14","4171000")</f>
        <v>4171000</v>
      </c>
      <c r="G537" s="4" t="str">
        <f>HYPERLINK("http://141.218.60.56/~jnz1568/getInfo.php?workbook=26_25.xlsx&amp;sheet=A0&amp;row=537&amp;col=7&amp;number=0&amp;sourceID=14","0")</f>
        <v>0</v>
      </c>
    </row>
    <row r="538" spans="1:7">
      <c r="A538" s="3">
        <v>26</v>
      </c>
      <c r="B538" s="3">
        <v>25</v>
      </c>
      <c r="C538" s="3">
        <v>87</v>
      </c>
      <c r="D538" s="3">
        <v>34</v>
      </c>
      <c r="E538" s="3">
        <v>3178.171</v>
      </c>
      <c r="F538" s="4" t="str">
        <f>HYPERLINK("http://141.218.60.56/~jnz1568/getInfo.php?workbook=26_25.xlsx&amp;sheet=A0&amp;row=538&amp;col=6&amp;number=7711&amp;sourceID=14","7711")</f>
        <v>7711</v>
      </c>
      <c r="G538" s="4" t="str">
        <f>HYPERLINK("http://141.218.60.56/~jnz1568/getInfo.php?workbook=26_25.xlsx&amp;sheet=A0&amp;row=538&amp;col=7&amp;number=0&amp;sourceID=14","0")</f>
        <v>0</v>
      </c>
    </row>
    <row r="539" spans="1:7">
      <c r="A539" s="3">
        <v>26</v>
      </c>
      <c r="B539" s="3">
        <v>25</v>
      </c>
      <c r="C539" s="3">
        <v>87</v>
      </c>
      <c r="D539" s="3">
        <v>35</v>
      </c>
      <c r="E539" s="3">
        <v>3178.576</v>
      </c>
      <c r="F539" s="4" t="str">
        <f>HYPERLINK("http://141.218.60.56/~jnz1568/getInfo.php?workbook=26_25.xlsx&amp;sheet=A0&amp;row=539&amp;col=6&amp;number=7707&amp;sourceID=14","7707")</f>
        <v>7707</v>
      </c>
      <c r="G539" s="4" t="str">
        <f>HYPERLINK("http://141.218.60.56/~jnz1568/getInfo.php?workbook=26_25.xlsx&amp;sheet=A0&amp;row=539&amp;col=7&amp;number=0&amp;sourceID=14","0")</f>
        <v>0</v>
      </c>
    </row>
    <row r="540" spans="1:7">
      <c r="A540" s="3">
        <v>26</v>
      </c>
      <c r="B540" s="3">
        <v>25</v>
      </c>
      <c r="C540" s="3">
        <v>87</v>
      </c>
      <c r="D540" s="3">
        <v>9</v>
      </c>
      <c r="E540" s="3">
        <v>1674.716</v>
      </c>
      <c r="F540" s="4" t="str">
        <f>HYPERLINK("http://141.218.60.56/~jnz1568/getInfo.php?workbook=26_25.xlsx&amp;sheet=A0&amp;row=540&amp;col=6&amp;number=115700000&amp;sourceID=14","115700000")</f>
        <v>115700000</v>
      </c>
      <c r="G540" s="4" t="str">
        <f>HYPERLINK("http://141.218.60.56/~jnz1568/getInfo.php?workbook=26_25.xlsx&amp;sheet=A0&amp;row=540&amp;col=7&amp;number=0&amp;sourceID=14","0")</f>
        <v>0</v>
      </c>
    </row>
    <row r="541" spans="1:7">
      <c r="A541" s="3">
        <v>26</v>
      </c>
      <c r="B541" s="3">
        <v>25</v>
      </c>
      <c r="C541" s="3">
        <v>87</v>
      </c>
      <c r="D541" s="3">
        <v>27</v>
      </c>
      <c r="E541" s="3">
        <v>2512.703</v>
      </c>
      <c r="F541" s="4" t="str">
        <f>HYPERLINK("http://141.218.60.56/~jnz1568/getInfo.php?workbook=26_25.xlsx&amp;sheet=A0&amp;row=541&amp;col=6&amp;number=2926000&amp;sourceID=14","2926000")</f>
        <v>2926000</v>
      </c>
      <c r="G541" s="4" t="str">
        <f>HYPERLINK("http://141.218.60.56/~jnz1568/getInfo.php?workbook=26_25.xlsx&amp;sheet=A0&amp;row=541&amp;col=7&amp;number=0&amp;sourceID=14","0")</f>
        <v>0</v>
      </c>
    </row>
    <row r="542" spans="1:7">
      <c r="A542" s="3">
        <v>26</v>
      </c>
      <c r="B542" s="3">
        <v>25</v>
      </c>
      <c r="C542" s="3">
        <v>87</v>
      </c>
      <c r="D542" s="3">
        <v>64</v>
      </c>
      <c r="E542" s="3">
        <v>7841.191</v>
      </c>
      <c r="F542" s="4" t="str">
        <f>HYPERLINK("http://141.218.60.56/~jnz1568/getInfo.php?workbook=26_25.xlsx&amp;sheet=A0&amp;row=542&amp;col=6&amp;number=12470&amp;sourceID=14","12470")</f>
        <v>12470</v>
      </c>
      <c r="G542" s="4" t="str">
        <f>HYPERLINK("http://141.218.60.56/~jnz1568/getInfo.php?workbook=26_25.xlsx&amp;sheet=A0&amp;row=542&amp;col=7&amp;number=0&amp;sourceID=14","0")</f>
        <v>0</v>
      </c>
    </row>
    <row r="543" spans="1:7">
      <c r="A543" s="3">
        <v>26</v>
      </c>
      <c r="B543" s="3">
        <v>25</v>
      </c>
      <c r="C543" s="3">
        <v>88</v>
      </c>
      <c r="D543" s="3">
        <v>14</v>
      </c>
      <c r="E543" s="3">
        <v>2021.401</v>
      </c>
      <c r="F543" s="4" t="str">
        <f>HYPERLINK("http://141.218.60.56/~jnz1568/getInfo.php?workbook=26_25.xlsx&amp;sheet=A0&amp;row=543&amp;col=6&amp;number=42620000&amp;sourceID=14","42620000")</f>
        <v>42620000</v>
      </c>
      <c r="G543" s="4" t="str">
        <f>HYPERLINK("http://141.218.60.56/~jnz1568/getInfo.php?workbook=26_25.xlsx&amp;sheet=A0&amp;row=543&amp;col=7&amp;number=0&amp;sourceID=14","0")</f>
        <v>0</v>
      </c>
    </row>
    <row r="544" spans="1:7">
      <c r="A544" s="3">
        <v>26</v>
      </c>
      <c r="B544" s="3">
        <v>25</v>
      </c>
      <c r="C544" s="3">
        <v>88</v>
      </c>
      <c r="D544" s="3">
        <v>17</v>
      </c>
      <c r="E544" s="3">
        <v>2374.482</v>
      </c>
      <c r="F544" s="4" t="str">
        <f>HYPERLINK("http://141.218.60.56/~jnz1568/getInfo.php?workbook=26_25.xlsx&amp;sheet=A0&amp;row=544&amp;col=6&amp;number=1228000&amp;sourceID=14","1228000")</f>
        <v>1228000</v>
      </c>
      <c r="G544" s="4" t="str">
        <f>HYPERLINK("http://141.218.60.56/~jnz1568/getInfo.php?workbook=26_25.xlsx&amp;sheet=A0&amp;row=544&amp;col=7&amp;number=0&amp;sourceID=14","0")</f>
        <v>0</v>
      </c>
    </row>
    <row r="545" spans="1:7">
      <c r="A545" s="3">
        <v>26</v>
      </c>
      <c r="B545" s="3">
        <v>25</v>
      </c>
      <c r="C545" s="3">
        <v>88</v>
      </c>
      <c r="D545" s="3">
        <v>65</v>
      </c>
      <c r="E545" s="3">
        <v>7854.093</v>
      </c>
      <c r="F545" s="4" t="str">
        <f>HYPERLINK("http://141.218.60.56/~jnz1568/getInfo.php?workbook=26_25.xlsx&amp;sheet=A0&amp;row=545&amp;col=6&amp;number=201200&amp;sourceID=14","201200")</f>
        <v>201200</v>
      </c>
      <c r="G545" s="4" t="str">
        <f>HYPERLINK("http://141.218.60.56/~jnz1568/getInfo.php?workbook=26_25.xlsx&amp;sheet=A0&amp;row=545&amp;col=7&amp;number=0&amp;sourceID=14","0")</f>
        <v>0</v>
      </c>
    </row>
    <row r="546" spans="1:7">
      <c r="A546" s="3">
        <v>26</v>
      </c>
      <c r="B546" s="3">
        <v>25</v>
      </c>
      <c r="C546" s="3">
        <v>88</v>
      </c>
      <c r="D546" s="3">
        <v>10</v>
      </c>
      <c r="E546" s="3">
        <v>1818.521</v>
      </c>
      <c r="F546" s="4" t="str">
        <f>HYPERLINK("http://141.218.60.56/~jnz1568/getInfo.php?workbook=26_25.xlsx&amp;sheet=A0&amp;row=546&amp;col=6&amp;number=8295000&amp;sourceID=14","8295000")</f>
        <v>8295000</v>
      </c>
      <c r="G546" s="4" t="str">
        <f>HYPERLINK("http://141.218.60.56/~jnz1568/getInfo.php?workbook=26_25.xlsx&amp;sheet=A0&amp;row=546&amp;col=7&amp;number=0&amp;sourceID=14","0")</f>
        <v>0</v>
      </c>
    </row>
    <row r="547" spans="1:7">
      <c r="A547" s="3">
        <v>26</v>
      </c>
      <c r="B547" s="3">
        <v>25</v>
      </c>
      <c r="C547" s="3">
        <v>88</v>
      </c>
      <c r="D547" s="3">
        <v>11</v>
      </c>
      <c r="E547" s="3">
        <v>1833.076</v>
      </c>
      <c r="F547" s="4" t="str">
        <f>HYPERLINK("http://141.218.60.56/~jnz1568/getInfo.php?workbook=26_25.xlsx&amp;sheet=A0&amp;row=547&amp;col=6&amp;number=1346000&amp;sourceID=14","1346000")</f>
        <v>1346000</v>
      </c>
      <c r="G547" s="4" t="str">
        <f>HYPERLINK("http://141.218.60.56/~jnz1568/getInfo.php?workbook=26_25.xlsx&amp;sheet=A0&amp;row=547&amp;col=7&amp;number=0&amp;sourceID=14","0")</f>
        <v>0</v>
      </c>
    </row>
    <row r="548" spans="1:7">
      <c r="A548" s="3">
        <v>26</v>
      </c>
      <c r="B548" s="3">
        <v>25</v>
      </c>
      <c r="C548" s="3">
        <v>88</v>
      </c>
      <c r="D548" s="3">
        <v>32</v>
      </c>
      <c r="E548" s="3">
        <v>3178.451</v>
      </c>
      <c r="F548" s="4" t="str">
        <f>HYPERLINK("http://141.218.60.56/~jnz1568/getInfo.php?workbook=26_25.xlsx&amp;sheet=A0&amp;row=548&amp;col=6&amp;number=12470000&amp;sourceID=14","12470000")</f>
        <v>12470000</v>
      </c>
      <c r="G548" s="4" t="str">
        <f>HYPERLINK("http://141.218.60.56/~jnz1568/getInfo.php?workbook=26_25.xlsx&amp;sheet=A0&amp;row=548&amp;col=7&amp;number=0&amp;sourceID=14","0")</f>
        <v>0</v>
      </c>
    </row>
    <row r="549" spans="1:7">
      <c r="A549" s="3">
        <v>26</v>
      </c>
      <c r="B549" s="3">
        <v>25</v>
      </c>
      <c r="C549" s="3">
        <v>88</v>
      </c>
      <c r="D549" s="3">
        <v>33</v>
      </c>
      <c r="E549" s="3">
        <v>3168.86</v>
      </c>
      <c r="F549" s="4" t="str">
        <f>HYPERLINK("http://141.218.60.56/~jnz1568/getInfo.php?workbook=26_25.xlsx&amp;sheet=A0&amp;row=549&amp;col=6&amp;number=2091000&amp;sourceID=14","2091000")</f>
        <v>2091000</v>
      </c>
      <c r="G549" s="4" t="str">
        <f>HYPERLINK("http://141.218.60.56/~jnz1568/getInfo.php?workbook=26_25.xlsx&amp;sheet=A0&amp;row=549&amp;col=7&amp;number=0&amp;sourceID=14","0")</f>
        <v>0</v>
      </c>
    </row>
    <row r="550" spans="1:7">
      <c r="A550" s="3">
        <v>26</v>
      </c>
      <c r="B550" s="3">
        <v>25</v>
      </c>
      <c r="C550" s="3">
        <v>88</v>
      </c>
      <c r="D550" s="3">
        <v>6</v>
      </c>
      <c r="E550" s="3">
        <v>1637.399</v>
      </c>
      <c r="F550" s="4" t="str">
        <f>HYPERLINK("http://141.218.60.56/~jnz1568/getInfo.php?workbook=26_25.xlsx&amp;sheet=A0&amp;row=550&amp;col=6&amp;number=23850000&amp;sourceID=14","23850000")</f>
        <v>23850000</v>
      </c>
      <c r="G550" s="4" t="str">
        <f>HYPERLINK("http://141.218.60.56/~jnz1568/getInfo.php?workbook=26_25.xlsx&amp;sheet=A0&amp;row=550&amp;col=7&amp;number=0&amp;sourceID=14","0")</f>
        <v>0</v>
      </c>
    </row>
    <row r="551" spans="1:7">
      <c r="A551" s="3">
        <v>26</v>
      </c>
      <c r="B551" s="3">
        <v>25</v>
      </c>
      <c r="C551" s="3">
        <v>88</v>
      </c>
      <c r="D551" s="3">
        <v>7</v>
      </c>
      <c r="E551" s="3">
        <v>1652.484</v>
      </c>
      <c r="F551" s="4" t="str">
        <f>HYPERLINK("http://141.218.60.56/~jnz1568/getInfo.php?workbook=26_25.xlsx&amp;sheet=A0&amp;row=551&amp;col=6&amp;number=2645000&amp;sourceID=14","2645000")</f>
        <v>2645000</v>
      </c>
      <c r="G551" s="4" t="str">
        <f>HYPERLINK("http://141.218.60.56/~jnz1568/getInfo.php?workbook=26_25.xlsx&amp;sheet=A0&amp;row=551&amp;col=7&amp;number=0&amp;sourceID=14","0")</f>
        <v>0</v>
      </c>
    </row>
    <row r="552" spans="1:7">
      <c r="A552" s="3">
        <v>26</v>
      </c>
      <c r="B552" s="3">
        <v>25</v>
      </c>
      <c r="C552" s="3">
        <v>88</v>
      </c>
      <c r="D552" s="3">
        <v>8</v>
      </c>
      <c r="E552" s="3">
        <v>1663.697</v>
      </c>
      <c r="F552" s="4" t="str">
        <f>HYPERLINK("http://141.218.60.56/~jnz1568/getInfo.php?workbook=26_25.xlsx&amp;sheet=A0&amp;row=552&amp;col=6&amp;number=131800&amp;sourceID=14","131800")</f>
        <v>131800</v>
      </c>
      <c r="G552" s="4" t="str">
        <f>HYPERLINK("http://141.218.60.56/~jnz1568/getInfo.php?workbook=26_25.xlsx&amp;sheet=A0&amp;row=552&amp;col=7&amp;number=0&amp;sourceID=14","0")</f>
        <v>0</v>
      </c>
    </row>
    <row r="553" spans="1:7">
      <c r="A553" s="3">
        <v>26</v>
      </c>
      <c r="B553" s="3">
        <v>25</v>
      </c>
      <c r="C553" s="3">
        <v>88</v>
      </c>
      <c r="D553" s="3">
        <v>24</v>
      </c>
      <c r="E553" s="3">
        <v>2480.907</v>
      </c>
      <c r="F553" s="4" t="str">
        <f>HYPERLINK("http://141.218.60.56/~jnz1568/getInfo.php?workbook=26_25.xlsx&amp;sheet=A0&amp;row=553&amp;col=6&amp;number=248900000&amp;sourceID=14","248900000")</f>
        <v>248900000</v>
      </c>
      <c r="G553" s="4" t="str">
        <f>HYPERLINK("http://141.218.60.56/~jnz1568/getInfo.php?workbook=26_25.xlsx&amp;sheet=A0&amp;row=553&amp;col=7&amp;number=0&amp;sourceID=14","0")</f>
        <v>0</v>
      </c>
    </row>
    <row r="554" spans="1:7">
      <c r="A554" s="3">
        <v>26</v>
      </c>
      <c r="B554" s="3">
        <v>25</v>
      </c>
      <c r="C554" s="3">
        <v>88</v>
      </c>
      <c r="D554" s="3">
        <v>25</v>
      </c>
      <c r="E554" s="3">
        <v>2491.611</v>
      </c>
      <c r="F554" s="4" t="str">
        <f>HYPERLINK("http://141.218.60.56/~jnz1568/getInfo.php?workbook=26_25.xlsx&amp;sheet=A0&amp;row=554&amp;col=6&amp;number=28010000&amp;sourceID=14","28010000")</f>
        <v>28010000</v>
      </c>
      <c r="G554" s="4" t="str">
        <f>HYPERLINK("http://141.218.60.56/~jnz1568/getInfo.php?workbook=26_25.xlsx&amp;sheet=A0&amp;row=554&amp;col=7&amp;number=0&amp;sourceID=14","0")</f>
        <v>0</v>
      </c>
    </row>
    <row r="555" spans="1:7">
      <c r="A555" s="3">
        <v>26</v>
      </c>
      <c r="B555" s="3">
        <v>25</v>
      </c>
      <c r="C555" s="3">
        <v>88</v>
      </c>
      <c r="D555" s="3">
        <v>26</v>
      </c>
      <c r="E555" s="3">
        <v>2499.645</v>
      </c>
      <c r="F555" s="4" t="str">
        <f>HYPERLINK("http://141.218.60.56/~jnz1568/getInfo.php?workbook=26_25.xlsx&amp;sheet=A0&amp;row=555&amp;col=6&amp;number=1411000&amp;sourceID=14","1411000")</f>
        <v>1411000</v>
      </c>
      <c r="G555" s="4" t="str">
        <f>HYPERLINK("http://141.218.60.56/~jnz1568/getInfo.php?workbook=26_25.xlsx&amp;sheet=A0&amp;row=555&amp;col=7&amp;number=0&amp;sourceID=14","0")</f>
        <v>0</v>
      </c>
    </row>
    <row r="556" spans="1:7">
      <c r="A556" s="3">
        <v>26</v>
      </c>
      <c r="B556" s="3">
        <v>25</v>
      </c>
      <c r="C556" s="3">
        <v>88</v>
      </c>
      <c r="D556" s="3">
        <v>61</v>
      </c>
      <c r="E556" s="3">
        <v>7820.084</v>
      </c>
      <c r="F556" s="4" t="str">
        <f>HYPERLINK("http://141.218.60.56/~jnz1568/getInfo.php?workbook=26_25.xlsx&amp;sheet=A0&amp;row=556&amp;col=6&amp;number=33480&amp;sourceID=14","33480")</f>
        <v>33480</v>
      </c>
      <c r="G556" s="4" t="str">
        <f>HYPERLINK("http://141.218.60.56/~jnz1568/getInfo.php?workbook=26_25.xlsx&amp;sheet=A0&amp;row=556&amp;col=7&amp;number=0&amp;sourceID=14","0")</f>
        <v>0</v>
      </c>
    </row>
    <row r="557" spans="1:7">
      <c r="A557" s="3">
        <v>26</v>
      </c>
      <c r="B557" s="3">
        <v>25</v>
      </c>
      <c r="C557" s="3">
        <v>88</v>
      </c>
      <c r="D557" s="3">
        <v>62</v>
      </c>
      <c r="E557" s="3">
        <v>7838.694</v>
      </c>
      <c r="F557" s="4" t="str">
        <f>HYPERLINK("http://141.218.60.56/~jnz1568/getInfo.php?workbook=26_25.xlsx&amp;sheet=A0&amp;row=557&amp;col=6&amp;number=3790&amp;sourceID=14","3790")</f>
        <v>3790</v>
      </c>
      <c r="G557" s="4" t="str">
        <f>HYPERLINK("http://141.218.60.56/~jnz1568/getInfo.php?workbook=26_25.xlsx&amp;sheet=A0&amp;row=557&amp;col=7&amp;number=0&amp;sourceID=14","0")</f>
        <v>0</v>
      </c>
    </row>
    <row r="558" spans="1:7">
      <c r="A558" s="3">
        <v>26</v>
      </c>
      <c r="B558" s="3">
        <v>25</v>
      </c>
      <c r="C558" s="3">
        <v>89</v>
      </c>
      <c r="D558" s="3">
        <v>14</v>
      </c>
      <c r="E558" s="3">
        <v>2008.09</v>
      </c>
      <c r="F558" s="4" t="str">
        <f>HYPERLINK("http://141.218.60.56/~jnz1568/getInfo.php?workbook=26_25.xlsx&amp;sheet=A0&amp;row=558&amp;col=6&amp;number=13040000&amp;sourceID=14","13040000")</f>
        <v>13040000</v>
      </c>
      <c r="G558" s="4" t="str">
        <f>HYPERLINK("http://141.218.60.56/~jnz1568/getInfo.php?workbook=26_25.xlsx&amp;sheet=A0&amp;row=558&amp;col=7&amp;number=0&amp;sourceID=14","0")</f>
        <v>0</v>
      </c>
    </row>
    <row r="559" spans="1:7">
      <c r="A559" s="3">
        <v>26</v>
      </c>
      <c r="B559" s="3">
        <v>25</v>
      </c>
      <c r="C559" s="3">
        <v>89</v>
      </c>
      <c r="D559" s="3">
        <v>15</v>
      </c>
      <c r="E559" s="3">
        <v>2016.137</v>
      </c>
      <c r="F559" s="4" t="str">
        <f>HYPERLINK("http://141.218.60.56/~jnz1568/getInfo.php?workbook=26_25.xlsx&amp;sheet=A0&amp;row=559&amp;col=6&amp;number=30070000&amp;sourceID=14","30070000")</f>
        <v>30070000</v>
      </c>
      <c r="G559" s="4" t="str">
        <f>HYPERLINK("http://141.218.60.56/~jnz1568/getInfo.php?workbook=26_25.xlsx&amp;sheet=A0&amp;row=559&amp;col=7&amp;number=0&amp;sourceID=14","0")</f>
        <v>0</v>
      </c>
    </row>
    <row r="560" spans="1:7">
      <c r="A560" s="3">
        <v>26</v>
      </c>
      <c r="B560" s="3">
        <v>25</v>
      </c>
      <c r="C560" s="3">
        <v>89</v>
      </c>
      <c r="D560" s="3">
        <v>17</v>
      </c>
      <c r="E560" s="3">
        <v>2356.135</v>
      </c>
      <c r="F560" s="4" t="str">
        <f>HYPERLINK("http://141.218.60.56/~jnz1568/getInfo.php?workbook=26_25.xlsx&amp;sheet=A0&amp;row=560&amp;col=6&amp;number=377200&amp;sourceID=14","377200")</f>
        <v>377200</v>
      </c>
      <c r="G560" s="4" t="str">
        <f>HYPERLINK("http://141.218.60.56/~jnz1568/getInfo.php?workbook=26_25.xlsx&amp;sheet=A0&amp;row=560&amp;col=7&amp;number=0&amp;sourceID=14","0")</f>
        <v>0</v>
      </c>
    </row>
    <row r="561" spans="1:7">
      <c r="A561" s="3">
        <v>26</v>
      </c>
      <c r="B561" s="3">
        <v>25</v>
      </c>
      <c r="C561" s="3">
        <v>89</v>
      </c>
      <c r="D561" s="3">
        <v>18</v>
      </c>
      <c r="E561" s="3">
        <v>2411.91</v>
      </c>
      <c r="F561" s="4" t="str">
        <f>HYPERLINK("http://141.218.60.56/~jnz1568/getInfo.php?workbook=26_25.xlsx&amp;sheet=A0&amp;row=561&amp;col=6&amp;number=820400&amp;sourceID=14","820400")</f>
        <v>820400</v>
      </c>
      <c r="G561" s="4" t="str">
        <f>HYPERLINK("http://141.218.60.56/~jnz1568/getInfo.php?workbook=26_25.xlsx&amp;sheet=A0&amp;row=561&amp;col=7&amp;number=0&amp;sourceID=14","0")</f>
        <v>0</v>
      </c>
    </row>
    <row r="562" spans="1:7">
      <c r="A562" s="3">
        <v>26</v>
      </c>
      <c r="B562" s="3">
        <v>25</v>
      </c>
      <c r="C562" s="3">
        <v>89</v>
      </c>
      <c r="D562" s="3">
        <v>65</v>
      </c>
      <c r="E562" s="3">
        <v>7656.879</v>
      </c>
      <c r="F562" s="4" t="str">
        <f>HYPERLINK("http://141.218.60.56/~jnz1568/getInfo.php?workbook=26_25.xlsx&amp;sheet=A0&amp;row=562&amp;col=6&amp;number=65140&amp;sourceID=14","65140")</f>
        <v>65140</v>
      </c>
      <c r="G562" s="4" t="str">
        <f>HYPERLINK("http://141.218.60.56/~jnz1568/getInfo.php?workbook=26_25.xlsx&amp;sheet=A0&amp;row=562&amp;col=7&amp;number=0&amp;sourceID=14","0")</f>
        <v>0</v>
      </c>
    </row>
    <row r="563" spans="1:7">
      <c r="A563" s="3">
        <v>26</v>
      </c>
      <c r="B563" s="3">
        <v>25</v>
      </c>
      <c r="C563" s="3">
        <v>89</v>
      </c>
      <c r="D563" s="3">
        <v>66</v>
      </c>
      <c r="E563" s="3">
        <v>7264.252</v>
      </c>
      <c r="F563" s="4" t="str">
        <f>HYPERLINK("http://141.218.60.56/~jnz1568/getInfo.php?workbook=26_25.xlsx&amp;sheet=A0&amp;row=563&amp;col=6&amp;number=178000&amp;sourceID=14","178000")</f>
        <v>178000</v>
      </c>
      <c r="G563" s="4" t="str">
        <f>HYPERLINK("http://141.218.60.56/~jnz1568/getInfo.php?workbook=26_25.xlsx&amp;sheet=A0&amp;row=563&amp;col=7&amp;number=0&amp;sourceID=14","0")</f>
        <v>0</v>
      </c>
    </row>
    <row r="564" spans="1:7">
      <c r="A564" s="3">
        <v>26</v>
      </c>
      <c r="B564" s="3">
        <v>25</v>
      </c>
      <c r="C564" s="3">
        <v>89</v>
      </c>
      <c r="D564" s="3">
        <v>10</v>
      </c>
      <c r="E564" s="3">
        <v>1807.74</v>
      </c>
      <c r="F564" s="4" t="str">
        <f>HYPERLINK("http://141.218.60.56/~jnz1568/getInfo.php?workbook=26_25.xlsx&amp;sheet=A0&amp;row=564&amp;col=6&amp;number=1871000&amp;sourceID=14","1871000")</f>
        <v>1871000</v>
      </c>
      <c r="G564" s="4" t="str">
        <f>HYPERLINK("http://141.218.60.56/~jnz1568/getInfo.php?workbook=26_25.xlsx&amp;sheet=A0&amp;row=564&amp;col=7&amp;number=0&amp;sourceID=14","0")</f>
        <v>0</v>
      </c>
    </row>
    <row r="565" spans="1:7">
      <c r="A565" s="3">
        <v>26</v>
      </c>
      <c r="B565" s="3">
        <v>25</v>
      </c>
      <c r="C565" s="3">
        <v>89</v>
      </c>
      <c r="D565" s="3">
        <v>11</v>
      </c>
      <c r="E565" s="3">
        <v>1822.123</v>
      </c>
      <c r="F565" s="4" t="str">
        <f>HYPERLINK("http://141.218.60.56/~jnz1568/getInfo.php?workbook=26_25.xlsx&amp;sheet=A0&amp;row=565&amp;col=6&amp;number=5514000&amp;sourceID=14","5514000")</f>
        <v>5514000</v>
      </c>
      <c r="G565" s="4" t="str">
        <f>HYPERLINK("http://141.218.60.56/~jnz1568/getInfo.php?workbook=26_25.xlsx&amp;sheet=A0&amp;row=565&amp;col=7&amp;number=0&amp;sourceID=14","0")</f>
        <v>0</v>
      </c>
    </row>
    <row r="566" spans="1:7">
      <c r="A566" s="3">
        <v>26</v>
      </c>
      <c r="B566" s="3">
        <v>25</v>
      </c>
      <c r="C566" s="3">
        <v>89</v>
      </c>
      <c r="D566" s="3">
        <v>12</v>
      </c>
      <c r="E566" s="3">
        <v>1831.753</v>
      </c>
      <c r="F566" s="4" t="str">
        <f>HYPERLINK("http://141.218.60.56/~jnz1568/getInfo.php?workbook=26_25.xlsx&amp;sheet=A0&amp;row=566&amp;col=6&amp;number=2209000&amp;sourceID=14","2209000")</f>
        <v>2209000</v>
      </c>
      <c r="G566" s="4" t="str">
        <f>HYPERLINK("http://141.218.60.56/~jnz1568/getInfo.php?workbook=26_25.xlsx&amp;sheet=A0&amp;row=566&amp;col=7&amp;number=0&amp;sourceID=14","0")</f>
        <v>0</v>
      </c>
    </row>
    <row r="567" spans="1:7">
      <c r="A567" s="3">
        <v>26</v>
      </c>
      <c r="B567" s="3">
        <v>25</v>
      </c>
      <c r="C567" s="3">
        <v>89</v>
      </c>
      <c r="D567" s="3">
        <v>32</v>
      </c>
      <c r="E567" s="3">
        <v>3145.663</v>
      </c>
      <c r="F567" s="4" t="str">
        <f>HYPERLINK("http://141.218.60.56/~jnz1568/getInfo.php?workbook=26_25.xlsx&amp;sheet=A0&amp;row=567&amp;col=6&amp;number=2851000&amp;sourceID=14","2851000")</f>
        <v>2851000</v>
      </c>
      <c r="G567" s="4" t="str">
        <f>HYPERLINK("http://141.218.60.56/~jnz1568/getInfo.php?workbook=26_25.xlsx&amp;sheet=A0&amp;row=567&amp;col=7&amp;number=0&amp;sourceID=14","0")</f>
        <v>0</v>
      </c>
    </row>
    <row r="568" spans="1:7">
      <c r="A568" s="3">
        <v>26</v>
      </c>
      <c r="B568" s="3">
        <v>25</v>
      </c>
      <c r="C568" s="3">
        <v>89</v>
      </c>
      <c r="D568" s="3">
        <v>33</v>
      </c>
      <c r="E568" s="3">
        <v>3136.268</v>
      </c>
      <c r="F568" s="4" t="str">
        <f>HYPERLINK("http://141.218.60.56/~jnz1568/getInfo.php?workbook=26_25.xlsx&amp;sheet=A0&amp;row=568&amp;col=6&amp;number=8680000&amp;sourceID=14","8680000")</f>
        <v>8680000</v>
      </c>
      <c r="G568" s="4" t="str">
        <f>HYPERLINK("http://141.218.60.56/~jnz1568/getInfo.php?workbook=26_25.xlsx&amp;sheet=A0&amp;row=568&amp;col=7&amp;number=0&amp;sourceID=14","0")</f>
        <v>0</v>
      </c>
    </row>
    <row r="569" spans="1:7">
      <c r="A569" s="3">
        <v>26</v>
      </c>
      <c r="B569" s="3">
        <v>25</v>
      </c>
      <c r="C569" s="3">
        <v>89</v>
      </c>
      <c r="D569" s="3">
        <v>34</v>
      </c>
      <c r="E569" s="3">
        <v>3133.958</v>
      </c>
      <c r="F569" s="4" t="str">
        <f>HYPERLINK("http://141.218.60.56/~jnz1568/getInfo.php?workbook=26_25.xlsx&amp;sheet=A0&amp;row=569&amp;col=6&amp;number=3541000&amp;sourceID=14","3541000")</f>
        <v>3541000</v>
      </c>
      <c r="G569" s="4" t="str">
        <f>HYPERLINK("http://141.218.60.56/~jnz1568/getInfo.php?workbook=26_25.xlsx&amp;sheet=A0&amp;row=569&amp;col=7&amp;number=0&amp;sourceID=14","0")</f>
        <v>0</v>
      </c>
    </row>
    <row r="570" spans="1:7">
      <c r="A570" s="3">
        <v>26</v>
      </c>
      <c r="B570" s="3">
        <v>25</v>
      </c>
      <c r="C570" s="3">
        <v>89</v>
      </c>
      <c r="D570" s="3">
        <v>7</v>
      </c>
      <c r="E570" s="3">
        <v>1643.578</v>
      </c>
      <c r="F570" s="4" t="str">
        <f>HYPERLINK("http://141.218.60.56/~jnz1568/getInfo.php?workbook=26_25.xlsx&amp;sheet=A0&amp;row=570&amp;col=6&amp;number=21570000&amp;sourceID=14","21570000")</f>
        <v>21570000</v>
      </c>
      <c r="G570" s="4" t="str">
        <f>HYPERLINK("http://141.218.60.56/~jnz1568/getInfo.php?workbook=26_25.xlsx&amp;sheet=A0&amp;row=570&amp;col=7&amp;number=0&amp;sourceID=14","0")</f>
        <v>0</v>
      </c>
    </row>
    <row r="571" spans="1:7">
      <c r="A571" s="3">
        <v>26</v>
      </c>
      <c r="B571" s="3">
        <v>25</v>
      </c>
      <c r="C571" s="3">
        <v>89</v>
      </c>
      <c r="D571" s="3">
        <v>8</v>
      </c>
      <c r="E571" s="3">
        <v>1654.67</v>
      </c>
      <c r="F571" s="4" t="str">
        <f>HYPERLINK("http://141.218.60.56/~jnz1568/getInfo.php?workbook=26_25.xlsx&amp;sheet=A0&amp;row=571&amp;col=6&amp;number=4498000&amp;sourceID=14","4498000")</f>
        <v>4498000</v>
      </c>
      <c r="G571" s="4" t="str">
        <f>HYPERLINK("http://141.218.60.56/~jnz1568/getInfo.php?workbook=26_25.xlsx&amp;sheet=A0&amp;row=571&amp;col=7&amp;number=0&amp;sourceID=14","0")</f>
        <v>0</v>
      </c>
    </row>
    <row r="572" spans="1:7">
      <c r="A572" s="3">
        <v>26</v>
      </c>
      <c r="B572" s="3">
        <v>25</v>
      </c>
      <c r="C572" s="3">
        <v>89</v>
      </c>
      <c r="D572" s="3">
        <v>9</v>
      </c>
      <c r="E572" s="3">
        <v>1662.358</v>
      </c>
      <c r="F572" s="4" t="str">
        <f>HYPERLINK("http://141.218.60.56/~jnz1568/getInfo.php?workbook=26_25.xlsx&amp;sheet=A0&amp;row=572&amp;col=6&amp;number=243100&amp;sourceID=14","243100")</f>
        <v>243100</v>
      </c>
      <c r="G572" s="4" t="str">
        <f>HYPERLINK("http://141.218.60.56/~jnz1568/getInfo.php?workbook=26_25.xlsx&amp;sheet=A0&amp;row=572&amp;col=7&amp;number=0&amp;sourceID=14","0")</f>
        <v>0</v>
      </c>
    </row>
    <row r="573" spans="1:7">
      <c r="A573" s="3">
        <v>26</v>
      </c>
      <c r="B573" s="3">
        <v>25</v>
      </c>
      <c r="C573" s="3">
        <v>89</v>
      </c>
      <c r="D573" s="3">
        <v>25</v>
      </c>
      <c r="E573" s="3">
        <v>2471.417</v>
      </c>
      <c r="F573" s="4" t="str">
        <f>HYPERLINK("http://141.218.60.56/~jnz1568/getInfo.php?workbook=26_25.xlsx&amp;sheet=A0&amp;row=573&amp;col=6&amp;number=230300000&amp;sourceID=14","230300000")</f>
        <v>230300000</v>
      </c>
      <c r="G573" s="4" t="str">
        <f>HYPERLINK("http://141.218.60.56/~jnz1568/getInfo.php?workbook=26_25.xlsx&amp;sheet=A0&amp;row=573&amp;col=7&amp;number=0&amp;sourceID=14","0")</f>
        <v>0</v>
      </c>
    </row>
    <row r="574" spans="1:7">
      <c r="A574" s="3">
        <v>26</v>
      </c>
      <c r="B574" s="3">
        <v>25</v>
      </c>
      <c r="C574" s="3">
        <v>89</v>
      </c>
      <c r="D574" s="3">
        <v>26</v>
      </c>
      <c r="E574" s="3">
        <v>2479.321</v>
      </c>
      <c r="F574" s="4" t="str">
        <f>HYPERLINK("http://141.218.60.56/~jnz1568/getInfo.php?workbook=26_25.xlsx&amp;sheet=A0&amp;row=574&amp;col=6&amp;number=48540000&amp;sourceID=14","48540000")</f>
        <v>48540000</v>
      </c>
      <c r="G574" s="4" t="str">
        <f>HYPERLINK("http://141.218.60.56/~jnz1568/getInfo.php?workbook=26_25.xlsx&amp;sheet=A0&amp;row=574&amp;col=7&amp;number=0&amp;sourceID=14","0")</f>
        <v>0</v>
      </c>
    </row>
    <row r="575" spans="1:7">
      <c r="A575" s="3">
        <v>26</v>
      </c>
      <c r="B575" s="3">
        <v>25</v>
      </c>
      <c r="C575" s="3">
        <v>89</v>
      </c>
      <c r="D575" s="3">
        <v>27</v>
      </c>
      <c r="E575" s="3">
        <v>2484.986</v>
      </c>
      <c r="F575" s="4" t="str">
        <f>HYPERLINK("http://141.218.60.56/~jnz1568/getInfo.php?workbook=26_25.xlsx&amp;sheet=A0&amp;row=575&amp;col=6&amp;number=2642000&amp;sourceID=14","2642000")</f>
        <v>2642000</v>
      </c>
      <c r="G575" s="4" t="str">
        <f>HYPERLINK("http://141.218.60.56/~jnz1568/getInfo.php?workbook=26_25.xlsx&amp;sheet=A0&amp;row=575&amp;col=7&amp;number=0&amp;sourceID=14","0")</f>
        <v>0</v>
      </c>
    </row>
    <row r="576" spans="1:7">
      <c r="A576" s="3">
        <v>26</v>
      </c>
      <c r="B576" s="3">
        <v>25</v>
      </c>
      <c r="C576" s="3">
        <v>89</v>
      </c>
      <c r="D576" s="3">
        <v>62</v>
      </c>
      <c r="E576" s="3">
        <v>7642.243</v>
      </c>
      <c r="F576" s="4" t="str">
        <f>HYPERLINK("http://141.218.60.56/~jnz1568/getInfo.php?workbook=26_25.xlsx&amp;sheet=A0&amp;row=576&amp;col=6&amp;number=32810&amp;sourceID=14","32810")</f>
        <v>32810</v>
      </c>
      <c r="G576" s="4" t="str">
        <f>HYPERLINK("http://141.218.60.56/~jnz1568/getInfo.php?workbook=26_25.xlsx&amp;sheet=A0&amp;row=576&amp;col=7&amp;number=0&amp;sourceID=14","0")</f>
        <v>0</v>
      </c>
    </row>
    <row r="577" spans="1:7">
      <c r="A577" s="3">
        <v>26</v>
      </c>
      <c r="B577" s="3">
        <v>25</v>
      </c>
      <c r="C577" s="3">
        <v>89</v>
      </c>
      <c r="D577" s="3">
        <v>63</v>
      </c>
      <c r="E577" s="3">
        <v>7616.035</v>
      </c>
      <c r="F577" s="4" t="str">
        <f>HYPERLINK("http://141.218.60.56/~jnz1568/getInfo.php?workbook=26_25.xlsx&amp;sheet=A0&amp;row=577&amp;col=6&amp;number=7057&amp;sourceID=14","7057")</f>
        <v>7057</v>
      </c>
      <c r="G577" s="4" t="str">
        <f>HYPERLINK("http://141.218.60.56/~jnz1568/getInfo.php?workbook=26_25.xlsx&amp;sheet=A0&amp;row=577&amp;col=7&amp;number=0&amp;sourceID=14","0")</f>
        <v>0</v>
      </c>
    </row>
    <row r="578" spans="1:7">
      <c r="A578" s="3">
        <v>26</v>
      </c>
      <c r="B578" s="3">
        <v>25</v>
      </c>
      <c r="C578" s="3">
        <v>90</v>
      </c>
      <c r="D578" s="3">
        <v>14</v>
      </c>
      <c r="E578" s="3">
        <v>2000.372</v>
      </c>
      <c r="F578" s="4" t="str">
        <f>HYPERLINK("http://141.218.60.56/~jnz1568/getInfo.php?workbook=26_25.xlsx&amp;sheet=A0&amp;row=578&amp;col=6&amp;number=2199000&amp;sourceID=14","2199000")</f>
        <v>2199000</v>
      </c>
      <c r="G578" s="4" t="str">
        <f>HYPERLINK("http://141.218.60.56/~jnz1568/getInfo.php?workbook=26_25.xlsx&amp;sheet=A0&amp;row=578&amp;col=7&amp;number=0&amp;sourceID=14","0")</f>
        <v>0</v>
      </c>
    </row>
    <row r="579" spans="1:7">
      <c r="A579" s="3">
        <v>26</v>
      </c>
      <c r="B579" s="3">
        <v>25</v>
      </c>
      <c r="C579" s="3">
        <v>90</v>
      </c>
      <c r="D579" s="3">
        <v>15</v>
      </c>
      <c r="E579" s="3">
        <v>2008.358</v>
      </c>
      <c r="F579" s="4" t="str">
        <f>HYPERLINK("http://141.218.60.56/~jnz1568/getInfo.php?workbook=26_25.xlsx&amp;sheet=A0&amp;row=579&amp;col=6&amp;number=23170000&amp;sourceID=14","23170000")</f>
        <v>23170000</v>
      </c>
      <c r="G579" s="4" t="str">
        <f>HYPERLINK("http://141.218.60.56/~jnz1568/getInfo.php?workbook=26_25.xlsx&amp;sheet=A0&amp;row=579&amp;col=7&amp;number=0&amp;sourceID=14","0")</f>
        <v>0</v>
      </c>
    </row>
    <row r="580" spans="1:7">
      <c r="A580" s="3">
        <v>26</v>
      </c>
      <c r="B580" s="3">
        <v>25</v>
      </c>
      <c r="C580" s="3">
        <v>90</v>
      </c>
      <c r="D580" s="3">
        <v>16</v>
      </c>
      <c r="E580" s="3">
        <v>2017.745</v>
      </c>
      <c r="F580" s="4" t="str">
        <f>HYPERLINK("http://141.218.60.56/~jnz1568/getInfo.php?workbook=26_25.xlsx&amp;sheet=A0&amp;row=580&amp;col=6&amp;number=17850000&amp;sourceID=14","17850000")</f>
        <v>17850000</v>
      </c>
      <c r="G580" s="4" t="str">
        <f>HYPERLINK("http://141.218.60.56/~jnz1568/getInfo.php?workbook=26_25.xlsx&amp;sheet=A0&amp;row=580&amp;col=7&amp;number=0&amp;sourceID=14","0")</f>
        <v>0</v>
      </c>
    </row>
    <row r="581" spans="1:7">
      <c r="A581" s="3">
        <v>26</v>
      </c>
      <c r="B581" s="3">
        <v>25</v>
      </c>
      <c r="C581" s="3">
        <v>90</v>
      </c>
      <c r="D581" s="3">
        <v>17</v>
      </c>
      <c r="E581" s="3">
        <v>2345.517</v>
      </c>
      <c r="F581" s="4" t="str">
        <f>HYPERLINK("http://141.218.60.56/~jnz1568/getInfo.php?workbook=26_25.xlsx&amp;sheet=A0&amp;row=581&amp;col=6&amp;number=63720&amp;sourceID=14","63720")</f>
        <v>63720</v>
      </c>
      <c r="G581" s="4" t="str">
        <f>HYPERLINK("http://141.218.60.56/~jnz1568/getInfo.php?workbook=26_25.xlsx&amp;sheet=A0&amp;row=581&amp;col=7&amp;number=0&amp;sourceID=14","0")</f>
        <v>0</v>
      </c>
    </row>
    <row r="582" spans="1:7">
      <c r="A582" s="3">
        <v>26</v>
      </c>
      <c r="B582" s="3">
        <v>25</v>
      </c>
      <c r="C582" s="3">
        <v>90</v>
      </c>
      <c r="D582" s="3">
        <v>18</v>
      </c>
      <c r="E582" s="3">
        <v>2400.784</v>
      </c>
      <c r="F582" s="4" t="str">
        <f>HYPERLINK("http://141.218.60.56/~jnz1568/getInfo.php?workbook=26_25.xlsx&amp;sheet=A0&amp;row=582&amp;col=6&amp;number=633800&amp;sourceID=14","633800")</f>
        <v>633800</v>
      </c>
      <c r="G582" s="4" t="str">
        <f>HYPERLINK("http://141.218.60.56/~jnz1568/getInfo.php?workbook=26_25.xlsx&amp;sheet=A0&amp;row=582&amp;col=7&amp;number=0&amp;sourceID=14","0")</f>
        <v>0</v>
      </c>
    </row>
    <row r="583" spans="1:7">
      <c r="A583" s="3">
        <v>26</v>
      </c>
      <c r="B583" s="3">
        <v>25</v>
      </c>
      <c r="C583" s="3">
        <v>90</v>
      </c>
      <c r="D583" s="3">
        <v>19</v>
      </c>
      <c r="E583" s="3">
        <v>2435.742</v>
      </c>
      <c r="F583" s="4" t="str">
        <f>HYPERLINK("http://141.218.60.56/~jnz1568/getInfo.php?workbook=26_25.xlsx&amp;sheet=A0&amp;row=583&amp;col=6&amp;number=474200&amp;sourceID=14","474200")</f>
        <v>474200</v>
      </c>
      <c r="G583" s="4" t="str">
        <f>HYPERLINK("http://141.218.60.56/~jnz1568/getInfo.php?workbook=26_25.xlsx&amp;sheet=A0&amp;row=583&amp;col=7&amp;number=0&amp;sourceID=14","0")</f>
        <v>0</v>
      </c>
    </row>
    <row r="584" spans="1:7">
      <c r="A584" s="3">
        <v>26</v>
      </c>
      <c r="B584" s="3">
        <v>25</v>
      </c>
      <c r="C584" s="3">
        <v>90</v>
      </c>
      <c r="D584" s="3">
        <v>65</v>
      </c>
      <c r="E584" s="3">
        <v>7545.868</v>
      </c>
      <c r="F584" s="4" t="str">
        <f>HYPERLINK("http://141.218.60.56/~jnz1568/getInfo.php?workbook=26_25.xlsx&amp;sheet=A0&amp;row=584&amp;col=6&amp;number=11340&amp;sourceID=14","11340")</f>
        <v>11340</v>
      </c>
      <c r="G584" s="4" t="str">
        <f>HYPERLINK("http://141.218.60.56/~jnz1568/getInfo.php?workbook=26_25.xlsx&amp;sheet=A0&amp;row=584&amp;col=7&amp;number=0&amp;sourceID=14","0")</f>
        <v>0</v>
      </c>
    </row>
    <row r="585" spans="1:7">
      <c r="A585" s="3">
        <v>26</v>
      </c>
      <c r="B585" s="3">
        <v>25</v>
      </c>
      <c r="C585" s="3">
        <v>90</v>
      </c>
      <c r="D585" s="3">
        <v>66</v>
      </c>
      <c r="E585" s="3">
        <v>7164.26</v>
      </c>
      <c r="F585" s="4" t="str">
        <f>HYPERLINK("http://141.218.60.56/~jnz1568/getInfo.php?workbook=26_25.xlsx&amp;sheet=A0&amp;row=585&amp;col=6&amp;number=141400&amp;sourceID=14","141400")</f>
        <v>141400</v>
      </c>
      <c r="G585" s="4" t="str">
        <f>HYPERLINK("http://141.218.60.56/~jnz1568/getInfo.php?workbook=26_25.xlsx&amp;sheet=A0&amp;row=585&amp;col=7&amp;number=0&amp;sourceID=14","0")</f>
        <v>0</v>
      </c>
    </row>
    <row r="586" spans="1:7">
      <c r="A586" s="3">
        <v>26</v>
      </c>
      <c r="B586" s="3">
        <v>25</v>
      </c>
      <c r="C586" s="3">
        <v>90</v>
      </c>
      <c r="D586" s="3">
        <v>67</v>
      </c>
      <c r="E586" s="3">
        <v>6961.785</v>
      </c>
      <c r="F586" s="4" t="str">
        <f>HYPERLINK("http://141.218.60.56/~jnz1568/getInfo.php?workbook=26_25.xlsx&amp;sheet=A0&amp;row=586&amp;col=6&amp;number=120400&amp;sourceID=14","120400")</f>
        <v>120400</v>
      </c>
      <c r="G586" s="4" t="str">
        <f>HYPERLINK("http://141.218.60.56/~jnz1568/getInfo.php?workbook=26_25.xlsx&amp;sheet=A0&amp;row=586&amp;col=7&amp;number=0&amp;sourceID=14","0")</f>
        <v>0</v>
      </c>
    </row>
    <row r="587" spans="1:7">
      <c r="A587" s="3">
        <v>26</v>
      </c>
      <c r="B587" s="3">
        <v>25</v>
      </c>
      <c r="C587" s="3">
        <v>90</v>
      </c>
      <c r="D587" s="3">
        <v>11</v>
      </c>
      <c r="E587" s="3">
        <v>1815.766</v>
      </c>
      <c r="F587" s="4" t="str">
        <f>HYPERLINK("http://141.218.60.56/~jnz1568/getInfo.php?workbook=26_25.xlsx&amp;sheet=A0&amp;row=587&amp;col=6&amp;number=3401000&amp;sourceID=14","3401000")</f>
        <v>3401000</v>
      </c>
      <c r="G587" s="4" t="str">
        <f>HYPERLINK("http://141.218.60.56/~jnz1568/getInfo.php?workbook=26_25.xlsx&amp;sheet=A0&amp;row=587&amp;col=7&amp;number=0&amp;sourceID=14","0")</f>
        <v>0</v>
      </c>
    </row>
    <row r="588" spans="1:7">
      <c r="A588" s="3">
        <v>26</v>
      </c>
      <c r="B588" s="3">
        <v>25</v>
      </c>
      <c r="C588" s="3">
        <v>90</v>
      </c>
      <c r="D588" s="3">
        <v>12</v>
      </c>
      <c r="E588" s="3">
        <v>1825.329</v>
      </c>
      <c r="F588" s="4" t="str">
        <f>HYPERLINK("http://141.218.60.56/~jnz1568/getInfo.php?workbook=26_25.xlsx&amp;sheet=A0&amp;row=588&amp;col=6&amp;number=3826000&amp;sourceID=14","3826000")</f>
        <v>3826000</v>
      </c>
      <c r="G588" s="4" t="str">
        <f>HYPERLINK("http://141.218.60.56/~jnz1568/getInfo.php?workbook=26_25.xlsx&amp;sheet=A0&amp;row=588&amp;col=7&amp;number=0&amp;sourceID=14","0")</f>
        <v>0</v>
      </c>
    </row>
    <row r="589" spans="1:7">
      <c r="A589" s="3">
        <v>26</v>
      </c>
      <c r="B589" s="3">
        <v>25</v>
      </c>
      <c r="C589" s="3">
        <v>90</v>
      </c>
      <c r="D589" s="3">
        <v>13</v>
      </c>
      <c r="E589" s="3">
        <v>1830.887</v>
      </c>
      <c r="F589" s="4" t="str">
        <f>HYPERLINK("http://141.218.60.56/~jnz1568/getInfo.php?workbook=26_25.xlsx&amp;sheet=A0&amp;row=589&amp;col=6&amp;number=2370000&amp;sourceID=14","2370000")</f>
        <v>2370000</v>
      </c>
      <c r="G589" s="4" t="str">
        <f>HYPERLINK("http://141.218.60.56/~jnz1568/getInfo.php?workbook=26_25.xlsx&amp;sheet=A0&amp;row=589&amp;col=7&amp;number=0&amp;sourceID=14","0")</f>
        <v>0</v>
      </c>
    </row>
    <row r="590" spans="1:7">
      <c r="A590" s="3">
        <v>26</v>
      </c>
      <c r="B590" s="3">
        <v>25</v>
      </c>
      <c r="C590" s="3">
        <v>90</v>
      </c>
      <c r="D590" s="3">
        <v>33</v>
      </c>
      <c r="E590" s="3">
        <v>3117.483</v>
      </c>
      <c r="F590" s="4" t="str">
        <f>HYPERLINK("http://141.218.60.56/~jnz1568/getInfo.php?workbook=26_25.xlsx&amp;sheet=A0&amp;row=590&amp;col=6&amp;number=5395000&amp;sourceID=14","5395000")</f>
        <v>5395000</v>
      </c>
      <c r="G590" s="4" t="str">
        <f>HYPERLINK("http://141.218.60.56/~jnz1568/getInfo.php?workbook=26_25.xlsx&amp;sheet=A0&amp;row=590&amp;col=7&amp;number=0&amp;sourceID=14","0")</f>
        <v>0</v>
      </c>
    </row>
    <row r="591" spans="1:7">
      <c r="A591" s="3">
        <v>26</v>
      </c>
      <c r="B591" s="3">
        <v>25</v>
      </c>
      <c r="C591" s="3">
        <v>90</v>
      </c>
      <c r="D591" s="3">
        <v>34</v>
      </c>
      <c r="E591" s="3">
        <v>3115.2</v>
      </c>
      <c r="F591" s="4" t="str">
        <f>HYPERLINK("http://141.218.60.56/~jnz1568/getInfo.php?workbook=26_25.xlsx&amp;sheet=A0&amp;row=591&amp;col=6&amp;number=6180000&amp;sourceID=14","6180000")</f>
        <v>6180000</v>
      </c>
      <c r="G591" s="4" t="str">
        <f>HYPERLINK("http://141.218.60.56/~jnz1568/getInfo.php?workbook=26_25.xlsx&amp;sheet=A0&amp;row=591&amp;col=7&amp;number=0&amp;sourceID=14","0")</f>
        <v>0</v>
      </c>
    </row>
    <row r="592" spans="1:7">
      <c r="A592" s="3">
        <v>26</v>
      </c>
      <c r="B592" s="3">
        <v>25</v>
      </c>
      <c r="C592" s="3">
        <v>90</v>
      </c>
      <c r="D592" s="3">
        <v>35</v>
      </c>
      <c r="E592" s="3">
        <v>3115.589</v>
      </c>
      <c r="F592" s="4" t="str">
        <f>HYPERLINK("http://141.218.60.56/~jnz1568/getInfo.php?workbook=26_25.xlsx&amp;sheet=A0&amp;row=592&amp;col=6&amp;number=3861000&amp;sourceID=14","3861000")</f>
        <v>3861000</v>
      </c>
      <c r="G592" s="4" t="str">
        <f>HYPERLINK("http://141.218.60.56/~jnz1568/getInfo.php?workbook=26_25.xlsx&amp;sheet=A0&amp;row=592&amp;col=7&amp;number=0&amp;sourceID=14","0")</f>
        <v>0</v>
      </c>
    </row>
    <row r="593" spans="1:7">
      <c r="A593" s="3">
        <v>26</v>
      </c>
      <c r="B593" s="3">
        <v>25</v>
      </c>
      <c r="C593" s="3">
        <v>90</v>
      </c>
      <c r="D593" s="3">
        <v>8</v>
      </c>
      <c r="E593" s="3">
        <v>1649.426</v>
      </c>
      <c r="F593" s="4" t="str">
        <f>HYPERLINK("http://141.218.60.56/~jnz1568/getInfo.php?workbook=26_25.xlsx&amp;sheet=A0&amp;row=593&amp;col=6&amp;number=21000000&amp;sourceID=14","21000000")</f>
        <v>21000000</v>
      </c>
      <c r="G593" s="4" t="str">
        <f>HYPERLINK("http://141.218.60.56/~jnz1568/getInfo.php?workbook=26_25.xlsx&amp;sheet=A0&amp;row=593&amp;col=7&amp;number=0&amp;sourceID=14","0")</f>
        <v>0</v>
      </c>
    </row>
    <row r="594" spans="1:7">
      <c r="A594" s="3">
        <v>26</v>
      </c>
      <c r="B594" s="3">
        <v>25</v>
      </c>
      <c r="C594" s="3">
        <v>90</v>
      </c>
      <c r="D594" s="3">
        <v>9</v>
      </c>
      <c r="E594" s="3">
        <v>1657.065</v>
      </c>
      <c r="F594" s="4" t="str">
        <f>HYPERLINK("http://141.218.60.56/~jnz1568/getInfo.php?workbook=26_25.xlsx&amp;sheet=A0&amp;row=594&amp;col=6&amp;number=5153000&amp;sourceID=14","5153000")</f>
        <v>5153000</v>
      </c>
      <c r="G594" s="4" t="str">
        <f>HYPERLINK("http://141.218.60.56/~jnz1568/getInfo.php?workbook=26_25.xlsx&amp;sheet=A0&amp;row=594&amp;col=7&amp;number=0&amp;sourceID=14","0")</f>
        <v>0</v>
      </c>
    </row>
    <row r="595" spans="1:7">
      <c r="A595" s="3">
        <v>26</v>
      </c>
      <c r="B595" s="3">
        <v>25</v>
      </c>
      <c r="C595" s="3">
        <v>90</v>
      </c>
      <c r="D595" s="3">
        <v>26</v>
      </c>
      <c r="E595" s="3">
        <v>2467.567</v>
      </c>
      <c r="F595" s="4" t="str">
        <f>HYPERLINK("http://141.218.60.56/~jnz1568/getInfo.php?workbook=26_25.xlsx&amp;sheet=A0&amp;row=595&amp;col=6&amp;number=227700000&amp;sourceID=14","227700000")</f>
        <v>227700000</v>
      </c>
      <c r="G595" s="4" t="str">
        <f>HYPERLINK("http://141.218.60.56/~jnz1568/getInfo.php?workbook=26_25.xlsx&amp;sheet=A0&amp;row=595&amp;col=7&amp;number=0&amp;sourceID=14","0")</f>
        <v>0</v>
      </c>
    </row>
    <row r="596" spans="1:7">
      <c r="A596" s="3">
        <v>26</v>
      </c>
      <c r="B596" s="3">
        <v>25</v>
      </c>
      <c r="C596" s="3">
        <v>90</v>
      </c>
      <c r="D596" s="3">
        <v>27</v>
      </c>
      <c r="E596" s="3">
        <v>2473.178</v>
      </c>
      <c r="F596" s="4" t="str">
        <f>HYPERLINK("http://141.218.60.56/~jnz1568/getInfo.php?workbook=26_25.xlsx&amp;sheet=A0&amp;row=596&amp;col=6&amp;number=56270000&amp;sourceID=14","56270000")</f>
        <v>56270000</v>
      </c>
      <c r="G596" s="4" t="str">
        <f>HYPERLINK("http://141.218.60.56/~jnz1568/getInfo.php?workbook=26_25.xlsx&amp;sheet=A0&amp;row=596&amp;col=7&amp;number=0&amp;sourceID=14","0")</f>
        <v>0</v>
      </c>
    </row>
    <row r="597" spans="1:7">
      <c r="A597" s="3">
        <v>26</v>
      </c>
      <c r="B597" s="3">
        <v>25</v>
      </c>
      <c r="C597" s="3">
        <v>90</v>
      </c>
      <c r="D597" s="3">
        <v>63</v>
      </c>
      <c r="E597" s="3">
        <v>7506.198</v>
      </c>
      <c r="F597" s="4" t="str">
        <f>HYPERLINK("http://141.218.60.56/~jnz1568/getInfo.php?workbook=26_25.xlsx&amp;sheet=A0&amp;row=597&amp;col=6&amp;number=34080&amp;sourceID=14","34080")</f>
        <v>34080</v>
      </c>
      <c r="G597" s="4" t="str">
        <f>HYPERLINK("http://141.218.60.56/~jnz1568/getInfo.php?workbook=26_25.xlsx&amp;sheet=A0&amp;row=597&amp;col=7&amp;number=0&amp;sourceID=14","0")</f>
        <v>0</v>
      </c>
    </row>
    <row r="598" spans="1:7">
      <c r="A598" s="3">
        <v>26</v>
      </c>
      <c r="B598" s="3">
        <v>25</v>
      </c>
      <c r="C598" s="3">
        <v>90</v>
      </c>
      <c r="D598" s="3">
        <v>64</v>
      </c>
      <c r="E598" s="3">
        <v>7468.707</v>
      </c>
      <c r="F598" s="4" t="str">
        <f>HYPERLINK("http://141.218.60.56/~jnz1568/getInfo.php?workbook=26_25.xlsx&amp;sheet=A0&amp;row=598&amp;col=6&amp;number=8609&amp;sourceID=14","8609")</f>
        <v>8609</v>
      </c>
      <c r="G598" s="4" t="str">
        <f>HYPERLINK("http://141.218.60.56/~jnz1568/getInfo.php?workbook=26_25.xlsx&amp;sheet=A0&amp;row=598&amp;col=7&amp;number=0&amp;sourceID=14","0")</f>
        <v>0</v>
      </c>
    </row>
    <row r="599" spans="1:7">
      <c r="A599" s="3">
        <v>26</v>
      </c>
      <c r="B599" s="3">
        <v>25</v>
      </c>
      <c r="C599" s="3">
        <v>91</v>
      </c>
      <c r="D599" s="3">
        <v>15</v>
      </c>
      <c r="E599" s="3">
        <v>2004.558</v>
      </c>
      <c r="F599" s="4" t="str">
        <f>HYPERLINK("http://141.218.60.56/~jnz1568/getInfo.php?workbook=26_25.xlsx&amp;sheet=A0&amp;row=599&amp;col=6&amp;number=7283000&amp;sourceID=14","7283000")</f>
        <v>7283000</v>
      </c>
      <c r="G599" s="4" t="str">
        <f>HYPERLINK("http://141.218.60.56/~jnz1568/getInfo.php?workbook=26_25.xlsx&amp;sheet=A0&amp;row=599&amp;col=7&amp;number=0&amp;sourceID=14","0")</f>
        <v>0</v>
      </c>
    </row>
    <row r="600" spans="1:7">
      <c r="A600" s="3">
        <v>26</v>
      </c>
      <c r="B600" s="3">
        <v>25</v>
      </c>
      <c r="C600" s="3">
        <v>91</v>
      </c>
      <c r="D600" s="3">
        <v>16</v>
      </c>
      <c r="E600" s="3">
        <v>2013.91</v>
      </c>
      <c r="F600" s="4" t="str">
        <f>HYPERLINK("http://141.218.60.56/~jnz1568/getInfo.php?workbook=26_25.xlsx&amp;sheet=A0&amp;row=600&amp;col=6&amp;number=35910000&amp;sourceID=14","35910000")</f>
        <v>35910000</v>
      </c>
      <c r="G600" s="4" t="str">
        <f>HYPERLINK("http://141.218.60.56/~jnz1568/getInfo.php?workbook=26_25.xlsx&amp;sheet=A0&amp;row=600&amp;col=7&amp;number=0&amp;sourceID=14","0")</f>
        <v>0</v>
      </c>
    </row>
    <row r="601" spans="1:7">
      <c r="A601" s="3">
        <v>26</v>
      </c>
      <c r="B601" s="3">
        <v>25</v>
      </c>
      <c r="C601" s="3">
        <v>91</v>
      </c>
      <c r="D601" s="3">
        <v>18</v>
      </c>
      <c r="E601" s="3">
        <v>2395.357</v>
      </c>
      <c r="F601" s="4" t="str">
        <f>HYPERLINK("http://141.218.60.56/~jnz1568/getInfo.php?workbook=26_25.xlsx&amp;sheet=A0&amp;row=601&amp;col=6&amp;number=199400&amp;sourceID=14","199400")</f>
        <v>199400</v>
      </c>
      <c r="G601" s="4" t="str">
        <f>HYPERLINK("http://141.218.60.56/~jnz1568/getInfo.php?workbook=26_25.xlsx&amp;sheet=A0&amp;row=601&amp;col=7&amp;number=0&amp;sourceID=14","0")</f>
        <v>0</v>
      </c>
    </row>
    <row r="602" spans="1:7">
      <c r="A602" s="3">
        <v>26</v>
      </c>
      <c r="B602" s="3">
        <v>25</v>
      </c>
      <c r="C602" s="3">
        <v>91</v>
      </c>
      <c r="D602" s="3">
        <v>19</v>
      </c>
      <c r="E602" s="3">
        <v>2430.155</v>
      </c>
      <c r="F602" s="4" t="str">
        <f>HYPERLINK("http://141.218.60.56/~jnz1568/getInfo.php?workbook=26_25.xlsx&amp;sheet=A0&amp;row=602&amp;col=6&amp;number=954900&amp;sourceID=14","954900")</f>
        <v>954900</v>
      </c>
      <c r="G602" s="4" t="str">
        <f>HYPERLINK("http://141.218.60.56/~jnz1568/getInfo.php?workbook=26_25.xlsx&amp;sheet=A0&amp;row=602&amp;col=7&amp;number=0&amp;sourceID=14","0")</f>
        <v>0</v>
      </c>
    </row>
    <row r="603" spans="1:7">
      <c r="A603" s="3">
        <v>26</v>
      </c>
      <c r="B603" s="3">
        <v>25</v>
      </c>
      <c r="C603" s="3">
        <v>91</v>
      </c>
      <c r="D603" s="3">
        <v>66</v>
      </c>
      <c r="E603" s="3">
        <v>7116.144</v>
      </c>
      <c r="F603" s="4" t="str">
        <f>HYPERLINK("http://141.218.60.56/~jnz1568/getInfo.php?workbook=26_25.xlsx&amp;sheet=A0&amp;row=603&amp;col=6&amp;number=45080&amp;sourceID=14","45080")</f>
        <v>45080</v>
      </c>
      <c r="G603" s="4" t="str">
        <f>HYPERLINK("http://141.218.60.56/~jnz1568/getInfo.php?workbook=26_25.xlsx&amp;sheet=A0&amp;row=603&amp;col=7&amp;number=0&amp;sourceID=14","0")</f>
        <v>0</v>
      </c>
    </row>
    <row r="604" spans="1:7">
      <c r="A604" s="3">
        <v>26</v>
      </c>
      <c r="B604" s="3">
        <v>25</v>
      </c>
      <c r="C604" s="3">
        <v>91</v>
      </c>
      <c r="D604" s="3">
        <v>67</v>
      </c>
      <c r="E604" s="3">
        <v>6916.341</v>
      </c>
      <c r="F604" s="4" t="str">
        <f>HYPERLINK("http://141.218.60.56/~jnz1568/getInfo.php?workbook=26_25.xlsx&amp;sheet=A0&amp;row=604&amp;col=6&amp;number=245500&amp;sourceID=14","245500")</f>
        <v>245500</v>
      </c>
      <c r="G604" s="4" t="str">
        <f>HYPERLINK("http://141.218.60.56/~jnz1568/getInfo.php?workbook=26_25.xlsx&amp;sheet=A0&amp;row=604&amp;col=7&amp;number=0&amp;sourceID=14","0")</f>
        <v>0</v>
      </c>
    </row>
    <row r="605" spans="1:7">
      <c r="A605" s="3">
        <v>26</v>
      </c>
      <c r="B605" s="3">
        <v>25</v>
      </c>
      <c r="C605" s="3">
        <v>91</v>
      </c>
      <c r="D605" s="3">
        <v>12</v>
      </c>
      <c r="E605" s="3">
        <v>1822.189</v>
      </c>
      <c r="F605" s="4" t="str">
        <f>HYPERLINK("http://141.218.60.56/~jnz1568/getInfo.php?workbook=26_25.xlsx&amp;sheet=A0&amp;row=605&amp;col=6&amp;number=4808000&amp;sourceID=14","4808000")</f>
        <v>4808000</v>
      </c>
      <c r="G605" s="4" t="str">
        <f>HYPERLINK("http://141.218.60.56/~jnz1568/getInfo.php?workbook=26_25.xlsx&amp;sheet=A0&amp;row=605&amp;col=7&amp;number=0&amp;sourceID=14","0")</f>
        <v>0</v>
      </c>
    </row>
    <row r="606" spans="1:7">
      <c r="A606" s="3">
        <v>26</v>
      </c>
      <c r="B606" s="3">
        <v>25</v>
      </c>
      <c r="C606" s="3">
        <v>91</v>
      </c>
      <c r="D606" s="3">
        <v>13</v>
      </c>
      <c r="E606" s="3">
        <v>1827.729</v>
      </c>
      <c r="F606" s="4" t="str">
        <f>HYPERLINK("http://141.218.60.56/~jnz1568/getInfo.php?workbook=26_25.xlsx&amp;sheet=A0&amp;row=606&amp;col=6&amp;number=4764000&amp;sourceID=14","4764000")</f>
        <v>4764000</v>
      </c>
      <c r="G606" s="4" t="str">
        <f>HYPERLINK("http://141.218.60.56/~jnz1568/getInfo.php?workbook=26_25.xlsx&amp;sheet=A0&amp;row=606&amp;col=7&amp;number=0&amp;sourceID=14","0")</f>
        <v>0</v>
      </c>
    </row>
    <row r="607" spans="1:7">
      <c r="A607" s="3">
        <v>26</v>
      </c>
      <c r="B607" s="3">
        <v>25</v>
      </c>
      <c r="C607" s="3">
        <v>91</v>
      </c>
      <c r="D607" s="3">
        <v>34</v>
      </c>
      <c r="E607" s="3">
        <v>3106.068</v>
      </c>
      <c r="F607" s="4" t="str">
        <f>HYPERLINK("http://141.218.60.56/~jnz1568/getInfo.php?workbook=26_25.xlsx&amp;sheet=A0&amp;row=607&amp;col=6&amp;number=7793000&amp;sourceID=14","7793000")</f>
        <v>7793000</v>
      </c>
      <c r="G607" s="4" t="str">
        <f>HYPERLINK("http://141.218.60.56/~jnz1568/getInfo.php?workbook=26_25.xlsx&amp;sheet=A0&amp;row=607&amp;col=7&amp;number=0&amp;sourceID=14","0")</f>
        <v>0</v>
      </c>
    </row>
    <row r="608" spans="1:7">
      <c r="A608" s="3">
        <v>26</v>
      </c>
      <c r="B608" s="3">
        <v>25</v>
      </c>
      <c r="C608" s="3">
        <v>91</v>
      </c>
      <c r="D608" s="3">
        <v>35</v>
      </c>
      <c r="E608" s="3">
        <v>3106.455</v>
      </c>
      <c r="F608" s="4" t="str">
        <f>HYPERLINK("http://141.218.60.56/~jnz1568/getInfo.php?workbook=26_25.xlsx&amp;sheet=A0&amp;row=608&amp;col=6&amp;number=7790000&amp;sourceID=14","7790000")</f>
        <v>7790000</v>
      </c>
      <c r="G608" s="4" t="str">
        <f>HYPERLINK("http://141.218.60.56/~jnz1568/getInfo.php?workbook=26_25.xlsx&amp;sheet=A0&amp;row=608&amp;col=7&amp;number=0&amp;sourceID=14","0")</f>
        <v>0</v>
      </c>
    </row>
    <row r="609" spans="1:7">
      <c r="A609" s="3">
        <v>26</v>
      </c>
      <c r="B609" s="3">
        <v>25</v>
      </c>
      <c r="C609" s="3">
        <v>91</v>
      </c>
      <c r="D609" s="3">
        <v>9</v>
      </c>
      <c r="E609" s="3">
        <v>1654.478</v>
      </c>
      <c r="F609" s="4" t="str">
        <f>HYPERLINK("http://141.218.60.56/~jnz1568/getInfo.php?workbook=26_25.xlsx&amp;sheet=A0&amp;row=609&amp;col=6&amp;number=25890000&amp;sourceID=14","25890000")</f>
        <v>25890000</v>
      </c>
      <c r="G609" s="4" t="str">
        <f>HYPERLINK("http://141.218.60.56/~jnz1568/getInfo.php?workbook=26_25.xlsx&amp;sheet=A0&amp;row=609&amp;col=7&amp;number=0&amp;sourceID=14","0")</f>
        <v>0</v>
      </c>
    </row>
    <row r="610" spans="1:7">
      <c r="A610" s="3">
        <v>26</v>
      </c>
      <c r="B610" s="3">
        <v>25</v>
      </c>
      <c r="C610" s="3">
        <v>91</v>
      </c>
      <c r="D610" s="3">
        <v>27</v>
      </c>
      <c r="E610" s="3">
        <v>2467.419</v>
      </c>
      <c r="F610" s="4" t="str">
        <f>HYPERLINK("http://141.218.60.56/~jnz1568/getInfo.php?workbook=26_25.xlsx&amp;sheet=A0&amp;row=610&amp;col=6&amp;number=283300000&amp;sourceID=14","283300000")</f>
        <v>283300000</v>
      </c>
      <c r="G610" s="4" t="str">
        <f>HYPERLINK("http://141.218.60.56/~jnz1568/getInfo.php?workbook=26_25.xlsx&amp;sheet=A0&amp;row=610&amp;col=7&amp;number=0&amp;sourceID=14","0")</f>
        <v>0</v>
      </c>
    </row>
    <row r="611" spans="1:7">
      <c r="A611" s="3">
        <v>26</v>
      </c>
      <c r="B611" s="3">
        <v>25</v>
      </c>
      <c r="C611" s="3">
        <v>91</v>
      </c>
      <c r="D611" s="3">
        <v>64</v>
      </c>
      <c r="E611" s="3">
        <v>7416.429</v>
      </c>
      <c r="F611" s="4" t="str">
        <f>HYPERLINK("http://141.218.60.56/~jnz1568/getInfo.php?workbook=26_25.xlsx&amp;sheet=A0&amp;row=611&amp;col=6&amp;number=43960&amp;sourceID=14","43960")</f>
        <v>43960</v>
      </c>
      <c r="G611" s="4" t="str">
        <f>HYPERLINK("http://141.218.60.56/~jnz1568/getInfo.php?workbook=26_25.xlsx&amp;sheet=A0&amp;row=611&amp;col=7&amp;number=0&amp;sourceID=14","0")</f>
        <v>0</v>
      </c>
    </row>
    <row r="612" spans="1:7">
      <c r="A612" s="3">
        <v>26</v>
      </c>
      <c r="B612" s="3">
        <v>25</v>
      </c>
      <c r="C612" s="3">
        <v>92</v>
      </c>
      <c r="D612" s="3">
        <v>10</v>
      </c>
      <c r="E612" s="3">
        <v>1844.923</v>
      </c>
      <c r="F612" s="4" t="str">
        <f>HYPERLINK("http://141.218.60.56/~jnz1568/getInfo.php?workbook=26_25.xlsx&amp;sheet=A0&amp;row=612&amp;col=6&amp;number=97360&amp;sourceID=14","97360")</f>
        <v>97360</v>
      </c>
      <c r="G612" s="4" t="str">
        <f>HYPERLINK("http://141.218.60.56/~jnz1568/getInfo.php?workbook=26_25.xlsx&amp;sheet=A0&amp;row=612&amp;col=7&amp;number=0&amp;sourceID=14","0")</f>
        <v>0</v>
      </c>
    </row>
    <row r="613" spans="1:7">
      <c r="A613" s="3">
        <v>26</v>
      </c>
      <c r="B613" s="3">
        <v>25</v>
      </c>
      <c r="C613" s="3">
        <v>92</v>
      </c>
      <c r="D613" s="3">
        <v>32</v>
      </c>
      <c r="E613" s="3">
        <v>3259.991</v>
      </c>
      <c r="F613" s="4" t="str">
        <f>HYPERLINK("http://141.218.60.56/~jnz1568/getInfo.php?workbook=26_25.xlsx&amp;sheet=A0&amp;row=613&amp;col=6&amp;number=9256000&amp;sourceID=14","9256000")</f>
        <v>9256000</v>
      </c>
      <c r="G613" s="4" t="str">
        <f>HYPERLINK("http://141.218.60.56/~jnz1568/getInfo.php?workbook=26_25.xlsx&amp;sheet=A0&amp;row=613&amp;col=7&amp;number=0&amp;sourceID=14","0")</f>
        <v>0</v>
      </c>
    </row>
    <row r="614" spans="1:7">
      <c r="A614" s="3">
        <v>26</v>
      </c>
      <c r="B614" s="3">
        <v>25</v>
      </c>
      <c r="C614" s="3">
        <v>92</v>
      </c>
      <c r="D614" s="3">
        <v>6</v>
      </c>
      <c r="E614" s="3">
        <v>1658.772</v>
      </c>
      <c r="F614" s="4" t="str">
        <f>HYPERLINK("http://141.218.60.56/~jnz1568/getInfo.php?workbook=26_25.xlsx&amp;sheet=A0&amp;row=614&amp;col=6&amp;number=44170000&amp;sourceID=14","44170000")</f>
        <v>44170000</v>
      </c>
      <c r="G614" s="4" t="str">
        <f>HYPERLINK("http://141.218.60.56/~jnz1568/getInfo.php?workbook=26_25.xlsx&amp;sheet=A0&amp;row=614&amp;col=7&amp;number=0&amp;sourceID=14","0")</f>
        <v>0</v>
      </c>
    </row>
    <row r="615" spans="1:7">
      <c r="A615" s="3">
        <v>26</v>
      </c>
      <c r="B615" s="3">
        <v>25</v>
      </c>
      <c r="C615" s="3">
        <v>92</v>
      </c>
      <c r="D615" s="3">
        <v>7</v>
      </c>
      <c r="E615" s="3">
        <v>1674.256</v>
      </c>
      <c r="F615" s="4" t="str">
        <f>HYPERLINK("http://141.218.60.56/~jnz1568/getInfo.php?workbook=26_25.xlsx&amp;sheet=A0&amp;row=615&amp;col=6&amp;number=3887000&amp;sourceID=14","3887000")</f>
        <v>3887000</v>
      </c>
      <c r="G615" s="4" t="str">
        <f>HYPERLINK("http://141.218.60.56/~jnz1568/getInfo.php?workbook=26_25.xlsx&amp;sheet=A0&amp;row=615&amp;col=7&amp;number=0&amp;sourceID=14","0")</f>
        <v>0</v>
      </c>
    </row>
    <row r="616" spans="1:7">
      <c r="A616" s="3">
        <v>26</v>
      </c>
      <c r="B616" s="3">
        <v>25</v>
      </c>
      <c r="C616" s="3">
        <v>92</v>
      </c>
      <c r="D616" s="3">
        <v>24</v>
      </c>
      <c r="E616" s="3">
        <v>2530.306</v>
      </c>
      <c r="F616" s="4" t="str">
        <f>HYPERLINK("http://141.218.60.56/~jnz1568/getInfo.php?workbook=26_25.xlsx&amp;sheet=A0&amp;row=616&amp;col=6&amp;number=221400000&amp;sourceID=14","221400000")</f>
        <v>221400000</v>
      </c>
      <c r="G616" s="4" t="str">
        <f>HYPERLINK("http://141.218.60.56/~jnz1568/getInfo.php?workbook=26_25.xlsx&amp;sheet=A0&amp;row=616&amp;col=7&amp;number=0&amp;sourceID=14","0")</f>
        <v>0</v>
      </c>
    </row>
    <row r="617" spans="1:7">
      <c r="A617" s="3">
        <v>26</v>
      </c>
      <c r="B617" s="3">
        <v>25</v>
      </c>
      <c r="C617" s="3">
        <v>92</v>
      </c>
      <c r="D617" s="3">
        <v>25</v>
      </c>
      <c r="E617" s="3">
        <v>2541.441</v>
      </c>
      <c r="F617" s="4" t="str">
        <f>HYPERLINK("http://141.218.60.56/~jnz1568/getInfo.php?workbook=26_25.xlsx&amp;sheet=A0&amp;row=617&amp;col=6&amp;number=19780000&amp;sourceID=14","19780000")</f>
        <v>19780000</v>
      </c>
      <c r="G617" s="4" t="str">
        <f>HYPERLINK("http://141.218.60.56/~jnz1568/getInfo.php?workbook=26_25.xlsx&amp;sheet=A0&amp;row=617&amp;col=7&amp;number=0&amp;sourceID=14","0")</f>
        <v>0</v>
      </c>
    </row>
    <row r="618" spans="1:7">
      <c r="A618" s="3">
        <v>26</v>
      </c>
      <c r="B618" s="3">
        <v>25</v>
      </c>
      <c r="C618" s="3">
        <v>92</v>
      </c>
      <c r="D618" s="3">
        <v>61</v>
      </c>
      <c r="E618" s="3">
        <v>8332.878</v>
      </c>
      <c r="F618" s="4" t="str">
        <f>HYPERLINK("http://141.218.60.56/~jnz1568/getInfo.php?workbook=26_25.xlsx&amp;sheet=A0&amp;row=618&amp;col=6&amp;number=34760&amp;sourceID=14","34760")</f>
        <v>34760</v>
      </c>
      <c r="G618" s="4" t="str">
        <f>HYPERLINK("http://141.218.60.56/~jnz1568/getInfo.php?workbook=26_25.xlsx&amp;sheet=A0&amp;row=618&amp;col=7&amp;number=0&amp;sourceID=14","0")</f>
        <v>0</v>
      </c>
    </row>
    <row r="619" spans="1:7">
      <c r="A619" s="3">
        <v>26</v>
      </c>
      <c r="B619" s="3">
        <v>25</v>
      </c>
      <c r="C619" s="3">
        <v>92</v>
      </c>
      <c r="D619" s="3">
        <v>62</v>
      </c>
      <c r="E619" s="3">
        <v>8354.012</v>
      </c>
      <c r="F619" s="4" t="str">
        <f>HYPERLINK("http://141.218.60.56/~jnz1568/getInfo.php?workbook=26_25.xlsx&amp;sheet=A0&amp;row=619&amp;col=6&amp;number=3121&amp;sourceID=14","3121")</f>
        <v>3121</v>
      </c>
      <c r="G619" s="4" t="str">
        <f>HYPERLINK("http://141.218.60.56/~jnz1568/getInfo.php?workbook=26_25.xlsx&amp;sheet=A0&amp;row=619&amp;col=7&amp;number=0&amp;sourceID=14","0")</f>
        <v>0</v>
      </c>
    </row>
    <row r="620" spans="1:7">
      <c r="A620" s="3">
        <v>26</v>
      </c>
      <c r="B620" s="3">
        <v>25</v>
      </c>
      <c r="C620" s="3">
        <v>92</v>
      </c>
      <c r="D620" s="3">
        <v>28</v>
      </c>
      <c r="E620" s="3">
        <v>2722.62</v>
      </c>
      <c r="F620" s="4" t="str">
        <f>HYPERLINK("http://141.218.60.56/~jnz1568/getInfo.php?workbook=26_25.xlsx&amp;sheet=A0&amp;row=620&amp;col=6&amp;number=10070000&amp;sourceID=14","10070000")</f>
        <v>10070000</v>
      </c>
      <c r="G620" s="4" t="str">
        <f>HYPERLINK("http://141.218.60.56/~jnz1568/getInfo.php?workbook=26_25.xlsx&amp;sheet=A0&amp;row=620&amp;col=7&amp;number=0&amp;sourceID=14","0")</f>
        <v>0</v>
      </c>
    </row>
    <row r="621" spans="1:7">
      <c r="A621" s="3">
        <v>26</v>
      </c>
      <c r="B621" s="3">
        <v>25</v>
      </c>
      <c r="C621" s="3">
        <v>92</v>
      </c>
      <c r="D621" s="3">
        <v>29</v>
      </c>
      <c r="E621" s="3">
        <v>2750.821</v>
      </c>
      <c r="F621" s="4" t="str">
        <f>HYPERLINK("http://141.218.60.56/~jnz1568/getInfo.php?workbook=26_25.xlsx&amp;sheet=A0&amp;row=621&amp;col=6&amp;number=673900&amp;sourceID=14","673900")</f>
        <v>673900</v>
      </c>
      <c r="G621" s="4" t="str">
        <f>HYPERLINK("http://141.218.60.56/~jnz1568/getInfo.php?workbook=26_25.xlsx&amp;sheet=A0&amp;row=621&amp;col=7&amp;number=0&amp;sourceID=14","0")</f>
        <v>0</v>
      </c>
    </row>
    <row r="622" spans="1:7">
      <c r="A622" s="3">
        <v>26</v>
      </c>
      <c r="B622" s="3">
        <v>25</v>
      </c>
      <c r="C622" s="3">
        <v>92</v>
      </c>
      <c r="D622" s="3">
        <v>30</v>
      </c>
      <c r="E622" s="3">
        <v>2764.227</v>
      </c>
      <c r="F622" s="4" t="str">
        <f>HYPERLINK("http://141.218.60.56/~jnz1568/getInfo.php?workbook=26_25.xlsx&amp;sheet=A0&amp;row=622&amp;col=6&amp;number=19470&amp;sourceID=14","19470")</f>
        <v>19470</v>
      </c>
      <c r="G622" s="4" t="str">
        <f>HYPERLINK("http://141.218.60.56/~jnz1568/getInfo.php?workbook=26_25.xlsx&amp;sheet=A0&amp;row=622&amp;col=7&amp;number=0&amp;sourceID=14","0")</f>
        <v>0</v>
      </c>
    </row>
    <row r="623" spans="1:7">
      <c r="A623" s="3">
        <v>26</v>
      </c>
      <c r="B623" s="3">
        <v>25</v>
      </c>
      <c r="C623" s="3">
        <v>93</v>
      </c>
      <c r="D623" s="3">
        <v>10</v>
      </c>
      <c r="E623" s="3">
        <v>1848.08</v>
      </c>
      <c r="F623" s="4" t="str">
        <f>HYPERLINK("http://141.218.60.56/~jnz1568/getInfo.php?workbook=26_25.xlsx&amp;sheet=A0&amp;row=623&amp;col=6&amp;number=13800&amp;sourceID=14","13800")</f>
        <v>13800</v>
      </c>
      <c r="G623" s="4" t="str">
        <f>HYPERLINK("http://141.218.60.56/~jnz1568/getInfo.php?workbook=26_25.xlsx&amp;sheet=A0&amp;row=623&amp;col=7&amp;number=0&amp;sourceID=14","0")</f>
        <v>0</v>
      </c>
    </row>
    <row r="624" spans="1:7">
      <c r="A624" s="3">
        <v>26</v>
      </c>
      <c r="B624" s="3">
        <v>25</v>
      </c>
      <c r="C624" s="3">
        <v>93</v>
      </c>
      <c r="D624" s="3">
        <v>11</v>
      </c>
      <c r="E624" s="3">
        <v>1863.114</v>
      </c>
      <c r="F624" s="4" t="str">
        <f>HYPERLINK("http://141.218.60.56/~jnz1568/getInfo.php?workbook=26_25.xlsx&amp;sheet=A0&amp;row=624&amp;col=6&amp;number=81060&amp;sourceID=14","81060")</f>
        <v>81060</v>
      </c>
      <c r="G624" s="4" t="str">
        <f>HYPERLINK("http://141.218.60.56/~jnz1568/getInfo.php?workbook=26_25.xlsx&amp;sheet=A0&amp;row=624&amp;col=7&amp;number=0&amp;sourceID=14","0")</f>
        <v>0</v>
      </c>
    </row>
    <row r="625" spans="1:7">
      <c r="A625" s="3">
        <v>26</v>
      </c>
      <c r="B625" s="3">
        <v>25</v>
      </c>
      <c r="C625" s="3">
        <v>93</v>
      </c>
      <c r="D625" s="3">
        <v>32</v>
      </c>
      <c r="E625" s="3">
        <v>3269.861</v>
      </c>
      <c r="F625" s="4" t="str">
        <f>HYPERLINK("http://141.218.60.56/~jnz1568/getInfo.php?workbook=26_25.xlsx&amp;sheet=A0&amp;row=625&amp;col=6&amp;number=1307000&amp;sourceID=14","1307000")</f>
        <v>1307000</v>
      </c>
      <c r="G625" s="4" t="str">
        <f>HYPERLINK("http://141.218.60.56/~jnz1568/getInfo.php?workbook=26_25.xlsx&amp;sheet=A0&amp;row=625&amp;col=7&amp;number=0&amp;sourceID=14","0")</f>
        <v>0</v>
      </c>
    </row>
    <row r="626" spans="1:7">
      <c r="A626" s="3">
        <v>26</v>
      </c>
      <c r="B626" s="3">
        <v>25</v>
      </c>
      <c r="C626" s="3">
        <v>93</v>
      </c>
      <c r="D626" s="3">
        <v>33</v>
      </c>
      <c r="E626" s="3">
        <v>3259.71</v>
      </c>
      <c r="F626" s="4" t="str">
        <f>HYPERLINK("http://141.218.60.56/~jnz1568/getInfo.php?workbook=26_25.xlsx&amp;sheet=A0&amp;row=626&amp;col=6&amp;number=7939000&amp;sourceID=14","7939000")</f>
        <v>7939000</v>
      </c>
      <c r="G626" s="4" t="str">
        <f>HYPERLINK("http://141.218.60.56/~jnz1568/getInfo.php?workbook=26_25.xlsx&amp;sheet=A0&amp;row=626&amp;col=7&amp;number=0&amp;sourceID=14","0")</f>
        <v>0</v>
      </c>
    </row>
    <row r="627" spans="1:7">
      <c r="A627" s="3">
        <v>26</v>
      </c>
      <c r="B627" s="3">
        <v>25</v>
      </c>
      <c r="C627" s="3">
        <v>93</v>
      </c>
      <c r="D627" s="3">
        <v>6</v>
      </c>
      <c r="E627" s="3">
        <v>1661.324</v>
      </c>
      <c r="F627" s="4" t="str">
        <f>HYPERLINK("http://141.218.60.56/~jnz1568/getInfo.php?workbook=26_25.xlsx&amp;sheet=A0&amp;row=627&amp;col=6&amp;number=4973000&amp;sourceID=14","4973000")</f>
        <v>4973000</v>
      </c>
      <c r="G627" s="4" t="str">
        <f>HYPERLINK("http://141.218.60.56/~jnz1568/getInfo.php?workbook=26_25.xlsx&amp;sheet=A0&amp;row=627&amp;col=7&amp;number=0&amp;sourceID=14","0")</f>
        <v>0</v>
      </c>
    </row>
    <row r="628" spans="1:7">
      <c r="A628" s="3">
        <v>26</v>
      </c>
      <c r="B628" s="3">
        <v>25</v>
      </c>
      <c r="C628" s="3">
        <v>93</v>
      </c>
      <c r="D628" s="3">
        <v>7</v>
      </c>
      <c r="E628" s="3">
        <v>1676.856</v>
      </c>
      <c r="F628" s="4" t="str">
        <f>HYPERLINK("http://141.218.60.56/~jnz1568/getInfo.php?workbook=26_25.xlsx&amp;sheet=A0&amp;row=628&amp;col=6&amp;number=35600000&amp;sourceID=14","35600000")</f>
        <v>35600000</v>
      </c>
      <c r="G628" s="4" t="str">
        <f>HYPERLINK("http://141.218.60.56/~jnz1568/getInfo.php?workbook=26_25.xlsx&amp;sheet=A0&amp;row=628&amp;col=7&amp;number=0&amp;sourceID=14","0")</f>
        <v>0</v>
      </c>
    </row>
    <row r="629" spans="1:7">
      <c r="A629" s="3">
        <v>26</v>
      </c>
      <c r="B629" s="3">
        <v>25</v>
      </c>
      <c r="C629" s="3">
        <v>93</v>
      </c>
      <c r="D629" s="3">
        <v>8</v>
      </c>
      <c r="E629" s="3">
        <v>1688.403</v>
      </c>
      <c r="F629" s="4" t="str">
        <f>HYPERLINK("http://141.218.60.56/~jnz1568/getInfo.php?workbook=26_25.xlsx&amp;sheet=A0&amp;row=629&amp;col=6&amp;number=6126000&amp;sourceID=14","6126000")</f>
        <v>6126000</v>
      </c>
      <c r="G629" s="4" t="str">
        <f>HYPERLINK("http://141.218.60.56/~jnz1568/getInfo.php?workbook=26_25.xlsx&amp;sheet=A0&amp;row=629&amp;col=7&amp;number=0&amp;sourceID=14","0")</f>
        <v>0</v>
      </c>
    </row>
    <row r="630" spans="1:7">
      <c r="A630" s="3">
        <v>26</v>
      </c>
      <c r="B630" s="3">
        <v>25</v>
      </c>
      <c r="C630" s="3">
        <v>93</v>
      </c>
      <c r="D630" s="3">
        <v>24</v>
      </c>
      <c r="E630" s="3">
        <v>2536.249</v>
      </c>
      <c r="F630" s="4" t="str">
        <f>HYPERLINK("http://141.218.60.56/~jnz1568/getInfo.php?workbook=26_25.xlsx&amp;sheet=A0&amp;row=630&amp;col=6&amp;number=24870000&amp;sourceID=14","24870000")</f>
        <v>24870000</v>
      </c>
      <c r="G630" s="4" t="str">
        <f>HYPERLINK("http://141.218.60.56/~jnz1568/getInfo.php?workbook=26_25.xlsx&amp;sheet=A0&amp;row=630&amp;col=7&amp;number=0&amp;sourceID=14","0")</f>
        <v>0</v>
      </c>
    </row>
    <row r="631" spans="1:7">
      <c r="A631" s="3">
        <v>26</v>
      </c>
      <c r="B631" s="3">
        <v>25</v>
      </c>
      <c r="C631" s="3">
        <v>93</v>
      </c>
      <c r="D631" s="3">
        <v>25</v>
      </c>
      <c r="E631" s="3">
        <v>2547.436</v>
      </c>
      <c r="F631" s="4" t="str">
        <f>HYPERLINK("http://141.218.60.56/~jnz1568/getInfo.php?workbook=26_25.xlsx&amp;sheet=A0&amp;row=631&amp;col=6&amp;number=180700000&amp;sourceID=14","180700000")</f>
        <v>180700000</v>
      </c>
      <c r="G631" s="4" t="str">
        <f>HYPERLINK("http://141.218.60.56/~jnz1568/getInfo.php?workbook=26_25.xlsx&amp;sheet=A0&amp;row=631&amp;col=7&amp;number=0&amp;sourceID=14","0")</f>
        <v>0</v>
      </c>
    </row>
    <row r="632" spans="1:7">
      <c r="A632" s="3">
        <v>26</v>
      </c>
      <c r="B632" s="3">
        <v>25</v>
      </c>
      <c r="C632" s="3">
        <v>93</v>
      </c>
      <c r="D632" s="3">
        <v>26</v>
      </c>
      <c r="E632" s="3">
        <v>2555.835</v>
      </c>
      <c r="F632" s="4" t="str">
        <f>HYPERLINK("http://141.218.60.56/~jnz1568/getInfo.php?workbook=26_25.xlsx&amp;sheet=A0&amp;row=632&amp;col=6&amp;number=31430000&amp;sourceID=14","31430000")</f>
        <v>31430000</v>
      </c>
      <c r="G632" s="4" t="str">
        <f>HYPERLINK("http://141.218.60.56/~jnz1568/getInfo.php?workbook=26_25.xlsx&amp;sheet=A0&amp;row=632&amp;col=7&amp;number=0&amp;sourceID=14","0")</f>
        <v>0</v>
      </c>
    </row>
    <row r="633" spans="1:7">
      <c r="A633" s="3">
        <v>26</v>
      </c>
      <c r="B633" s="3">
        <v>25</v>
      </c>
      <c r="C633" s="3">
        <v>93</v>
      </c>
      <c r="D633" s="3">
        <v>61</v>
      </c>
      <c r="E633" s="3">
        <v>8397.669</v>
      </c>
      <c r="F633" s="4" t="str">
        <f>HYPERLINK("http://141.218.60.56/~jnz1568/getInfo.php?workbook=26_25.xlsx&amp;sheet=A0&amp;row=633&amp;col=6&amp;number=3840&amp;sourceID=14","3840")</f>
        <v>3840</v>
      </c>
      <c r="G633" s="4" t="str">
        <f>HYPERLINK("http://141.218.60.56/~jnz1568/getInfo.php?workbook=26_25.xlsx&amp;sheet=A0&amp;row=633&amp;col=7&amp;number=0&amp;sourceID=14","0")</f>
        <v>0</v>
      </c>
    </row>
    <row r="634" spans="1:7">
      <c r="A634" s="3">
        <v>26</v>
      </c>
      <c r="B634" s="3">
        <v>25</v>
      </c>
      <c r="C634" s="3">
        <v>93</v>
      </c>
      <c r="D634" s="3">
        <v>62</v>
      </c>
      <c r="E634" s="3">
        <v>8419.133</v>
      </c>
      <c r="F634" s="4" t="str">
        <f>HYPERLINK("http://141.218.60.56/~jnz1568/getInfo.php?workbook=26_25.xlsx&amp;sheet=A0&amp;row=634&amp;col=6&amp;number=28050&amp;sourceID=14","28050")</f>
        <v>28050</v>
      </c>
      <c r="G634" s="4" t="str">
        <f>HYPERLINK("http://141.218.60.56/~jnz1568/getInfo.php?workbook=26_25.xlsx&amp;sheet=A0&amp;row=634&amp;col=7&amp;number=0&amp;sourceID=14","0")</f>
        <v>0</v>
      </c>
    </row>
    <row r="635" spans="1:7">
      <c r="A635" s="3">
        <v>26</v>
      </c>
      <c r="B635" s="3">
        <v>25</v>
      </c>
      <c r="C635" s="3">
        <v>93</v>
      </c>
      <c r="D635" s="3">
        <v>63</v>
      </c>
      <c r="E635" s="3">
        <v>8387.338</v>
      </c>
      <c r="F635" s="4" t="str">
        <f>HYPERLINK("http://141.218.60.56/~jnz1568/getInfo.php?workbook=26_25.xlsx&amp;sheet=A0&amp;row=635&amp;col=6&amp;number=4985&amp;sourceID=14","4985")</f>
        <v>4985</v>
      </c>
      <c r="G635" s="4" t="str">
        <f>HYPERLINK("http://141.218.60.56/~jnz1568/getInfo.php?workbook=26_25.xlsx&amp;sheet=A0&amp;row=635&amp;col=7&amp;number=0&amp;sourceID=14","0")</f>
        <v>0</v>
      </c>
    </row>
    <row r="636" spans="1:7">
      <c r="A636" s="3">
        <v>26</v>
      </c>
      <c r="B636" s="3">
        <v>25</v>
      </c>
      <c r="C636" s="3">
        <v>93</v>
      </c>
      <c r="D636" s="3">
        <v>29</v>
      </c>
      <c r="E636" s="3">
        <v>2757.845</v>
      </c>
      <c r="F636" s="4" t="str">
        <f>HYPERLINK("http://141.218.60.56/~jnz1568/getInfo.php?workbook=26_25.xlsx&amp;sheet=A0&amp;row=636&amp;col=6&amp;number=9239000&amp;sourceID=14","9239000")</f>
        <v>9239000</v>
      </c>
      <c r="G636" s="4" t="str">
        <f>HYPERLINK("http://141.218.60.56/~jnz1568/getInfo.php?workbook=26_25.xlsx&amp;sheet=A0&amp;row=636&amp;col=7&amp;number=0&amp;sourceID=14","0")</f>
        <v>0</v>
      </c>
    </row>
    <row r="637" spans="1:7">
      <c r="A637" s="3">
        <v>26</v>
      </c>
      <c r="B637" s="3">
        <v>25</v>
      </c>
      <c r="C637" s="3">
        <v>93</v>
      </c>
      <c r="D637" s="3">
        <v>30</v>
      </c>
      <c r="E637" s="3">
        <v>2771.32</v>
      </c>
      <c r="F637" s="4" t="str">
        <f>HYPERLINK("http://141.218.60.56/~jnz1568/getInfo.php?workbook=26_25.xlsx&amp;sheet=A0&amp;row=637&amp;col=6&amp;number=1080000&amp;sourceID=14","1080000")</f>
        <v>1080000</v>
      </c>
      <c r="G637" s="4" t="str">
        <f>HYPERLINK("http://141.218.60.56/~jnz1568/getInfo.php?workbook=26_25.xlsx&amp;sheet=A0&amp;row=637&amp;col=7&amp;number=0&amp;sourceID=14","0")</f>
        <v>0</v>
      </c>
    </row>
    <row r="638" spans="1:7">
      <c r="A638" s="3">
        <v>26</v>
      </c>
      <c r="B638" s="3">
        <v>25</v>
      </c>
      <c r="C638" s="3">
        <v>93</v>
      </c>
      <c r="D638" s="3">
        <v>31</v>
      </c>
      <c r="E638" s="3">
        <v>2776.999</v>
      </c>
      <c r="F638" s="4" t="str">
        <f>HYPERLINK("http://141.218.60.56/~jnz1568/getInfo.php?workbook=26_25.xlsx&amp;sheet=A0&amp;row=638&amp;col=6&amp;number=29650&amp;sourceID=14","29650")</f>
        <v>29650</v>
      </c>
      <c r="G638" s="4" t="str">
        <f>HYPERLINK("http://141.218.60.56/~jnz1568/getInfo.php?workbook=26_25.xlsx&amp;sheet=A0&amp;row=638&amp;col=7&amp;number=0&amp;sourceID=14","0")</f>
        <v>0</v>
      </c>
    </row>
    <row r="639" spans="1:7">
      <c r="A639" s="3">
        <v>26</v>
      </c>
      <c r="B639" s="3">
        <v>25</v>
      </c>
      <c r="C639" s="3">
        <v>94</v>
      </c>
      <c r="D639" s="3">
        <v>11</v>
      </c>
      <c r="E639" s="3">
        <v>1860.132</v>
      </c>
      <c r="F639" s="4" t="str">
        <f>HYPERLINK("http://141.218.60.56/~jnz1568/getInfo.php?workbook=26_25.xlsx&amp;sheet=A0&amp;row=639&amp;col=6&amp;number=23110&amp;sourceID=14","23110")</f>
        <v>23110</v>
      </c>
      <c r="G639" s="4" t="str">
        <f>HYPERLINK("http://141.218.60.56/~jnz1568/getInfo.php?workbook=26_25.xlsx&amp;sheet=A0&amp;row=639&amp;col=7&amp;number=0&amp;sourceID=14","0")</f>
        <v>0</v>
      </c>
    </row>
    <row r="640" spans="1:7">
      <c r="A640" s="3">
        <v>26</v>
      </c>
      <c r="B640" s="3">
        <v>25</v>
      </c>
      <c r="C640" s="3">
        <v>94</v>
      </c>
      <c r="D640" s="3">
        <v>12</v>
      </c>
      <c r="E640" s="3">
        <v>1870.169</v>
      </c>
      <c r="F640" s="4" t="str">
        <f>HYPERLINK("http://141.218.60.56/~jnz1568/getInfo.php?workbook=26_25.xlsx&amp;sheet=A0&amp;row=640&amp;col=6&amp;number=70100&amp;sourceID=14","70100")</f>
        <v>70100</v>
      </c>
      <c r="G640" s="4" t="str">
        <f>HYPERLINK("http://141.218.60.56/~jnz1568/getInfo.php?workbook=26_25.xlsx&amp;sheet=A0&amp;row=640&amp;col=7&amp;number=0&amp;sourceID=14","0")</f>
        <v>0</v>
      </c>
    </row>
    <row r="641" spans="1:7">
      <c r="A641" s="3">
        <v>26</v>
      </c>
      <c r="B641" s="3">
        <v>25</v>
      </c>
      <c r="C641" s="3">
        <v>94</v>
      </c>
      <c r="D641" s="3">
        <v>32</v>
      </c>
      <c r="E641" s="3">
        <v>3260.687</v>
      </c>
      <c r="F641" s="4" t="str">
        <f>HYPERLINK("http://141.218.60.56/~jnz1568/getInfo.php?workbook=26_25.xlsx&amp;sheet=A0&amp;row=641&amp;col=6&amp;number=89420&amp;sourceID=14","89420")</f>
        <v>89420</v>
      </c>
      <c r="G641" s="4" t="str">
        <f>HYPERLINK("http://141.218.60.56/~jnz1568/getInfo.php?workbook=26_25.xlsx&amp;sheet=A0&amp;row=641&amp;col=7&amp;number=0&amp;sourceID=14","0")</f>
        <v>0</v>
      </c>
    </row>
    <row r="642" spans="1:7">
      <c r="A642" s="3">
        <v>26</v>
      </c>
      <c r="B642" s="3">
        <v>25</v>
      </c>
      <c r="C642" s="3">
        <v>94</v>
      </c>
      <c r="D642" s="3">
        <v>33</v>
      </c>
      <c r="E642" s="3">
        <v>3250.593</v>
      </c>
      <c r="F642" s="4" t="str">
        <f>HYPERLINK("http://141.218.60.56/~jnz1568/getInfo.php?workbook=26_25.xlsx&amp;sheet=A0&amp;row=642&amp;col=6&amp;number=2272000&amp;sourceID=14","2272000")</f>
        <v>2272000</v>
      </c>
      <c r="G642" s="4" t="str">
        <f>HYPERLINK("http://141.218.60.56/~jnz1568/getInfo.php?workbook=26_25.xlsx&amp;sheet=A0&amp;row=642&amp;col=7&amp;number=0&amp;sourceID=14","0")</f>
        <v>0</v>
      </c>
    </row>
    <row r="643" spans="1:7">
      <c r="A643" s="3">
        <v>26</v>
      </c>
      <c r="B643" s="3">
        <v>25</v>
      </c>
      <c r="C643" s="3">
        <v>94</v>
      </c>
      <c r="D643" s="3">
        <v>34</v>
      </c>
      <c r="E643" s="3">
        <v>3248.111</v>
      </c>
      <c r="F643" s="4" t="str">
        <f>HYPERLINK("http://141.218.60.56/~jnz1568/getInfo.php?workbook=26_25.xlsx&amp;sheet=A0&amp;row=643&amp;col=6&amp;number=7019000&amp;sourceID=14","7019000")</f>
        <v>7019000</v>
      </c>
      <c r="G643" s="4" t="str">
        <f>HYPERLINK("http://141.218.60.56/~jnz1568/getInfo.php?workbook=26_25.xlsx&amp;sheet=A0&amp;row=643&amp;col=7&amp;number=0&amp;sourceID=14","0")</f>
        <v>0</v>
      </c>
    </row>
    <row r="644" spans="1:7">
      <c r="A644" s="3">
        <v>26</v>
      </c>
      <c r="B644" s="3">
        <v>25</v>
      </c>
      <c r="C644" s="3">
        <v>94</v>
      </c>
      <c r="D644" s="3">
        <v>7</v>
      </c>
      <c r="E644" s="3">
        <v>1674.44</v>
      </c>
      <c r="F644" s="4" t="str">
        <f>HYPERLINK("http://141.218.60.56/~jnz1568/getInfo.php?workbook=26_25.xlsx&amp;sheet=A0&amp;row=644&amp;col=6&amp;number=8374000&amp;sourceID=14","8374000")</f>
        <v>8374000</v>
      </c>
      <c r="G644" s="4" t="str">
        <f>HYPERLINK("http://141.218.60.56/~jnz1568/getInfo.php?workbook=26_25.xlsx&amp;sheet=A0&amp;row=644&amp;col=7&amp;number=0&amp;sourceID=14","0")</f>
        <v>0</v>
      </c>
    </row>
    <row r="645" spans="1:7">
      <c r="A645" s="3">
        <v>26</v>
      </c>
      <c r="B645" s="3">
        <v>25</v>
      </c>
      <c r="C645" s="3">
        <v>94</v>
      </c>
      <c r="D645" s="3">
        <v>8</v>
      </c>
      <c r="E645" s="3">
        <v>1685.954</v>
      </c>
      <c r="F645" s="4" t="str">
        <f>HYPERLINK("http://141.218.60.56/~jnz1568/getInfo.php?workbook=26_25.xlsx&amp;sheet=A0&amp;row=645&amp;col=6&amp;number=31610000&amp;sourceID=14","31610000")</f>
        <v>31610000</v>
      </c>
      <c r="G645" s="4" t="str">
        <f>HYPERLINK("http://141.218.60.56/~jnz1568/getInfo.php?workbook=26_25.xlsx&amp;sheet=A0&amp;row=645&amp;col=7&amp;number=0&amp;sourceID=14","0")</f>
        <v>0</v>
      </c>
    </row>
    <row r="646" spans="1:7">
      <c r="A646" s="3">
        <v>26</v>
      </c>
      <c r="B646" s="3">
        <v>25</v>
      </c>
      <c r="C646" s="3">
        <v>94</v>
      </c>
      <c r="D646" s="3">
        <v>9</v>
      </c>
      <c r="E646" s="3">
        <v>1693.936</v>
      </c>
      <c r="F646" s="4" t="str">
        <f>HYPERLINK("http://141.218.60.56/~jnz1568/getInfo.php?workbook=26_25.xlsx&amp;sheet=A0&amp;row=646&amp;col=6&amp;number=6039000&amp;sourceID=14","6039000")</f>
        <v>6039000</v>
      </c>
      <c r="G646" s="4" t="str">
        <f>HYPERLINK("http://141.218.60.56/~jnz1568/getInfo.php?workbook=26_25.xlsx&amp;sheet=A0&amp;row=646&amp;col=7&amp;number=0&amp;sourceID=14","0")</f>
        <v>0</v>
      </c>
    </row>
    <row r="647" spans="1:7">
      <c r="A647" s="3">
        <v>26</v>
      </c>
      <c r="B647" s="3">
        <v>25</v>
      </c>
      <c r="C647" s="3">
        <v>94</v>
      </c>
      <c r="D647" s="3">
        <v>25</v>
      </c>
      <c r="E647" s="3">
        <v>2541.864</v>
      </c>
      <c r="F647" s="4" t="str">
        <f>HYPERLINK("http://141.218.60.56/~jnz1568/getInfo.php?workbook=26_25.xlsx&amp;sheet=A0&amp;row=647&amp;col=6&amp;number=42600000&amp;sourceID=14","42600000")</f>
        <v>42600000</v>
      </c>
      <c r="G647" s="4" t="str">
        <f>HYPERLINK("http://141.218.60.56/~jnz1568/getInfo.php?workbook=26_25.xlsx&amp;sheet=A0&amp;row=647&amp;col=7&amp;number=0&amp;sourceID=14","0")</f>
        <v>0</v>
      </c>
    </row>
    <row r="648" spans="1:7">
      <c r="A648" s="3">
        <v>26</v>
      </c>
      <c r="B648" s="3">
        <v>25</v>
      </c>
      <c r="C648" s="3">
        <v>94</v>
      </c>
      <c r="D648" s="3">
        <v>26</v>
      </c>
      <c r="E648" s="3">
        <v>2550.227</v>
      </c>
      <c r="F648" s="4" t="str">
        <f>HYPERLINK("http://141.218.60.56/~jnz1568/getInfo.php?workbook=26_25.xlsx&amp;sheet=A0&amp;row=648&amp;col=6&amp;number=162500000&amp;sourceID=14","162500000")</f>
        <v>162500000</v>
      </c>
      <c r="G648" s="4" t="str">
        <f>HYPERLINK("http://141.218.60.56/~jnz1568/getInfo.php?workbook=26_25.xlsx&amp;sheet=A0&amp;row=648&amp;col=7&amp;number=0&amp;sourceID=14","0")</f>
        <v>0</v>
      </c>
    </row>
    <row r="649" spans="1:7">
      <c r="A649" s="3">
        <v>26</v>
      </c>
      <c r="B649" s="3">
        <v>25</v>
      </c>
      <c r="C649" s="3">
        <v>94</v>
      </c>
      <c r="D649" s="3">
        <v>27</v>
      </c>
      <c r="E649" s="3">
        <v>2556.22</v>
      </c>
      <c r="F649" s="4" t="str">
        <f>HYPERLINK("http://141.218.60.56/~jnz1568/getInfo.php?workbook=26_25.xlsx&amp;sheet=A0&amp;row=649&amp;col=6&amp;number=31270000&amp;sourceID=14","31270000")</f>
        <v>31270000</v>
      </c>
      <c r="G649" s="4" t="str">
        <f>HYPERLINK("http://141.218.60.56/~jnz1568/getInfo.php?workbook=26_25.xlsx&amp;sheet=A0&amp;row=649&amp;col=7&amp;number=0&amp;sourceID=14","0")</f>
        <v>0</v>
      </c>
    </row>
    <row r="650" spans="1:7">
      <c r="A650" s="3">
        <v>26</v>
      </c>
      <c r="B650" s="3">
        <v>25</v>
      </c>
      <c r="C650" s="3">
        <v>94</v>
      </c>
      <c r="D650" s="3">
        <v>62</v>
      </c>
      <c r="E650" s="3">
        <v>8358.583</v>
      </c>
      <c r="F650" s="4" t="str">
        <f>HYPERLINK("http://141.218.60.56/~jnz1568/getInfo.php?workbook=26_25.xlsx&amp;sheet=A0&amp;row=650&amp;col=6&amp;number=6715&amp;sourceID=14","6715")</f>
        <v>6715</v>
      </c>
      <c r="G650" s="4" t="str">
        <f>HYPERLINK("http://141.218.60.56/~jnz1568/getInfo.php?workbook=26_25.xlsx&amp;sheet=A0&amp;row=650&amp;col=7&amp;number=0&amp;sourceID=14","0")</f>
        <v>0</v>
      </c>
    </row>
    <row r="651" spans="1:7">
      <c r="A651" s="3">
        <v>26</v>
      </c>
      <c r="B651" s="3">
        <v>25</v>
      </c>
      <c r="C651" s="3">
        <v>94</v>
      </c>
      <c r="D651" s="3">
        <v>63</v>
      </c>
      <c r="E651" s="3">
        <v>8327.242</v>
      </c>
      <c r="F651" s="4" t="str">
        <f>HYPERLINK("http://141.218.60.56/~jnz1568/getInfo.php?workbook=26_25.xlsx&amp;sheet=A0&amp;row=651&amp;col=6&amp;number=26170&amp;sourceID=14","26170")</f>
        <v>26170</v>
      </c>
      <c r="G651" s="4" t="str">
        <f>HYPERLINK("http://141.218.60.56/~jnz1568/getInfo.php?workbook=26_25.xlsx&amp;sheet=A0&amp;row=651&amp;col=7&amp;number=0&amp;sourceID=14","0")</f>
        <v>0</v>
      </c>
    </row>
    <row r="652" spans="1:7">
      <c r="A652" s="3">
        <v>26</v>
      </c>
      <c r="B652" s="3">
        <v>25</v>
      </c>
      <c r="C652" s="3">
        <v>94</v>
      </c>
      <c r="D652" s="3">
        <v>64</v>
      </c>
      <c r="E652" s="3">
        <v>8281.126</v>
      </c>
      <c r="F652" s="4" t="str">
        <f>HYPERLINK("http://141.218.60.56/~jnz1568/getInfo.php?workbook=26_25.xlsx&amp;sheet=A0&amp;row=652&amp;col=6&amp;number=5156&amp;sourceID=14","5156")</f>
        <v>5156</v>
      </c>
      <c r="G652" s="4" t="str">
        <f>HYPERLINK("http://141.218.60.56/~jnz1568/getInfo.php?workbook=26_25.xlsx&amp;sheet=A0&amp;row=652&amp;col=7&amp;number=0&amp;sourceID=14","0")</f>
        <v>0</v>
      </c>
    </row>
    <row r="653" spans="1:7">
      <c r="A653" s="3">
        <v>26</v>
      </c>
      <c r="B653" s="3">
        <v>25</v>
      </c>
      <c r="C653" s="3">
        <v>94</v>
      </c>
      <c r="D653" s="3">
        <v>30</v>
      </c>
      <c r="E653" s="3">
        <v>2764.727</v>
      </c>
      <c r="F653" s="4" t="str">
        <f>HYPERLINK("http://141.218.60.56/~jnz1568/getInfo.php?workbook=26_25.xlsx&amp;sheet=A0&amp;row=653&amp;col=6&amp;number=9195000&amp;sourceID=14","9195000")</f>
        <v>9195000</v>
      </c>
      <c r="G653" s="4" t="str">
        <f>HYPERLINK("http://141.218.60.56/~jnz1568/getInfo.php?workbook=26_25.xlsx&amp;sheet=A0&amp;row=653&amp;col=7&amp;number=0&amp;sourceID=14","0")</f>
        <v>0</v>
      </c>
    </row>
    <row r="654" spans="1:7">
      <c r="A654" s="3">
        <v>26</v>
      </c>
      <c r="B654" s="3">
        <v>25</v>
      </c>
      <c r="C654" s="3">
        <v>94</v>
      </c>
      <c r="D654" s="3">
        <v>31</v>
      </c>
      <c r="E654" s="3">
        <v>2770.379</v>
      </c>
      <c r="F654" s="4" t="str">
        <f>HYPERLINK("http://141.218.60.56/~jnz1568/getInfo.php?workbook=26_25.xlsx&amp;sheet=A0&amp;row=654&amp;col=6&amp;number=1100000&amp;sourceID=14","1100000")</f>
        <v>1100000</v>
      </c>
      <c r="G654" s="4" t="str">
        <f>HYPERLINK("http://141.218.60.56/~jnz1568/getInfo.php?workbook=26_25.xlsx&amp;sheet=A0&amp;row=654&amp;col=7&amp;number=0&amp;sourceID=14","0")</f>
        <v>0</v>
      </c>
    </row>
    <row r="655" spans="1:7">
      <c r="A655" s="3">
        <v>26</v>
      </c>
      <c r="B655" s="3">
        <v>25</v>
      </c>
      <c r="C655" s="3">
        <v>95</v>
      </c>
      <c r="D655" s="3">
        <v>12</v>
      </c>
      <c r="E655" s="3">
        <v>1866.923</v>
      </c>
      <c r="F655" s="4" t="str">
        <f>HYPERLINK("http://141.218.60.56/~jnz1568/getInfo.php?workbook=26_25.xlsx&amp;sheet=A0&amp;row=655&amp;col=6&amp;number=26310&amp;sourceID=14","26310")</f>
        <v>26310</v>
      </c>
      <c r="G655" s="4" t="str">
        <f>HYPERLINK("http://141.218.60.56/~jnz1568/getInfo.php?workbook=26_25.xlsx&amp;sheet=A0&amp;row=655&amp;col=7&amp;number=0&amp;sourceID=14","0")</f>
        <v>0</v>
      </c>
    </row>
    <row r="656" spans="1:7">
      <c r="A656" s="3">
        <v>26</v>
      </c>
      <c r="B656" s="3">
        <v>25</v>
      </c>
      <c r="C656" s="3">
        <v>95</v>
      </c>
      <c r="D656" s="3">
        <v>13</v>
      </c>
      <c r="E656" s="3">
        <v>1872.738</v>
      </c>
      <c r="F656" s="4" t="str">
        <f>HYPERLINK("http://141.218.60.56/~jnz1568/getInfo.php?workbook=26_25.xlsx&amp;sheet=A0&amp;row=656&amp;col=6&amp;number=65160&amp;sourceID=14","65160")</f>
        <v>65160</v>
      </c>
      <c r="G656" s="4" t="str">
        <f>HYPERLINK("http://141.218.60.56/~jnz1568/getInfo.php?workbook=26_25.xlsx&amp;sheet=A0&amp;row=656&amp;col=7&amp;number=0&amp;sourceID=14","0")</f>
        <v>0</v>
      </c>
    </row>
    <row r="657" spans="1:7">
      <c r="A657" s="3">
        <v>26</v>
      </c>
      <c r="B657" s="3">
        <v>25</v>
      </c>
      <c r="C657" s="3">
        <v>95</v>
      </c>
      <c r="D657" s="3">
        <v>33</v>
      </c>
      <c r="E657" s="3">
        <v>3240.801</v>
      </c>
      <c r="F657" s="4" t="str">
        <f>HYPERLINK("http://141.218.60.56/~jnz1568/getInfo.php?workbook=26_25.xlsx&amp;sheet=A0&amp;row=657&amp;col=6&amp;number=188400&amp;sourceID=14","188400")</f>
        <v>188400</v>
      </c>
      <c r="G657" s="4" t="str">
        <f>HYPERLINK("http://141.218.60.56/~jnz1568/getInfo.php?workbook=26_25.xlsx&amp;sheet=A0&amp;row=657&amp;col=7&amp;number=0&amp;sourceID=14","0")</f>
        <v>0</v>
      </c>
    </row>
    <row r="658" spans="1:7">
      <c r="A658" s="3">
        <v>26</v>
      </c>
      <c r="B658" s="3">
        <v>25</v>
      </c>
      <c r="C658" s="3">
        <v>95</v>
      </c>
      <c r="D658" s="3">
        <v>34</v>
      </c>
      <c r="E658" s="3">
        <v>3238.334</v>
      </c>
      <c r="F658" s="4" t="str">
        <f>HYPERLINK("http://141.218.60.56/~jnz1568/getInfo.php?workbook=26_25.xlsx&amp;sheet=A0&amp;row=658&amp;col=6&amp;number=2644000&amp;sourceID=14","2644000")</f>
        <v>2644000</v>
      </c>
      <c r="G658" s="4" t="str">
        <f>HYPERLINK("http://141.218.60.56/~jnz1568/getInfo.php?workbook=26_25.xlsx&amp;sheet=A0&amp;row=658&amp;col=7&amp;number=0&amp;sourceID=14","0")</f>
        <v>0</v>
      </c>
    </row>
    <row r="659" spans="1:7">
      <c r="A659" s="3">
        <v>26</v>
      </c>
      <c r="B659" s="3">
        <v>25</v>
      </c>
      <c r="C659" s="3">
        <v>95</v>
      </c>
      <c r="D659" s="3">
        <v>35</v>
      </c>
      <c r="E659" s="3">
        <v>3238.754</v>
      </c>
      <c r="F659" s="4" t="str">
        <f>HYPERLINK("http://141.218.60.56/~jnz1568/getInfo.php?workbook=26_25.xlsx&amp;sheet=A0&amp;row=659&amp;col=6&amp;number=6607000&amp;sourceID=14","6607000")</f>
        <v>6607000</v>
      </c>
      <c r="G659" s="4" t="str">
        <f>HYPERLINK("http://141.218.60.56/~jnz1568/getInfo.php?workbook=26_25.xlsx&amp;sheet=A0&amp;row=659&amp;col=7&amp;number=0&amp;sourceID=14","0")</f>
        <v>0</v>
      </c>
    </row>
    <row r="660" spans="1:7">
      <c r="A660" s="3">
        <v>26</v>
      </c>
      <c r="B660" s="3">
        <v>25</v>
      </c>
      <c r="C660" s="3">
        <v>95</v>
      </c>
      <c r="D660" s="3">
        <v>8</v>
      </c>
      <c r="E660" s="3">
        <v>1683.315</v>
      </c>
      <c r="F660" s="4" t="str">
        <f>HYPERLINK("http://141.218.60.56/~jnz1568/getInfo.php?workbook=26_25.xlsx&amp;sheet=A0&amp;row=660&amp;col=6&amp;number=9231000&amp;sourceID=14","9231000")</f>
        <v>9231000</v>
      </c>
      <c r="G660" s="4" t="str">
        <f>HYPERLINK("http://141.218.60.56/~jnz1568/getInfo.php?workbook=26_25.xlsx&amp;sheet=A0&amp;row=660&amp;col=7&amp;number=0&amp;sourceID=14","0")</f>
        <v>0</v>
      </c>
    </row>
    <row r="661" spans="1:7">
      <c r="A661" s="3">
        <v>26</v>
      </c>
      <c r="B661" s="3">
        <v>25</v>
      </c>
      <c r="C661" s="3">
        <v>95</v>
      </c>
      <c r="D661" s="3">
        <v>9</v>
      </c>
      <c r="E661" s="3">
        <v>1691.273</v>
      </c>
      <c r="F661" s="4" t="str">
        <f>HYPERLINK("http://141.218.60.56/~jnz1568/getInfo.php?workbook=26_25.xlsx&amp;sheet=A0&amp;row=661&amp;col=6&amp;number=36410000&amp;sourceID=14","36410000")</f>
        <v>36410000</v>
      </c>
      <c r="G661" s="4" t="str">
        <f>HYPERLINK("http://141.218.60.56/~jnz1568/getInfo.php?workbook=26_25.xlsx&amp;sheet=A0&amp;row=661&amp;col=7&amp;number=0&amp;sourceID=14","0")</f>
        <v>0</v>
      </c>
    </row>
    <row r="662" spans="1:7">
      <c r="A662" s="3">
        <v>26</v>
      </c>
      <c r="B662" s="3">
        <v>25</v>
      </c>
      <c r="C662" s="3">
        <v>95</v>
      </c>
      <c r="D662" s="3">
        <v>26</v>
      </c>
      <c r="E662" s="3">
        <v>2544.195</v>
      </c>
      <c r="F662" s="4" t="str">
        <f>HYPERLINK("http://141.218.60.56/~jnz1568/getInfo.php?workbook=26_25.xlsx&amp;sheet=A0&amp;row=662&amp;col=6&amp;number=47580000&amp;sourceID=14","47580000")</f>
        <v>47580000</v>
      </c>
      <c r="G662" s="4" t="str">
        <f>HYPERLINK("http://141.218.60.56/~jnz1568/getInfo.php?workbook=26_25.xlsx&amp;sheet=A0&amp;row=662&amp;col=7&amp;number=0&amp;sourceID=14","0")</f>
        <v>0</v>
      </c>
    </row>
    <row r="663" spans="1:7">
      <c r="A663" s="3">
        <v>26</v>
      </c>
      <c r="B663" s="3">
        <v>25</v>
      </c>
      <c r="C663" s="3">
        <v>95</v>
      </c>
      <c r="D663" s="3">
        <v>27</v>
      </c>
      <c r="E663" s="3">
        <v>2550.16</v>
      </c>
      <c r="F663" s="4" t="str">
        <f>HYPERLINK("http://141.218.60.56/~jnz1568/getInfo.php?workbook=26_25.xlsx&amp;sheet=A0&amp;row=663&amp;col=6&amp;number=189000000&amp;sourceID=14","189000000")</f>
        <v>189000000</v>
      </c>
      <c r="G663" s="4" t="str">
        <f>HYPERLINK("http://141.218.60.56/~jnz1568/getInfo.php?workbook=26_25.xlsx&amp;sheet=A0&amp;row=663&amp;col=7&amp;number=0&amp;sourceID=14","0")</f>
        <v>0</v>
      </c>
    </row>
    <row r="664" spans="1:7">
      <c r="A664" s="3">
        <v>26</v>
      </c>
      <c r="B664" s="3">
        <v>25</v>
      </c>
      <c r="C664" s="3">
        <v>95</v>
      </c>
      <c r="D664" s="3">
        <v>63</v>
      </c>
      <c r="E664" s="3">
        <v>8263.278</v>
      </c>
      <c r="F664" s="4" t="str">
        <f>HYPERLINK("http://141.218.60.56/~jnz1568/getInfo.php?workbook=26_25.xlsx&amp;sheet=A0&amp;row=664&amp;col=6&amp;number=7784&amp;sourceID=14","7784")</f>
        <v>7784</v>
      </c>
      <c r="G664" s="4" t="str">
        <f>HYPERLINK("http://141.218.60.56/~jnz1568/getInfo.php?workbook=26_25.xlsx&amp;sheet=A0&amp;row=664&amp;col=7&amp;number=0&amp;sourceID=14","0")</f>
        <v>0</v>
      </c>
    </row>
    <row r="665" spans="1:7">
      <c r="A665" s="3">
        <v>26</v>
      </c>
      <c r="B665" s="3">
        <v>25</v>
      </c>
      <c r="C665" s="3">
        <v>95</v>
      </c>
      <c r="D665" s="3">
        <v>64</v>
      </c>
      <c r="E665" s="3">
        <v>8217.866</v>
      </c>
      <c r="F665" s="4" t="str">
        <f>HYPERLINK("http://141.218.60.56/~jnz1568/getInfo.php?workbook=26_25.xlsx&amp;sheet=A0&amp;row=665&amp;col=6&amp;number=31650&amp;sourceID=14","31650")</f>
        <v>31650</v>
      </c>
      <c r="G665" s="4" t="str">
        <f>HYPERLINK("http://141.218.60.56/~jnz1568/getInfo.php?workbook=26_25.xlsx&amp;sheet=A0&amp;row=665&amp;col=7&amp;number=0&amp;sourceID=14","0")</f>
        <v>0</v>
      </c>
    </row>
    <row r="666" spans="1:7">
      <c r="A666" s="3">
        <v>26</v>
      </c>
      <c r="B666" s="3">
        <v>25</v>
      </c>
      <c r="C666" s="3">
        <v>95</v>
      </c>
      <c r="D666" s="3">
        <v>31</v>
      </c>
      <c r="E666" s="3">
        <v>2763.263</v>
      </c>
      <c r="F666" s="4" t="str">
        <f>HYPERLINK("http://141.218.60.56/~jnz1568/getInfo.php?workbook=26_25.xlsx&amp;sheet=A0&amp;row=666&amp;col=6&amp;number=10320000&amp;sourceID=14","10320000")</f>
        <v>10320000</v>
      </c>
      <c r="G666" s="4" t="str">
        <f>HYPERLINK("http://141.218.60.56/~jnz1568/getInfo.php?workbook=26_25.xlsx&amp;sheet=A0&amp;row=666&amp;col=7&amp;number=0&amp;sourceID=14","0")</f>
        <v>0</v>
      </c>
    </row>
    <row r="667" spans="1:7">
      <c r="A667" s="3">
        <v>26</v>
      </c>
      <c r="B667" s="3">
        <v>25</v>
      </c>
      <c r="C667" s="3">
        <v>96</v>
      </c>
      <c r="D667" s="3">
        <v>6</v>
      </c>
      <c r="E667" s="3">
        <v>1612.806</v>
      </c>
      <c r="F667" s="4" t="str">
        <f>HYPERLINK("http://141.218.60.56/~jnz1568/getInfo.php?workbook=26_25.xlsx&amp;sheet=A0&amp;row=667&amp;col=6&amp;number=21320000&amp;sourceID=14","21320000")</f>
        <v>21320000</v>
      </c>
      <c r="G667" s="4" t="str">
        <f>HYPERLINK("http://141.218.60.56/~jnz1568/getInfo.php?workbook=26_25.xlsx&amp;sheet=A0&amp;row=667&amp;col=7&amp;number=0&amp;sourceID=14","0")</f>
        <v>0</v>
      </c>
    </row>
    <row r="668" spans="1:7">
      <c r="A668" s="3">
        <v>26</v>
      </c>
      <c r="B668" s="3">
        <v>25</v>
      </c>
      <c r="C668" s="3">
        <v>96</v>
      </c>
      <c r="D668" s="3">
        <v>24</v>
      </c>
      <c r="E668" s="3">
        <v>2424.883</v>
      </c>
      <c r="F668" s="4" t="str">
        <f>HYPERLINK("http://141.218.60.56/~jnz1568/getInfo.php?workbook=26_25.xlsx&amp;sheet=A0&amp;row=668&amp;col=6&amp;number=225400000&amp;sourceID=14","225400000")</f>
        <v>225400000</v>
      </c>
      <c r="G668" s="4" t="str">
        <f>HYPERLINK("http://141.218.60.56/~jnz1568/getInfo.php?workbook=26_25.xlsx&amp;sheet=A0&amp;row=668&amp;col=7&amp;number=0&amp;sourceID=14","0")</f>
        <v>0</v>
      </c>
    </row>
    <row r="669" spans="1:7">
      <c r="A669" s="3">
        <v>26</v>
      </c>
      <c r="B669" s="3">
        <v>25</v>
      </c>
      <c r="C669" s="3">
        <v>96</v>
      </c>
      <c r="D669" s="3">
        <v>61</v>
      </c>
      <c r="E669" s="3">
        <v>7289.234</v>
      </c>
      <c r="F669" s="4" t="str">
        <f>HYPERLINK("http://141.218.60.56/~jnz1568/getInfo.php?workbook=26_25.xlsx&amp;sheet=A0&amp;row=669&amp;col=6&amp;number=75470&amp;sourceID=14","75470")</f>
        <v>75470</v>
      </c>
      <c r="G669" s="4" t="str">
        <f>HYPERLINK("http://141.218.60.56/~jnz1568/getInfo.php?workbook=26_25.xlsx&amp;sheet=A0&amp;row=669&amp;col=7&amp;number=0&amp;sourceID=14","0")</f>
        <v>0</v>
      </c>
    </row>
    <row r="670" spans="1:7">
      <c r="A670" s="3">
        <v>26</v>
      </c>
      <c r="B670" s="3">
        <v>25</v>
      </c>
      <c r="C670" s="3">
        <v>96</v>
      </c>
      <c r="D670" s="3">
        <v>28</v>
      </c>
      <c r="E670" s="3">
        <v>2600.947</v>
      </c>
      <c r="F670" s="4" t="str">
        <f>HYPERLINK("http://141.218.60.56/~jnz1568/getInfo.php?workbook=26_25.xlsx&amp;sheet=A0&amp;row=670&amp;col=6&amp;number=14380000&amp;sourceID=14","14380000")</f>
        <v>14380000</v>
      </c>
      <c r="G670" s="4" t="str">
        <f>HYPERLINK("http://141.218.60.56/~jnz1568/getInfo.php?workbook=26_25.xlsx&amp;sheet=A0&amp;row=670&amp;col=7&amp;number=0&amp;sourceID=14","0")</f>
        <v>0</v>
      </c>
    </row>
    <row r="671" spans="1:7">
      <c r="A671" s="3">
        <v>26</v>
      </c>
      <c r="B671" s="3">
        <v>25</v>
      </c>
      <c r="C671" s="3">
        <v>96</v>
      </c>
      <c r="D671" s="3">
        <v>29</v>
      </c>
      <c r="E671" s="3">
        <v>2626.672</v>
      </c>
      <c r="F671" s="4" t="str">
        <f>HYPERLINK("http://141.218.60.56/~jnz1568/getInfo.php?workbook=26_25.xlsx&amp;sheet=A0&amp;row=671&amp;col=6&amp;number=806900&amp;sourceID=14","806900")</f>
        <v>806900</v>
      </c>
      <c r="G671" s="4" t="str">
        <f>HYPERLINK("http://141.218.60.56/~jnz1568/getInfo.php?workbook=26_25.xlsx&amp;sheet=A0&amp;row=671&amp;col=7&amp;number=0&amp;sourceID=14","0")</f>
        <v>0</v>
      </c>
    </row>
    <row r="672" spans="1:7">
      <c r="A672" s="3">
        <v>26</v>
      </c>
      <c r="B672" s="3">
        <v>25</v>
      </c>
      <c r="C672" s="3">
        <v>96</v>
      </c>
      <c r="D672" s="3">
        <v>20</v>
      </c>
      <c r="E672" s="3">
        <v>2346.057</v>
      </c>
      <c r="F672" s="4" t="str">
        <f>HYPERLINK("http://141.218.60.56/~jnz1568/getInfo.php?workbook=26_25.xlsx&amp;sheet=A0&amp;row=672&amp;col=6&amp;number=64260000&amp;sourceID=14","64260000")</f>
        <v>64260000</v>
      </c>
      <c r="G672" s="4" t="str">
        <f>HYPERLINK("http://141.218.60.56/~jnz1568/getInfo.php?workbook=26_25.xlsx&amp;sheet=A0&amp;row=672&amp;col=7&amp;number=0&amp;sourceID=14","0")</f>
        <v>0</v>
      </c>
    </row>
    <row r="673" spans="1:7">
      <c r="A673" s="3">
        <v>26</v>
      </c>
      <c r="B673" s="3">
        <v>25</v>
      </c>
      <c r="C673" s="3">
        <v>96</v>
      </c>
      <c r="D673" s="3">
        <v>21</v>
      </c>
      <c r="E673" s="3">
        <v>2355.937</v>
      </c>
      <c r="F673" s="4" t="str">
        <f>HYPERLINK("http://141.218.60.56/~jnz1568/getInfo.php?workbook=26_25.xlsx&amp;sheet=A0&amp;row=673&amp;col=6&amp;number=2971000&amp;sourceID=14","2971000")</f>
        <v>2971000</v>
      </c>
      <c r="G673" s="4" t="str">
        <f>HYPERLINK("http://141.218.60.56/~jnz1568/getInfo.php?workbook=26_25.xlsx&amp;sheet=A0&amp;row=673&amp;col=7&amp;number=0&amp;sourceID=14","0")</f>
        <v>0</v>
      </c>
    </row>
    <row r="674" spans="1:7">
      <c r="A674" s="3">
        <v>26</v>
      </c>
      <c r="B674" s="3">
        <v>25</v>
      </c>
      <c r="C674" s="3">
        <v>96</v>
      </c>
      <c r="D674" s="3">
        <v>22</v>
      </c>
      <c r="E674" s="3">
        <v>2364.364</v>
      </c>
      <c r="F674" s="4" t="str">
        <f>HYPERLINK("http://141.218.60.56/~jnz1568/getInfo.php?workbook=26_25.xlsx&amp;sheet=A0&amp;row=674&amp;col=6&amp;number=54810&amp;sourceID=14","54810")</f>
        <v>54810</v>
      </c>
      <c r="G674" s="4" t="str">
        <f>HYPERLINK("http://141.218.60.56/~jnz1568/getInfo.php?workbook=26_25.xlsx&amp;sheet=A0&amp;row=674&amp;col=7&amp;number=0&amp;sourceID=14","0")</f>
        <v>0</v>
      </c>
    </row>
    <row r="675" spans="1:7">
      <c r="A675" s="3">
        <v>26</v>
      </c>
      <c r="B675" s="3">
        <v>25</v>
      </c>
      <c r="C675" s="3">
        <v>97</v>
      </c>
      <c r="D675" s="3">
        <v>6</v>
      </c>
      <c r="E675" s="3">
        <v>1610.923</v>
      </c>
      <c r="F675" s="4" t="str">
        <f>HYPERLINK("http://141.218.60.56/~jnz1568/getInfo.php?workbook=26_25.xlsx&amp;sheet=A0&amp;row=675&amp;col=6&amp;number=1773000&amp;sourceID=14","1773000")</f>
        <v>1773000</v>
      </c>
      <c r="G675" s="4" t="str">
        <f>HYPERLINK("http://141.218.60.56/~jnz1568/getInfo.php?workbook=26_25.xlsx&amp;sheet=A0&amp;row=675&amp;col=7&amp;number=0&amp;sourceID=14","0")</f>
        <v>0</v>
      </c>
    </row>
    <row r="676" spans="1:7">
      <c r="A676" s="3">
        <v>26</v>
      </c>
      <c r="B676" s="3">
        <v>25</v>
      </c>
      <c r="C676" s="3">
        <v>97</v>
      </c>
      <c r="D676" s="3">
        <v>7</v>
      </c>
      <c r="E676" s="3">
        <v>1625.522</v>
      </c>
      <c r="F676" s="4" t="str">
        <f>HYPERLINK("http://141.218.60.56/~jnz1568/getInfo.php?workbook=26_25.xlsx&amp;sheet=A0&amp;row=676&amp;col=6&amp;number=19070000&amp;sourceID=14","19070000")</f>
        <v>19070000</v>
      </c>
      <c r="G676" s="4" t="str">
        <f>HYPERLINK("http://141.218.60.56/~jnz1568/getInfo.php?workbook=26_25.xlsx&amp;sheet=A0&amp;row=676&amp;col=7&amp;number=0&amp;sourceID=14","0")</f>
        <v>0</v>
      </c>
    </row>
    <row r="677" spans="1:7">
      <c r="A677" s="3">
        <v>26</v>
      </c>
      <c r="B677" s="3">
        <v>25</v>
      </c>
      <c r="C677" s="3">
        <v>97</v>
      </c>
      <c r="D677" s="3">
        <v>24</v>
      </c>
      <c r="E677" s="3">
        <v>2420.628</v>
      </c>
      <c r="F677" s="4" t="str">
        <f>HYPERLINK("http://141.218.60.56/~jnz1568/getInfo.php?workbook=26_25.xlsx&amp;sheet=A0&amp;row=677&amp;col=6&amp;number=18770000&amp;sourceID=14","18770000")</f>
        <v>18770000</v>
      </c>
      <c r="G677" s="4" t="str">
        <f>HYPERLINK("http://141.218.60.56/~jnz1568/getInfo.php?workbook=26_25.xlsx&amp;sheet=A0&amp;row=677&amp;col=7&amp;number=0&amp;sourceID=14","0")</f>
        <v>0</v>
      </c>
    </row>
    <row r="678" spans="1:7">
      <c r="A678" s="3">
        <v>26</v>
      </c>
      <c r="B678" s="3">
        <v>25</v>
      </c>
      <c r="C678" s="3">
        <v>97</v>
      </c>
      <c r="D678" s="3">
        <v>25</v>
      </c>
      <c r="E678" s="3">
        <v>2430.817</v>
      </c>
      <c r="F678" s="4" t="str">
        <f>HYPERLINK("http://141.218.60.56/~jnz1568/getInfo.php?workbook=26_25.xlsx&amp;sheet=A0&amp;row=678&amp;col=6&amp;number=204900000&amp;sourceID=14","204900000")</f>
        <v>204900000</v>
      </c>
      <c r="G678" s="4" t="str">
        <f>HYPERLINK("http://141.218.60.56/~jnz1568/getInfo.php?workbook=26_25.xlsx&amp;sheet=A0&amp;row=678&amp;col=7&amp;number=0&amp;sourceID=14","0")</f>
        <v>0</v>
      </c>
    </row>
    <row r="679" spans="1:7">
      <c r="A679" s="3">
        <v>26</v>
      </c>
      <c r="B679" s="3">
        <v>25</v>
      </c>
      <c r="C679" s="3">
        <v>97</v>
      </c>
      <c r="D679" s="3">
        <v>61</v>
      </c>
      <c r="E679" s="3">
        <v>7250.929</v>
      </c>
      <c r="F679" s="4" t="str">
        <f>HYPERLINK("http://141.218.60.56/~jnz1568/getInfo.php?workbook=26_25.xlsx&amp;sheet=A0&amp;row=679&amp;col=6&amp;number=6353&amp;sourceID=14","6353")</f>
        <v>6353</v>
      </c>
      <c r="G679" s="4" t="str">
        <f>HYPERLINK("http://141.218.60.56/~jnz1568/getInfo.php?workbook=26_25.xlsx&amp;sheet=A0&amp;row=679&amp;col=7&amp;number=0&amp;sourceID=14","0")</f>
        <v>0</v>
      </c>
    </row>
    <row r="680" spans="1:7">
      <c r="A680" s="3">
        <v>26</v>
      </c>
      <c r="B680" s="3">
        <v>25</v>
      </c>
      <c r="C680" s="3">
        <v>97</v>
      </c>
      <c r="D680" s="3">
        <v>62</v>
      </c>
      <c r="E680" s="3">
        <v>7266.926</v>
      </c>
      <c r="F680" s="4" t="str">
        <f>HYPERLINK("http://141.218.60.56/~jnz1568/getInfo.php?workbook=26_25.xlsx&amp;sheet=A0&amp;row=680&amp;col=6&amp;number=69740&amp;sourceID=14","69740")</f>
        <v>69740</v>
      </c>
      <c r="G680" s="4" t="str">
        <f>HYPERLINK("http://141.218.60.56/~jnz1568/getInfo.php?workbook=26_25.xlsx&amp;sheet=A0&amp;row=680&amp;col=7&amp;number=0&amp;sourceID=14","0")</f>
        <v>0</v>
      </c>
    </row>
    <row r="681" spans="1:7">
      <c r="A681" s="3">
        <v>26</v>
      </c>
      <c r="B681" s="3">
        <v>25</v>
      </c>
      <c r="C681" s="3">
        <v>97</v>
      </c>
      <c r="D681" s="3">
        <v>28</v>
      </c>
      <c r="E681" s="3">
        <v>2596.053</v>
      </c>
      <c r="F681" s="4" t="str">
        <f>HYPERLINK("http://141.218.60.56/~jnz1568/getInfo.php?workbook=26_25.xlsx&amp;sheet=A0&amp;row=681&amp;col=6&amp;number=1003000&amp;sourceID=14","1003000")</f>
        <v>1003000</v>
      </c>
      <c r="G681" s="4" t="str">
        <f>HYPERLINK("http://141.218.60.56/~jnz1568/getInfo.php?workbook=26_25.xlsx&amp;sheet=A0&amp;row=681&amp;col=7&amp;number=0&amp;sourceID=14","0")</f>
        <v>0</v>
      </c>
    </row>
    <row r="682" spans="1:7">
      <c r="A682" s="3">
        <v>26</v>
      </c>
      <c r="B682" s="3">
        <v>25</v>
      </c>
      <c r="C682" s="3">
        <v>97</v>
      </c>
      <c r="D682" s="3">
        <v>29</v>
      </c>
      <c r="E682" s="3">
        <v>2621.681</v>
      </c>
      <c r="F682" s="4" t="str">
        <f>HYPERLINK("http://141.218.60.56/~jnz1568/getInfo.php?workbook=26_25.xlsx&amp;sheet=A0&amp;row=682&amp;col=6&amp;number=12560000&amp;sourceID=14","12560000")</f>
        <v>12560000</v>
      </c>
      <c r="G682" s="4" t="str">
        <f>HYPERLINK("http://141.218.60.56/~jnz1568/getInfo.php?workbook=26_25.xlsx&amp;sheet=A0&amp;row=682&amp;col=7&amp;number=0&amp;sourceID=14","0")</f>
        <v>0</v>
      </c>
    </row>
    <row r="683" spans="1:7">
      <c r="A683" s="3">
        <v>26</v>
      </c>
      <c r="B683" s="3">
        <v>25</v>
      </c>
      <c r="C683" s="3">
        <v>97</v>
      </c>
      <c r="D683" s="3">
        <v>30</v>
      </c>
      <c r="E683" s="3">
        <v>2633.855</v>
      </c>
      <c r="F683" s="4" t="str">
        <f>HYPERLINK("http://141.218.60.56/~jnz1568/getInfo.php?workbook=26_25.xlsx&amp;sheet=A0&amp;row=683&amp;col=6&amp;number=1253000&amp;sourceID=14","1253000")</f>
        <v>1253000</v>
      </c>
      <c r="G683" s="4" t="str">
        <f>HYPERLINK("http://141.218.60.56/~jnz1568/getInfo.php?workbook=26_25.xlsx&amp;sheet=A0&amp;row=683&amp;col=7&amp;number=0&amp;sourceID=14","0")</f>
        <v>0</v>
      </c>
    </row>
    <row r="684" spans="1:7">
      <c r="A684" s="3">
        <v>26</v>
      </c>
      <c r="B684" s="3">
        <v>25</v>
      </c>
      <c r="C684" s="3">
        <v>97</v>
      </c>
      <c r="D684" s="3">
        <v>21</v>
      </c>
      <c r="E684" s="3">
        <v>2351.921</v>
      </c>
      <c r="F684" s="4" t="str">
        <f>HYPERLINK("http://141.218.60.56/~jnz1568/getInfo.php?workbook=26_25.xlsx&amp;sheet=A0&amp;row=684&amp;col=6&amp;number=62020000&amp;sourceID=14","62020000")</f>
        <v>62020000</v>
      </c>
      <c r="G684" s="4" t="str">
        <f>HYPERLINK("http://141.218.60.56/~jnz1568/getInfo.php?workbook=26_25.xlsx&amp;sheet=A0&amp;row=684&amp;col=7&amp;number=0&amp;sourceID=14","0")</f>
        <v>0</v>
      </c>
    </row>
    <row r="685" spans="1:7">
      <c r="A685" s="3">
        <v>26</v>
      </c>
      <c r="B685" s="3">
        <v>25</v>
      </c>
      <c r="C685" s="3">
        <v>97</v>
      </c>
      <c r="D685" s="3">
        <v>22</v>
      </c>
      <c r="E685" s="3">
        <v>2360.319</v>
      </c>
      <c r="F685" s="4" t="str">
        <f>HYPERLINK("http://141.218.60.56/~jnz1568/getInfo.php?workbook=26_25.xlsx&amp;sheet=A0&amp;row=685&amp;col=6&amp;number=4688000&amp;sourceID=14","4688000")</f>
        <v>4688000</v>
      </c>
      <c r="G685" s="4" t="str">
        <f>HYPERLINK("http://141.218.60.56/~jnz1568/getInfo.php?workbook=26_25.xlsx&amp;sheet=A0&amp;row=685&amp;col=7&amp;number=0&amp;sourceID=14","0")</f>
        <v>0</v>
      </c>
    </row>
    <row r="686" spans="1:7">
      <c r="A686" s="3">
        <v>26</v>
      </c>
      <c r="B686" s="3">
        <v>25</v>
      </c>
      <c r="C686" s="3">
        <v>97</v>
      </c>
      <c r="D686" s="3">
        <v>23</v>
      </c>
      <c r="E686" s="3">
        <v>2367.6</v>
      </c>
      <c r="F686" s="4" t="str">
        <f>HYPERLINK("http://141.218.60.56/~jnz1568/getInfo.php?workbook=26_25.xlsx&amp;sheet=A0&amp;row=686&amp;col=6&amp;number=77420&amp;sourceID=14","77420")</f>
        <v>77420</v>
      </c>
      <c r="G686" s="4" t="str">
        <f>HYPERLINK("http://141.218.60.56/~jnz1568/getInfo.php?workbook=26_25.xlsx&amp;sheet=A0&amp;row=686&amp;col=7&amp;number=0&amp;sourceID=14","0")</f>
        <v>0</v>
      </c>
    </row>
    <row r="687" spans="1:7">
      <c r="A687" s="3">
        <v>26</v>
      </c>
      <c r="B687" s="3">
        <v>25</v>
      </c>
      <c r="C687" s="3">
        <v>98</v>
      </c>
      <c r="D687" s="3">
        <v>6</v>
      </c>
      <c r="E687" s="3">
        <v>1608.536</v>
      </c>
      <c r="F687" s="4" t="str">
        <f>HYPERLINK("http://141.218.60.56/~jnz1568/getInfo.php?workbook=26_25.xlsx&amp;sheet=A0&amp;row=687&amp;col=6&amp;number=65250&amp;sourceID=14","65250")</f>
        <v>65250</v>
      </c>
      <c r="G687" s="4" t="str">
        <f>HYPERLINK("http://141.218.60.56/~jnz1568/getInfo.php?workbook=26_25.xlsx&amp;sheet=A0&amp;row=687&amp;col=7&amp;number=0&amp;sourceID=14","0")</f>
        <v>0</v>
      </c>
    </row>
    <row r="688" spans="1:7">
      <c r="A688" s="3">
        <v>26</v>
      </c>
      <c r="B688" s="3">
        <v>25</v>
      </c>
      <c r="C688" s="3">
        <v>98</v>
      </c>
      <c r="D688" s="3">
        <v>7</v>
      </c>
      <c r="E688" s="3">
        <v>1623.092</v>
      </c>
      <c r="F688" s="4" t="str">
        <f>HYPERLINK("http://141.218.60.56/~jnz1568/getInfo.php?workbook=26_25.xlsx&amp;sheet=A0&amp;row=688&amp;col=6&amp;number=2839000&amp;sourceID=14","2839000")</f>
        <v>2839000</v>
      </c>
      <c r="G688" s="4" t="str">
        <f>HYPERLINK("http://141.218.60.56/~jnz1568/getInfo.php?workbook=26_25.xlsx&amp;sheet=A0&amp;row=688&amp;col=7&amp;number=0&amp;sourceID=14","0")</f>
        <v>0</v>
      </c>
    </row>
    <row r="689" spans="1:7">
      <c r="A689" s="3">
        <v>26</v>
      </c>
      <c r="B689" s="3">
        <v>25</v>
      </c>
      <c r="C689" s="3">
        <v>98</v>
      </c>
      <c r="D689" s="3">
        <v>8</v>
      </c>
      <c r="E689" s="3">
        <v>1633.909</v>
      </c>
      <c r="F689" s="4" t="str">
        <f>HYPERLINK("http://141.218.60.56/~jnz1568/getInfo.php?workbook=26_25.xlsx&amp;sheet=A0&amp;row=689&amp;col=6&amp;number=17650000&amp;sourceID=14","17650000")</f>
        <v>17650000</v>
      </c>
      <c r="G689" s="4" t="str">
        <f>HYPERLINK("http://141.218.60.56/~jnz1568/getInfo.php?workbook=26_25.xlsx&amp;sheet=A0&amp;row=689&amp;col=7&amp;number=0&amp;sourceID=14","0")</f>
        <v>0</v>
      </c>
    </row>
    <row r="690" spans="1:7">
      <c r="A690" s="3">
        <v>26</v>
      </c>
      <c r="B690" s="3">
        <v>25</v>
      </c>
      <c r="C690" s="3">
        <v>98</v>
      </c>
      <c r="D690" s="3">
        <v>24</v>
      </c>
      <c r="E690" s="3">
        <v>2415.244</v>
      </c>
      <c r="F690" s="4" t="str">
        <f>HYPERLINK("http://141.218.60.56/~jnz1568/getInfo.php?workbook=26_25.xlsx&amp;sheet=A0&amp;row=690&amp;col=6&amp;number=692500&amp;sourceID=14","692500")</f>
        <v>692500</v>
      </c>
      <c r="G690" s="4" t="str">
        <f>HYPERLINK("http://141.218.60.56/~jnz1568/getInfo.php?workbook=26_25.xlsx&amp;sheet=A0&amp;row=690&amp;col=7&amp;number=0&amp;sourceID=14","0")</f>
        <v>0</v>
      </c>
    </row>
    <row r="691" spans="1:7">
      <c r="A691" s="3">
        <v>26</v>
      </c>
      <c r="B691" s="3">
        <v>25</v>
      </c>
      <c r="C691" s="3">
        <v>98</v>
      </c>
      <c r="D691" s="3">
        <v>25</v>
      </c>
      <c r="E691" s="3">
        <v>2425.387</v>
      </c>
      <c r="F691" s="4" t="str">
        <f>HYPERLINK("http://141.218.60.56/~jnz1568/getInfo.php?workbook=26_25.xlsx&amp;sheet=A0&amp;row=691&amp;col=6&amp;number=30570000&amp;sourceID=14","30570000")</f>
        <v>30570000</v>
      </c>
      <c r="G691" s="4" t="str">
        <f>HYPERLINK("http://141.218.60.56/~jnz1568/getInfo.php?workbook=26_25.xlsx&amp;sheet=A0&amp;row=691&amp;col=7&amp;number=0&amp;sourceID=14","0")</f>
        <v>0</v>
      </c>
    </row>
    <row r="692" spans="1:7">
      <c r="A692" s="3">
        <v>26</v>
      </c>
      <c r="B692" s="3">
        <v>25</v>
      </c>
      <c r="C692" s="3">
        <v>98</v>
      </c>
      <c r="D692" s="3">
        <v>26</v>
      </c>
      <c r="E692" s="3">
        <v>2432.999</v>
      </c>
      <c r="F692" s="4" t="str">
        <f>HYPERLINK("http://141.218.60.56/~jnz1568/getInfo.php?workbook=26_25.xlsx&amp;sheet=A0&amp;row=692&amp;col=6&amp;number=192100000&amp;sourceID=14","192100000")</f>
        <v>192100000</v>
      </c>
      <c r="G692" s="4" t="str">
        <f>HYPERLINK("http://141.218.60.56/~jnz1568/getInfo.php?workbook=26_25.xlsx&amp;sheet=A0&amp;row=692&amp;col=7&amp;number=0&amp;sourceID=14","0")</f>
        <v>0</v>
      </c>
    </row>
    <row r="693" spans="1:7">
      <c r="A693" s="3">
        <v>26</v>
      </c>
      <c r="B693" s="3">
        <v>25</v>
      </c>
      <c r="C693" s="3">
        <v>98</v>
      </c>
      <c r="D693" s="3">
        <v>62</v>
      </c>
      <c r="E693" s="3">
        <v>7218.614</v>
      </c>
      <c r="F693" s="4" t="str">
        <f>HYPERLINK("http://141.218.60.56/~jnz1568/getInfo.php?workbook=26_25.xlsx&amp;sheet=A0&amp;row=693&amp;col=6&amp;number=10540&amp;sourceID=14","10540")</f>
        <v>10540</v>
      </c>
      <c r="G693" s="4" t="str">
        <f>HYPERLINK("http://141.218.60.56/~jnz1568/getInfo.php?workbook=26_25.xlsx&amp;sheet=A0&amp;row=693&amp;col=7&amp;number=0&amp;sourceID=14","0")</f>
        <v>0</v>
      </c>
    </row>
    <row r="694" spans="1:7">
      <c r="A694" s="3">
        <v>26</v>
      </c>
      <c r="B694" s="3">
        <v>25</v>
      </c>
      <c r="C694" s="3">
        <v>98</v>
      </c>
      <c r="D694" s="3">
        <v>63</v>
      </c>
      <c r="E694" s="3">
        <v>7195.227</v>
      </c>
      <c r="F694" s="4" t="str">
        <f>HYPERLINK("http://141.218.60.56/~jnz1568/getInfo.php?workbook=26_25.xlsx&amp;sheet=A0&amp;row=694&amp;col=6&amp;number=67550&amp;sourceID=14","67550")</f>
        <v>67550</v>
      </c>
      <c r="G694" s="4" t="str">
        <f>HYPERLINK("http://141.218.60.56/~jnz1568/getInfo.php?workbook=26_25.xlsx&amp;sheet=A0&amp;row=694&amp;col=7&amp;number=0&amp;sourceID=14","0")</f>
        <v>0</v>
      </c>
    </row>
    <row r="695" spans="1:7">
      <c r="A695" s="3">
        <v>26</v>
      </c>
      <c r="B695" s="3">
        <v>25</v>
      </c>
      <c r="C695" s="3">
        <v>98</v>
      </c>
      <c r="D695" s="3">
        <v>29</v>
      </c>
      <c r="E695" s="3">
        <v>2615.367</v>
      </c>
      <c r="F695" s="4" t="str">
        <f>HYPERLINK("http://141.218.60.56/~jnz1568/getInfo.php?workbook=26_25.xlsx&amp;sheet=A0&amp;row=695&amp;col=6&amp;number=1600000&amp;sourceID=14","1600000")</f>
        <v>1600000</v>
      </c>
      <c r="G695" s="4" t="str">
        <f>HYPERLINK("http://141.218.60.56/~jnz1568/getInfo.php?workbook=26_25.xlsx&amp;sheet=A0&amp;row=695&amp;col=7&amp;number=0&amp;sourceID=14","0")</f>
        <v>0</v>
      </c>
    </row>
    <row r="696" spans="1:7">
      <c r="A696" s="3">
        <v>26</v>
      </c>
      <c r="B696" s="3">
        <v>25</v>
      </c>
      <c r="C696" s="3">
        <v>98</v>
      </c>
      <c r="D696" s="3">
        <v>30</v>
      </c>
      <c r="E696" s="3">
        <v>2627.482</v>
      </c>
      <c r="F696" s="4" t="str">
        <f>HYPERLINK("http://141.218.60.56/~jnz1568/getInfo.php?workbook=26_25.xlsx&amp;sheet=A0&amp;row=696&amp;col=6&amp;number=11970000&amp;sourceID=14","11970000")</f>
        <v>11970000</v>
      </c>
      <c r="G696" s="4" t="str">
        <f>HYPERLINK("http://141.218.60.56/~jnz1568/getInfo.php?workbook=26_25.xlsx&amp;sheet=A0&amp;row=696&amp;col=7&amp;number=0&amp;sourceID=14","0")</f>
        <v>0</v>
      </c>
    </row>
    <row r="697" spans="1:7">
      <c r="A697" s="3">
        <v>26</v>
      </c>
      <c r="B697" s="3">
        <v>25</v>
      </c>
      <c r="C697" s="3">
        <v>98</v>
      </c>
      <c r="D697" s="3">
        <v>31</v>
      </c>
      <c r="E697" s="3">
        <v>2632.586</v>
      </c>
      <c r="F697" s="4" t="str">
        <f>HYPERLINK("http://141.218.60.56/~jnz1568/getInfo.php?workbook=26_25.xlsx&amp;sheet=A0&amp;row=697&amp;col=6&amp;number=1182000&amp;sourceID=14","1182000")</f>
        <v>1182000</v>
      </c>
      <c r="G697" s="4" t="str">
        <f>HYPERLINK("http://141.218.60.56/~jnz1568/getInfo.php?workbook=26_25.xlsx&amp;sheet=A0&amp;row=697&amp;col=7&amp;number=0&amp;sourceID=14","0")</f>
        <v>0</v>
      </c>
    </row>
    <row r="698" spans="1:7">
      <c r="A698" s="3">
        <v>26</v>
      </c>
      <c r="B698" s="3">
        <v>25</v>
      </c>
      <c r="C698" s="3">
        <v>98</v>
      </c>
      <c r="D698" s="3">
        <v>22</v>
      </c>
      <c r="E698" s="3">
        <v>2355.199</v>
      </c>
      <c r="F698" s="4" t="str">
        <f>HYPERLINK("http://141.218.60.56/~jnz1568/getInfo.php?workbook=26_25.xlsx&amp;sheet=A0&amp;row=698&amp;col=6&amp;number=62010000&amp;sourceID=14","62010000")</f>
        <v>62010000</v>
      </c>
      <c r="G698" s="4" t="str">
        <f>HYPERLINK("http://141.218.60.56/~jnz1568/getInfo.php?workbook=26_25.xlsx&amp;sheet=A0&amp;row=698&amp;col=7&amp;number=0&amp;sourceID=14","0")</f>
        <v>0</v>
      </c>
    </row>
    <row r="699" spans="1:7">
      <c r="A699" s="3">
        <v>26</v>
      </c>
      <c r="B699" s="3">
        <v>25</v>
      </c>
      <c r="C699" s="3">
        <v>98</v>
      </c>
      <c r="D699" s="3">
        <v>23</v>
      </c>
      <c r="E699" s="3">
        <v>2362.448</v>
      </c>
      <c r="F699" s="4" t="str">
        <f>HYPERLINK("http://141.218.60.56/~jnz1568/getInfo.php?workbook=26_25.xlsx&amp;sheet=A0&amp;row=699&amp;col=6&amp;number=4421000&amp;sourceID=14","4421000")</f>
        <v>4421000</v>
      </c>
      <c r="G699" s="4" t="str">
        <f>HYPERLINK("http://141.218.60.56/~jnz1568/getInfo.php?workbook=26_25.xlsx&amp;sheet=A0&amp;row=699&amp;col=7&amp;number=0&amp;sourceID=14","0")</f>
        <v>0</v>
      </c>
    </row>
    <row r="700" spans="1:7">
      <c r="A700" s="3">
        <v>26</v>
      </c>
      <c r="B700" s="3">
        <v>25</v>
      </c>
      <c r="C700" s="3">
        <v>99</v>
      </c>
      <c r="D700" s="3">
        <v>7</v>
      </c>
      <c r="E700" s="3">
        <v>1621.867</v>
      </c>
      <c r="F700" s="4" t="str">
        <f>HYPERLINK("http://141.218.60.56/~jnz1568/getInfo.php?workbook=26_25.xlsx&amp;sheet=A0&amp;row=700&amp;col=6&amp;number=104800&amp;sourceID=14","104800")</f>
        <v>104800</v>
      </c>
      <c r="G700" s="4" t="str">
        <f>HYPERLINK("http://141.218.60.56/~jnz1568/getInfo.php?workbook=26_25.xlsx&amp;sheet=A0&amp;row=700&amp;col=7&amp;number=0&amp;sourceID=14","0")</f>
        <v>0</v>
      </c>
    </row>
    <row r="701" spans="1:7">
      <c r="A701" s="3">
        <v>26</v>
      </c>
      <c r="B701" s="3">
        <v>25</v>
      </c>
      <c r="C701" s="3">
        <v>99</v>
      </c>
      <c r="D701" s="3">
        <v>8</v>
      </c>
      <c r="E701" s="3">
        <v>1632.667</v>
      </c>
      <c r="F701" s="4" t="str">
        <f>HYPERLINK("http://141.218.60.56/~jnz1568/getInfo.php?workbook=26_25.xlsx&amp;sheet=A0&amp;row=701&amp;col=6&amp;number=2839000&amp;sourceID=14","2839000")</f>
        <v>2839000</v>
      </c>
      <c r="G701" s="4" t="str">
        <f>HYPERLINK("http://141.218.60.56/~jnz1568/getInfo.php?workbook=26_25.xlsx&amp;sheet=A0&amp;row=701&amp;col=7&amp;number=0&amp;sourceID=14","0")</f>
        <v>0</v>
      </c>
    </row>
    <row r="702" spans="1:7">
      <c r="A702" s="3">
        <v>26</v>
      </c>
      <c r="B702" s="3">
        <v>25</v>
      </c>
      <c r="C702" s="3">
        <v>99</v>
      </c>
      <c r="D702" s="3">
        <v>9</v>
      </c>
      <c r="E702" s="3">
        <v>1640.152</v>
      </c>
      <c r="F702" s="4" t="str">
        <f>HYPERLINK("http://141.218.60.56/~jnz1568/getInfo.php?workbook=26_25.xlsx&amp;sheet=A0&amp;row=702&amp;col=6&amp;number=17380000&amp;sourceID=14","17380000")</f>
        <v>17380000</v>
      </c>
      <c r="G702" s="4" t="str">
        <f>HYPERLINK("http://141.218.60.56/~jnz1568/getInfo.php?workbook=26_25.xlsx&amp;sheet=A0&amp;row=702&amp;col=7&amp;number=0&amp;sourceID=14","0")</f>
        <v>0</v>
      </c>
    </row>
    <row r="703" spans="1:7">
      <c r="A703" s="3">
        <v>26</v>
      </c>
      <c r="B703" s="3">
        <v>25</v>
      </c>
      <c r="C703" s="3">
        <v>99</v>
      </c>
      <c r="D703" s="3">
        <v>25</v>
      </c>
      <c r="E703" s="3">
        <v>2422.653</v>
      </c>
      <c r="F703" s="4" t="str">
        <f>HYPERLINK("http://141.218.60.56/~jnz1568/getInfo.php?workbook=26_25.xlsx&amp;sheet=A0&amp;row=703&amp;col=6&amp;number=1130000&amp;sourceID=14","1130000")</f>
        <v>1130000</v>
      </c>
      <c r="G703" s="4" t="str">
        <f>HYPERLINK("http://141.218.60.56/~jnz1568/getInfo.php?workbook=26_25.xlsx&amp;sheet=A0&amp;row=703&amp;col=7&amp;number=0&amp;sourceID=14","0")</f>
        <v>0</v>
      </c>
    </row>
    <row r="704" spans="1:7">
      <c r="A704" s="3">
        <v>26</v>
      </c>
      <c r="B704" s="3">
        <v>25</v>
      </c>
      <c r="C704" s="3">
        <v>99</v>
      </c>
      <c r="D704" s="3">
        <v>26</v>
      </c>
      <c r="E704" s="3">
        <v>2430.248</v>
      </c>
      <c r="F704" s="4" t="str">
        <f>HYPERLINK("http://141.218.60.56/~jnz1568/getInfo.php?workbook=26_25.xlsx&amp;sheet=A0&amp;row=704&amp;col=6&amp;number=30920000&amp;sourceID=14","30920000")</f>
        <v>30920000</v>
      </c>
      <c r="G704" s="4" t="str">
        <f>HYPERLINK("http://141.218.60.56/~jnz1568/getInfo.php?workbook=26_25.xlsx&amp;sheet=A0&amp;row=704&amp;col=7&amp;number=0&amp;sourceID=14","0")</f>
        <v>0</v>
      </c>
    </row>
    <row r="705" spans="1:7">
      <c r="A705" s="3">
        <v>26</v>
      </c>
      <c r="B705" s="3">
        <v>25</v>
      </c>
      <c r="C705" s="3">
        <v>99</v>
      </c>
      <c r="D705" s="3">
        <v>27</v>
      </c>
      <c r="E705" s="3">
        <v>2435.691</v>
      </c>
      <c r="F705" s="4" t="str">
        <f>HYPERLINK("http://141.218.60.56/~jnz1568/getInfo.php?workbook=26_25.xlsx&amp;sheet=A0&amp;row=705&amp;col=6&amp;number=190600000&amp;sourceID=14","190600000")</f>
        <v>190600000</v>
      </c>
      <c r="G705" s="4" t="str">
        <f>HYPERLINK("http://141.218.60.56/~jnz1568/getInfo.php?workbook=26_25.xlsx&amp;sheet=A0&amp;row=705&amp;col=7&amp;number=0&amp;sourceID=14","0")</f>
        <v>0</v>
      </c>
    </row>
    <row r="706" spans="1:7">
      <c r="A706" s="3">
        <v>26</v>
      </c>
      <c r="B706" s="3">
        <v>25</v>
      </c>
      <c r="C706" s="3">
        <v>99</v>
      </c>
      <c r="D706" s="3">
        <v>63</v>
      </c>
      <c r="E706" s="3">
        <v>7171.218</v>
      </c>
      <c r="F706" s="4" t="str">
        <f>HYPERLINK("http://141.218.60.56/~jnz1568/getInfo.php?workbook=26_25.xlsx&amp;sheet=A0&amp;row=706&amp;col=6&amp;number=10950&amp;sourceID=14","10950")</f>
        <v>10950</v>
      </c>
      <c r="G706" s="4" t="str">
        <f>HYPERLINK("http://141.218.60.56/~jnz1568/getInfo.php?workbook=26_25.xlsx&amp;sheet=A0&amp;row=706&amp;col=7&amp;number=0&amp;sourceID=14","0")</f>
        <v>0</v>
      </c>
    </row>
    <row r="707" spans="1:7">
      <c r="A707" s="3">
        <v>26</v>
      </c>
      <c r="B707" s="3">
        <v>25</v>
      </c>
      <c r="C707" s="3">
        <v>99</v>
      </c>
      <c r="D707" s="3">
        <v>64</v>
      </c>
      <c r="E707" s="3">
        <v>7136.991</v>
      </c>
      <c r="F707" s="4" t="str">
        <f>HYPERLINK("http://141.218.60.56/~jnz1568/getInfo.php?workbook=26_25.xlsx&amp;sheet=A0&amp;row=707&amp;col=6&amp;number=68920&amp;sourceID=14","68920")</f>
        <v>68920</v>
      </c>
      <c r="G707" s="4" t="str">
        <f>HYPERLINK("http://141.218.60.56/~jnz1568/getInfo.php?workbook=26_25.xlsx&amp;sheet=A0&amp;row=707&amp;col=7&amp;number=0&amp;sourceID=14","0")</f>
        <v>0</v>
      </c>
    </row>
    <row r="708" spans="1:7">
      <c r="A708" s="3">
        <v>26</v>
      </c>
      <c r="B708" s="3">
        <v>25</v>
      </c>
      <c r="C708" s="3">
        <v>99</v>
      </c>
      <c r="D708" s="3">
        <v>30</v>
      </c>
      <c r="E708" s="3">
        <v>2624.273</v>
      </c>
      <c r="F708" s="4" t="str">
        <f>HYPERLINK("http://141.218.60.56/~jnz1568/getInfo.php?workbook=26_25.xlsx&amp;sheet=A0&amp;row=708&amp;col=6&amp;number=1591000&amp;sourceID=14","1591000")</f>
        <v>1591000</v>
      </c>
      <c r="G708" s="4" t="str">
        <f>HYPERLINK("http://141.218.60.56/~jnz1568/getInfo.php?workbook=26_25.xlsx&amp;sheet=A0&amp;row=708&amp;col=7&amp;number=0&amp;sourceID=14","0")</f>
        <v>0</v>
      </c>
    </row>
    <row r="709" spans="1:7">
      <c r="A709" s="3">
        <v>26</v>
      </c>
      <c r="B709" s="3">
        <v>25</v>
      </c>
      <c r="C709" s="3">
        <v>99</v>
      </c>
      <c r="D709" s="3">
        <v>31</v>
      </c>
      <c r="E709" s="3">
        <v>2629.365</v>
      </c>
      <c r="F709" s="4" t="str">
        <f>HYPERLINK("http://141.218.60.56/~jnz1568/getInfo.php?workbook=26_25.xlsx&amp;sheet=A0&amp;row=709&amp;col=6&amp;number=13140000&amp;sourceID=14","13140000")</f>
        <v>13140000</v>
      </c>
      <c r="G709" s="4" t="str">
        <f>HYPERLINK("http://141.218.60.56/~jnz1568/getInfo.php?workbook=26_25.xlsx&amp;sheet=A0&amp;row=709&amp;col=7&amp;number=0&amp;sourceID=14","0")</f>
        <v>0</v>
      </c>
    </row>
    <row r="710" spans="1:7">
      <c r="A710" s="3">
        <v>26</v>
      </c>
      <c r="B710" s="3">
        <v>25</v>
      </c>
      <c r="C710" s="3">
        <v>99</v>
      </c>
      <c r="D710" s="3">
        <v>23</v>
      </c>
      <c r="E710" s="3">
        <v>2359.854</v>
      </c>
      <c r="F710" s="4" t="str">
        <f>HYPERLINK("http://141.218.60.56/~jnz1568/getInfo.php?workbook=26_25.xlsx&amp;sheet=A0&amp;row=710&amp;col=6&amp;number=66160000&amp;sourceID=14","66160000")</f>
        <v>66160000</v>
      </c>
      <c r="G710" s="4" t="str">
        <f>HYPERLINK("http://141.218.60.56/~jnz1568/getInfo.php?workbook=26_25.xlsx&amp;sheet=A0&amp;row=710&amp;col=7&amp;number=0&amp;sourceID=14","0")</f>
        <v>0</v>
      </c>
    </row>
    <row r="711" spans="1:7">
      <c r="A711" s="3">
        <v>26</v>
      </c>
      <c r="B711" s="3">
        <v>25</v>
      </c>
      <c r="C711" s="3">
        <v>100</v>
      </c>
      <c r="D711" s="3">
        <v>10</v>
      </c>
      <c r="E711" s="3">
        <v>1722.432</v>
      </c>
      <c r="F711" s="4" t="str">
        <f>HYPERLINK("http://141.218.60.56/~jnz1568/getInfo.php?workbook=26_25.xlsx&amp;sheet=A0&amp;row=711&amp;col=6&amp;number=7327000&amp;sourceID=14","7327000")</f>
        <v>7327000</v>
      </c>
      <c r="G711" s="4" t="str">
        <f>HYPERLINK("http://141.218.60.56/~jnz1568/getInfo.php?workbook=26_25.xlsx&amp;sheet=A0&amp;row=711&amp;col=7&amp;number=0&amp;sourceID=14","0")</f>
        <v>0</v>
      </c>
    </row>
    <row r="712" spans="1:7">
      <c r="A712" s="3">
        <v>26</v>
      </c>
      <c r="B712" s="3">
        <v>25</v>
      </c>
      <c r="C712" s="3">
        <v>100</v>
      </c>
      <c r="D712" s="3">
        <v>32</v>
      </c>
      <c r="E712" s="3">
        <v>2896.068</v>
      </c>
      <c r="F712" s="4" t="str">
        <f>HYPERLINK("http://141.218.60.56/~jnz1568/getInfo.php?workbook=26_25.xlsx&amp;sheet=A0&amp;row=712&amp;col=6&amp;number=11430000&amp;sourceID=14","11430000")</f>
        <v>11430000</v>
      </c>
      <c r="G712" s="4" t="str">
        <f>HYPERLINK("http://141.218.60.56/~jnz1568/getInfo.php?workbook=26_25.xlsx&amp;sheet=A0&amp;row=712&amp;col=7&amp;number=0&amp;sourceID=14","0")</f>
        <v>0</v>
      </c>
    </row>
    <row r="713" spans="1:7">
      <c r="A713" s="3">
        <v>26</v>
      </c>
      <c r="B713" s="3">
        <v>25</v>
      </c>
      <c r="C713" s="3">
        <v>100</v>
      </c>
      <c r="D713" s="3">
        <v>6</v>
      </c>
      <c r="E713" s="3">
        <v>1559.085</v>
      </c>
      <c r="F713" s="4" t="str">
        <f>HYPERLINK("http://141.218.60.56/~jnz1568/getInfo.php?workbook=26_25.xlsx&amp;sheet=A0&amp;row=713&amp;col=6&amp;number=244800000&amp;sourceID=14","244800000")</f>
        <v>244800000</v>
      </c>
      <c r="G713" s="4" t="str">
        <f>HYPERLINK("http://141.218.60.56/~jnz1568/getInfo.php?workbook=26_25.xlsx&amp;sheet=A0&amp;row=713&amp;col=7&amp;number=0&amp;sourceID=14","0")</f>
        <v>0</v>
      </c>
    </row>
    <row r="714" spans="1:7">
      <c r="A714" s="3">
        <v>26</v>
      </c>
      <c r="B714" s="3">
        <v>25</v>
      </c>
      <c r="C714" s="3">
        <v>100</v>
      </c>
      <c r="D714" s="3">
        <v>7</v>
      </c>
      <c r="E714" s="3">
        <v>1572.756</v>
      </c>
      <c r="F714" s="4" t="str">
        <f>HYPERLINK("http://141.218.60.56/~jnz1568/getInfo.php?workbook=26_25.xlsx&amp;sheet=A0&amp;row=714&amp;col=6&amp;number=21580000&amp;sourceID=14","21580000")</f>
        <v>21580000</v>
      </c>
      <c r="G714" s="4" t="str">
        <f>HYPERLINK("http://141.218.60.56/~jnz1568/getInfo.php?workbook=26_25.xlsx&amp;sheet=A0&amp;row=714&amp;col=7&amp;number=0&amp;sourceID=14","0")</f>
        <v>0</v>
      </c>
    </row>
    <row r="715" spans="1:7">
      <c r="A715" s="3">
        <v>26</v>
      </c>
      <c r="B715" s="3">
        <v>25</v>
      </c>
      <c r="C715" s="3">
        <v>100</v>
      </c>
      <c r="D715" s="3">
        <v>24</v>
      </c>
      <c r="E715" s="3">
        <v>2305.446</v>
      </c>
      <c r="F715" s="4" t="str">
        <f>HYPERLINK("http://141.218.60.56/~jnz1568/getInfo.php?workbook=26_25.xlsx&amp;sheet=A0&amp;row=715&amp;col=6&amp;number=23750000&amp;sourceID=14","23750000")</f>
        <v>23750000</v>
      </c>
      <c r="G715" s="4" t="str">
        <f>HYPERLINK("http://141.218.60.56/~jnz1568/getInfo.php?workbook=26_25.xlsx&amp;sheet=A0&amp;row=715&amp;col=7&amp;number=0&amp;sourceID=14","0")</f>
        <v>0</v>
      </c>
    </row>
    <row r="716" spans="1:7">
      <c r="A716" s="3">
        <v>26</v>
      </c>
      <c r="B716" s="3">
        <v>25</v>
      </c>
      <c r="C716" s="3">
        <v>100</v>
      </c>
      <c r="D716" s="3">
        <v>25</v>
      </c>
      <c r="E716" s="3">
        <v>2314.687</v>
      </c>
      <c r="F716" s="4" t="str">
        <f>HYPERLINK("http://141.218.60.56/~jnz1568/getInfo.php?workbook=26_25.xlsx&amp;sheet=A0&amp;row=716&amp;col=6&amp;number=2123000&amp;sourceID=14","2123000")</f>
        <v>2123000</v>
      </c>
      <c r="G716" s="4" t="str">
        <f>HYPERLINK("http://141.218.60.56/~jnz1568/getInfo.php?workbook=26_25.xlsx&amp;sheet=A0&amp;row=716&amp;col=7&amp;number=0&amp;sourceID=14","0")</f>
        <v>0</v>
      </c>
    </row>
    <row r="717" spans="1:7">
      <c r="A717" s="3">
        <v>26</v>
      </c>
      <c r="B717" s="3">
        <v>25</v>
      </c>
      <c r="C717" s="3">
        <v>100</v>
      </c>
      <c r="D717" s="3">
        <v>61</v>
      </c>
      <c r="E717" s="3">
        <v>6307.041</v>
      </c>
      <c r="F717" s="4" t="str">
        <f>HYPERLINK("http://141.218.60.56/~jnz1568/getInfo.php?workbook=26_25.xlsx&amp;sheet=A0&amp;row=717&amp;col=6&amp;number=240500&amp;sourceID=14","240500")</f>
        <v>240500</v>
      </c>
      <c r="G717" s="4" t="str">
        <f>HYPERLINK("http://141.218.60.56/~jnz1568/getInfo.php?workbook=26_25.xlsx&amp;sheet=A0&amp;row=717&amp;col=7&amp;number=0&amp;sourceID=14","0")</f>
        <v>0</v>
      </c>
    </row>
    <row r="718" spans="1:7">
      <c r="A718" s="3">
        <v>26</v>
      </c>
      <c r="B718" s="3">
        <v>25</v>
      </c>
      <c r="C718" s="3">
        <v>100</v>
      </c>
      <c r="D718" s="3">
        <v>62</v>
      </c>
      <c r="E718" s="3">
        <v>6319.14</v>
      </c>
      <c r="F718" s="4" t="str">
        <f>HYPERLINK("http://141.218.60.56/~jnz1568/getInfo.php?workbook=26_25.xlsx&amp;sheet=A0&amp;row=718&amp;col=6&amp;number=21630&amp;sourceID=14","21630")</f>
        <v>21630</v>
      </c>
      <c r="G718" s="4" t="str">
        <f>HYPERLINK("http://141.218.60.56/~jnz1568/getInfo.php?workbook=26_25.xlsx&amp;sheet=A0&amp;row=718&amp;col=7&amp;number=0&amp;sourceID=14","0")</f>
        <v>0</v>
      </c>
    </row>
    <row r="719" spans="1:7">
      <c r="A719" s="3">
        <v>26</v>
      </c>
      <c r="B719" s="3">
        <v>25</v>
      </c>
      <c r="C719" s="3">
        <v>100</v>
      </c>
      <c r="D719" s="3">
        <v>28</v>
      </c>
      <c r="E719" s="3">
        <v>2464.027</v>
      </c>
      <c r="F719" s="4" t="str">
        <f>HYPERLINK("http://141.218.60.56/~jnz1568/getInfo.php?workbook=26_25.xlsx&amp;sheet=A0&amp;row=719&amp;col=6&amp;number=238700000&amp;sourceID=14","238700000")</f>
        <v>238700000</v>
      </c>
      <c r="G719" s="4" t="str">
        <f>HYPERLINK("http://141.218.60.56/~jnz1568/getInfo.php?workbook=26_25.xlsx&amp;sheet=A0&amp;row=719&amp;col=7&amp;number=0&amp;sourceID=14","0")</f>
        <v>0</v>
      </c>
    </row>
    <row r="720" spans="1:7">
      <c r="A720" s="3">
        <v>26</v>
      </c>
      <c r="B720" s="3">
        <v>25</v>
      </c>
      <c r="C720" s="3">
        <v>100</v>
      </c>
      <c r="D720" s="3">
        <v>29</v>
      </c>
      <c r="E720" s="3">
        <v>2487.103</v>
      </c>
      <c r="F720" s="4" t="str">
        <f>HYPERLINK("http://141.218.60.56/~jnz1568/getInfo.php?workbook=26_25.xlsx&amp;sheet=A0&amp;row=720&amp;col=6&amp;number=16030000&amp;sourceID=14","16030000")</f>
        <v>16030000</v>
      </c>
      <c r="G720" s="4" t="str">
        <f>HYPERLINK("http://141.218.60.56/~jnz1568/getInfo.php?workbook=26_25.xlsx&amp;sheet=A0&amp;row=720&amp;col=7&amp;number=0&amp;sourceID=14","0")</f>
        <v>0</v>
      </c>
    </row>
    <row r="721" spans="1:7">
      <c r="A721" s="3">
        <v>26</v>
      </c>
      <c r="B721" s="3">
        <v>25</v>
      </c>
      <c r="C721" s="3">
        <v>100</v>
      </c>
      <c r="D721" s="3">
        <v>30</v>
      </c>
      <c r="E721" s="3">
        <v>2498.056</v>
      </c>
      <c r="F721" s="4" t="str">
        <f>HYPERLINK("http://141.218.60.56/~jnz1568/getInfo.php?workbook=26_25.xlsx&amp;sheet=A0&amp;row=721&amp;col=6&amp;number=463700&amp;sourceID=14","463700")</f>
        <v>463700</v>
      </c>
      <c r="G721" s="4" t="str">
        <f>HYPERLINK("http://141.218.60.56/~jnz1568/getInfo.php?workbook=26_25.xlsx&amp;sheet=A0&amp;row=721&amp;col=7&amp;number=0&amp;sourceID=14","0")</f>
        <v>0</v>
      </c>
    </row>
    <row r="722" spans="1:7">
      <c r="A722" s="3">
        <v>26</v>
      </c>
      <c r="B722" s="3">
        <v>25</v>
      </c>
      <c r="C722" s="3">
        <v>101</v>
      </c>
      <c r="D722" s="3">
        <v>10</v>
      </c>
      <c r="E722" s="3">
        <v>1711.684</v>
      </c>
      <c r="F722" s="4" t="str">
        <f>HYPERLINK("http://141.218.60.56/~jnz1568/getInfo.php?workbook=26_25.xlsx&amp;sheet=A0&amp;row=722&amp;col=6&amp;number=1064000&amp;sourceID=14","1064000")</f>
        <v>1064000</v>
      </c>
      <c r="G722" s="4" t="str">
        <f>HYPERLINK("http://141.218.60.56/~jnz1568/getInfo.php?workbook=26_25.xlsx&amp;sheet=A0&amp;row=722&amp;col=7&amp;number=0&amp;sourceID=14","0")</f>
        <v>0</v>
      </c>
    </row>
    <row r="723" spans="1:7">
      <c r="A723" s="3">
        <v>26</v>
      </c>
      <c r="B723" s="3">
        <v>25</v>
      </c>
      <c r="C723" s="3">
        <v>101</v>
      </c>
      <c r="D723" s="3">
        <v>11</v>
      </c>
      <c r="E723" s="3">
        <v>1724.574</v>
      </c>
      <c r="F723" s="4" t="str">
        <f>HYPERLINK("http://141.218.60.56/~jnz1568/getInfo.php?workbook=26_25.xlsx&amp;sheet=A0&amp;row=723&amp;col=6&amp;number=6260000&amp;sourceID=14","6260000")</f>
        <v>6260000</v>
      </c>
      <c r="G723" s="4" t="str">
        <f>HYPERLINK("http://141.218.60.56/~jnz1568/getInfo.php?workbook=26_25.xlsx&amp;sheet=A0&amp;row=723&amp;col=7&amp;number=0&amp;sourceID=14","0")</f>
        <v>0</v>
      </c>
    </row>
    <row r="724" spans="1:7">
      <c r="A724" s="3">
        <v>26</v>
      </c>
      <c r="B724" s="3">
        <v>25</v>
      </c>
      <c r="C724" s="3">
        <v>101</v>
      </c>
      <c r="D724" s="3">
        <v>32</v>
      </c>
      <c r="E724" s="3">
        <v>2865.814</v>
      </c>
      <c r="F724" s="4" t="str">
        <f>HYPERLINK("http://141.218.60.56/~jnz1568/getInfo.php?workbook=26_25.xlsx&amp;sheet=A0&amp;row=724&amp;col=6&amp;number=1681000&amp;sourceID=14","1681000")</f>
        <v>1681000</v>
      </c>
      <c r="G724" s="4" t="str">
        <f>HYPERLINK("http://141.218.60.56/~jnz1568/getInfo.php?workbook=26_25.xlsx&amp;sheet=A0&amp;row=724&amp;col=7&amp;number=0&amp;sourceID=14","0")</f>
        <v>0</v>
      </c>
    </row>
    <row r="725" spans="1:7">
      <c r="A725" s="3">
        <v>26</v>
      </c>
      <c r="B725" s="3">
        <v>25</v>
      </c>
      <c r="C725" s="3">
        <v>101</v>
      </c>
      <c r="D725" s="3">
        <v>33</v>
      </c>
      <c r="E725" s="3">
        <v>2858.014</v>
      </c>
      <c r="F725" s="4" t="str">
        <f>HYPERLINK("http://141.218.60.56/~jnz1568/getInfo.php?workbook=26_25.xlsx&amp;sheet=A0&amp;row=725&amp;col=6&amp;number=10200000&amp;sourceID=14","10200000")</f>
        <v>10200000</v>
      </c>
      <c r="G725" s="4" t="str">
        <f>HYPERLINK("http://141.218.60.56/~jnz1568/getInfo.php?workbook=26_25.xlsx&amp;sheet=A0&amp;row=725&amp;col=7&amp;number=0&amp;sourceID=14","0")</f>
        <v>0</v>
      </c>
    </row>
    <row r="726" spans="1:7">
      <c r="A726" s="3">
        <v>26</v>
      </c>
      <c r="B726" s="3">
        <v>25</v>
      </c>
      <c r="C726" s="3">
        <v>101</v>
      </c>
      <c r="D726" s="3">
        <v>6</v>
      </c>
      <c r="E726" s="3">
        <v>1550.274</v>
      </c>
      <c r="F726" s="4" t="str">
        <f>HYPERLINK("http://141.218.60.56/~jnz1568/getInfo.php?workbook=26_25.xlsx&amp;sheet=A0&amp;row=726&amp;col=6&amp;number=28170000&amp;sourceID=14","28170000")</f>
        <v>28170000</v>
      </c>
      <c r="G726" s="4" t="str">
        <f>HYPERLINK("http://141.218.60.56/~jnz1568/getInfo.php?workbook=26_25.xlsx&amp;sheet=A0&amp;row=726&amp;col=7&amp;number=0&amp;sourceID=14","0")</f>
        <v>0</v>
      </c>
    </row>
    <row r="727" spans="1:7">
      <c r="A727" s="3">
        <v>26</v>
      </c>
      <c r="B727" s="3">
        <v>25</v>
      </c>
      <c r="C727" s="3">
        <v>101</v>
      </c>
      <c r="D727" s="3">
        <v>7</v>
      </c>
      <c r="E727" s="3">
        <v>1563.791</v>
      </c>
      <c r="F727" s="4" t="str">
        <f>HYPERLINK("http://141.218.60.56/~jnz1568/getInfo.php?workbook=26_25.xlsx&amp;sheet=A0&amp;row=727&amp;col=6&amp;number=202000000&amp;sourceID=14","202000000")</f>
        <v>202000000</v>
      </c>
      <c r="G727" s="4" t="str">
        <f>HYPERLINK("http://141.218.60.56/~jnz1568/getInfo.php?workbook=26_25.xlsx&amp;sheet=A0&amp;row=727&amp;col=7&amp;number=0&amp;sourceID=14","0")</f>
        <v>0</v>
      </c>
    </row>
    <row r="728" spans="1:7">
      <c r="A728" s="3">
        <v>26</v>
      </c>
      <c r="B728" s="3">
        <v>25</v>
      </c>
      <c r="C728" s="3">
        <v>101</v>
      </c>
      <c r="D728" s="3">
        <v>8</v>
      </c>
      <c r="E728" s="3">
        <v>1573.828</v>
      </c>
      <c r="F728" s="4" t="str">
        <f>HYPERLINK("http://141.218.60.56/~jnz1568/getInfo.php?workbook=26_25.xlsx&amp;sheet=A0&amp;row=728&amp;col=6&amp;number=34810000&amp;sourceID=14","34810000")</f>
        <v>34810000</v>
      </c>
      <c r="G728" s="4" t="str">
        <f>HYPERLINK("http://141.218.60.56/~jnz1568/getInfo.php?workbook=26_25.xlsx&amp;sheet=A0&amp;row=728&amp;col=7&amp;number=0&amp;sourceID=14","0")</f>
        <v>0</v>
      </c>
    </row>
    <row r="729" spans="1:7">
      <c r="A729" s="3">
        <v>26</v>
      </c>
      <c r="B729" s="3">
        <v>25</v>
      </c>
      <c r="C729" s="3">
        <v>101</v>
      </c>
      <c r="D729" s="3">
        <v>24</v>
      </c>
      <c r="E729" s="3">
        <v>2286.233</v>
      </c>
      <c r="F729" s="4" t="str">
        <f>HYPERLINK("http://141.218.60.56/~jnz1568/getInfo.php?workbook=26_25.xlsx&amp;sheet=A0&amp;row=729&amp;col=6&amp;number=2754000&amp;sourceID=14","2754000")</f>
        <v>2754000</v>
      </c>
      <c r="G729" s="4" t="str">
        <f>HYPERLINK("http://141.218.60.56/~jnz1568/getInfo.php?workbook=26_25.xlsx&amp;sheet=A0&amp;row=729&amp;col=7&amp;number=0&amp;sourceID=14","0")</f>
        <v>0</v>
      </c>
    </row>
    <row r="730" spans="1:7">
      <c r="A730" s="3">
        <v>26</v>
      </c>
      <c r="B730" s="3">
        <v>25</v>
      </c>
      <c r="C730" s="3">
        <v>101</v>
      </c>
      <c r="D730" s="3">
        <v>25</v>
      </c>
      <c r="E730" s="3">
        <v>2295.319</v>
      </c>
      <c r="F730" s="4" t="str">
        <f>HYPERLINK("http://141.218.60.56/~jnz1568/getInfo.php?workbook=26_25.xlsx&amp;sheet=A0&amp;row=730&amp;col=6&amp;number=20040000&amp;sourceID=14","20040000")</f>
        <v>20040000</v>
      </c>
      <c r="G730" s="4" t="str">
        <f>HYPERLINK("http://141.218.60.56/~jnz1568/getInfo.php?workbook=26_25.xlsx&amp;sheet=A0&amp;row=730&amp;col=7&amp;number=0&amp;sourceID=14","0")</f>
        <v>0</v>
      </c>
    </row>
    <row r="731" spans="1:7">
      <c r="A731" s="3">
        <v>26</v>
      </c>
      <c r="B731" s="3">
        <v>25</v>
      </c>
      <c r="C731" s="3">
        <v>101</v>
      </c>
      <c r="D731" s="3">
        <v>26</v>
      </c>
      <c r="E731" s="3">
        <v>2302.136</v>
      </c>
      <c r="F731" s="4" t="str">
        <f>HYPERLINK("http://141.218.60.56/~jnz1568/getInfo.php?workbook=26_25.xlsx&amp;sheet=A0&amp;row=731&amp;col=6&amp;number=3488000&amp;sourceID=14","3488000")</f>
        <v>3488000</v>
      </c>
      <c r="G731" s="4" t="str">
        <f>HYPERLINK("http://141.218.60.56/~jnz1568/getInfo.php?workbook=26_25.xlsx&amp;sheet=A0&amp;row=731&amp;col=7&amp;number=0&amp;sourceID=14","0")</f>
        <v>0</v>
      </c>
    </row>
    <row r="732" spans="1:7">
      <c r="A732" s="3">
        <v>26</v>
      </c>
      <c r="B732" s="3">
        <v>25</v>
      </c>
      <c r="C732" s="3">
        <v>101</v>
      </c>
      <c r="D732" s="3">
        <v>61</v>
      </c>
      <c r="E732" s="3">
        <v>6165.293</v>
      </c>
      <c r="F732" s="4" t="str">
        <f>HYPERLINK("http://141.218.60.56/~jnz1568/getInfo.php?workbook=26_25.xlsx&amp;sheet=A0&amp;row=732&amp;col=6&amp;number=29120&amp;sourceID=14","29120")</f>
        <v>29120</v>
      </c>
      <c r="G732" s="4" t="str">
        <f>HYPERLINK("http://141.218.60.56/~jnz1568/getInfo.php?workbook=26_25.xlsx&amp;sheet=A0&amp;row=732&amp;col=7&amp;number=0&amp;sourceID=14","0")</f>
        <v>0</v>
      </c>
    </row>
    <row r="733" spans="1:7">
      <c r="A733" s="3">
        <v>26</v>
      </c>
      <c r="B733" s="3">
        <v>25</v>
      </c>
      <c r="C733" s="3">
        <v>101</v>
      </c>
      <c r="D733" s="3">
        <v>62</v>
      </c>
      <c r="E733" s="3">
        <v>6176.855</v>
      </c>
      <c r="F733" s="4" t="str">
        <f>HYPERLINK("http://141.218.60.56/~jnz1568/getInfo.php?workbook=26_25.xlsx&amp;sheet=A0&amp;row=733&amp;col=6&amp;number=213200&amp;sourceID=14","213200")</f>
        <v>213200</v>
      </c>
      <c r="G733" s="4" t="str">
        <f>HYPERLINK("http://141.218.60.56/~jnz1568/getInfo.php?workbook=26_25.xlsx&amp;sheet=A0&amp;row=733&amp;col=7&amp;number=0&amp;sourceID=14","0")</f>
        <v>0</v>
      </c>
    </row>
    <row r="734" spans="1:7">
      <c r="A734" s="3">
        <v>26</v>
      </c>
      <c r="B734" s="3">
        <v>25</v>
      </c>
      <c r="C734" s="3">
        <v>101</v>
      </c>
      <c r="D734" s="3">
        <v>63</v>
      </c>
      <c r="E734" s="3">
        <v>6159.723</v>
      </c>
      <c r="F734" s="4" t="str">
        <f>HYPERLINK("http://141.218.60.56/~jnz1568/getInfo.php?workbook=26_25.xlsx&amp;sheet=A0&amp;row=734&amp;col=6&amp;number=37760&amp;sourceID=14","37760")</f>
        <v>37760</v>
      </c>
      <c r="G734" s="4" t="str">
        <f>HYPERLINK("http://141.218.60.56/~jnz1568/getInfo.php?workbook=26_25.xlsx&amp;sheet=A0&amp;row=734&amp;col=7&amp;number=0&amp;sourceID=14","0")</f>
        <v>0</v>
      </c>
    </row>
    <row r="735" spans="1:7">
      <c r="A735" s="3">
        <v>26</v>
      </c>
      <c r="B735" s="3">
        <v>25</v>
      </c>
      <c r="C735" s="3">
        <v>101</v>
      </c>
      <c r="D735" s="3">
        <v>29</v>
      </c>
      <c r="E735" s="3">
        <v>2464.757</v>
      </c>
      <c r="F735" s="4" t="str">
        <f>HYPERLINK("http://141.218.60.56/~jnz1568/getInfo.php?workbook=26_25.xlsx&amp;sheet=A0&amp;row=735&amp;col=6&amp;number=227500000&amp;sourceID=14","227500000")</f>
        <v>227500000</v>
      </c>
      <c r="G735" s="4" t="str">
        <f>HYPERLINK("http://141.218.60.56/~jnz1568/getInfo.php?workbook=26_25.xlsx&amp;sheet=A0&amp;row=735&amp;col=7&amp;number=0&amp;sourceID=14","0")</f>
        <v>0</v>
      </c>
    </row>
    <row r="736" spans="1:7">
      <c r="A736" s="3">
        <v>26</v>
      </c>
      <c r="B736" s="3">
        <v>25</v>
      </c>
      <c r="C736" s="3">
        <v>101</v>
      </c>
      <c r="D736" s="3">
        <v>30</v>
      </c>
      <c r="E736" s="3">
        <v>2475.514</v>
      </c>
      <c r="F736" s="4" t="str">
        <f>HYPERLINK("http://141.218.60.56/~jnz1568/getInfo.php?workbook=26_25.xlsx&amp;sheet=A0&amp;row=736&amp;col=6&amp;number=26620000&amp;sourceID=14","26620000")</f>
        <v>26620000</v>
      </c>
      <c r="G736" s="4" t="str">
        <f>HYPERLINK("http://141.218.60.56/~jnz1568/getInfo.php?workbook=26_25.xlsx&amp;sheet=A0&amp;row=736&amp;col=7&amp;number=0&amp;sourceID=14","0")</f>
        <v>0</v>
      </c>
    </row>
    <row r="737" spans="1:7">
      <c r="A737" s="3">
        <v>26</v>
      </c>
      <c r="B737" s="3">
        <v>25</v>
      </c>
      <c r="C737" s="3">
        <v>101</v>
      </c>
      <c r="D737" s="3">
        <v>31</v>
      </c>
      <c r="E737" s="3">
        <v>2480.044</v>
      </c>
      <c r="F737" s="4" t="str">
        <f>HYPERLINK("http://141.218.60.56/~jnz1568/getInfo.php?workbook=26_25.xlsx&amp;sheet=A0&amp;row=737&amp;col=6&amp;number=731700&amp;sourceID=14","731700")</f>
        <v>731700</v>
      </c>
      <c r="G737" s="4" t="str">
        <f>HYPERLINK("http://141.218.60.56/~jnz1568/getInfo.php?workbook=26_25.xlsx&amp;sheet=A0&amp;row=737&amp;col=7&amp;number=0&amp;sourceID=14","0")</f>
        <v>0</v>
      </c>
    </row>
    <row r="738" spans="1:7">
      <c r="A738" s="3">
        <v>26</v>
      </c>
      <c r="B738" s="3">
        <v>25</v>
      </c>
      <c r="C738" s="3">
        <v>102</v>
      </c>
      <c r="D738" s="3">
        <v>10</v>
      </c>
      <c r="E738" s="3">
        <v>1707.446</v>
      </c>
      <c r="F738" s="4" t="str">
        <f>HYPERLINK("http://141.218.60.56/~jnz1568/getInfo.php?workbook=26_25.xlsx&amp;sheet=A0&amp;row=738&amp;col=6&amp;number=72710&amp;sourceID=14","72710")</f>
        <v>72710</v>
      </c>
      <c r="G738" s="4" t="str">
        <f>HYPERLINK("http://141.218.60.56/~jnz1568/getInfo.php?workbook=26_25.xlsx&amp;sheet=A0&amp;row=738&amp;col=7&amp;number=0&amp;sourceID=14","0")</f>
        <v>0</v>
      </c>
    </row>
    <row r="739" spans="1:7">
      <c r="A739" s="3">
        <v>26</v>
      </c>
      <c r="B739" s="3">
        <v>25</v>
      </c>
      <c r="C739" s="3">
        <v>102</v>
      </c>
      <c r="D739" s="3">
        <v>11</v>
      </c>
      <c r="E739" s="3">
        <v>1720.271</v>
      </c>
      <c r="F739" s="4" t="str">
        <f>HYPERLINK("http://141.218.60.56/~jnz1568/getInfo.php?workbook=26_25.xlsx&amp;sheet=A0&amp;row=739&amp;col=6&amp;number=1790000&amp;sourceID=14","1790000")</f>
        <v>1790000</v>
      </c>
      <c r="G739" s="4" t="str">
        <f>HYPERLINK("http://141.218.60.56/~jnz1568/getInfo.php?workbook=26_25.xlsx&amp;sheet=A0&amp;row=739&amp;col=7&amp;number=0&amp;sourceID=14","0")</f>
        <v>0</v>
      </c>
    </row>
    <row r="740" spans="1:7">
      <c r="A740" s="3">
        <v>26</v>
      </c>
      <c r="B740" s="3">
        <v>25</v>
      </c>
      <c r="C740" s="3">
        <v>102</v>
      </c>
      <c r="D740" s="3">
        <v>12</v>
      </c>
      <c r="E740" s="3">
        <v>1728.852</v>
      </c>
      <c r="F740" s="4" t="str">
        <f>HYPERLINK("http://141.218.60.56/~jnz1568/getInfo.php?workbook=26_25.xlsx&amp;sheet=A0&amp;row=740&amp;col=6&amp;number=5435000&amp;sourceID=14","5435000")</f>
        <v>5435000</v>
      </c>
      <c r="G740" s="4" t="str">
        <f>HYPERLINK("http://141.218.60.56/~jnz1568/getInfo.php?workbook=26_25.xlsx&amp;sheet=A0&amp;row=740&amp;col=7&amp;number=0&amp;sourceID=14","0")</f>
        <v>0</v>
      </c>
    </row>
    <row r="741" spans="1:7">
      <c r="A741" s="3">
        <v>26</v>
      </c>
      <c r="B741" s="3">
        <v>25</v>
      </c>
      <c r="C741" s="3">
        <v>102</v>
      </c>
      <c r="D741" s="3">
        <v>32</v>
      </c>
      <c r="E741" s="3">
        <v>2853.952</v>
      </c>
      <c r="F741" s="4" t="str">
        <f>HYPERLINK("http://141.218.60.56/~jnz1568/getInfo.php?workbook=26_25.xlsx&amp;sheet=A0&amp;row=741&amp;col=6&amp;number=115400&amp;sourceID=14","115400")</f>
        <v>115400</v>
      </c>
      <c r="G741" s="4" t="str">
        <f>HYPERLINK("http://141.218.60.56/~jnz1568/getInfo.php?workbook=26_25.xlsx&amp;sheet=A0&amp;row=741&amp;col=7&amp;number=0&amp;sourceID=14","0")</f>
        <v>0</v>
      </c>
    </row>
    <row r="742" spans="1:7">
      <c r="A742" s="3">
        <v>26</v>
      </c>
      <c r="B742" s="3">
        <v>25</v>
      </c>
      <c r="C742" s="3">
        <v>102</v>
      </c>
      <c r="D742" s="3">
        <v>33</v>
      </c>
      <c r="E742" s="3">
        <v>2846.217</v>
      </c>
      <c r="F742" s="4" t="str">
        <f>HYPERLINK("http://141.218.60.56/~jnz1568/getInfo.php?workbook=26_25.xlsx&amp;sheet=A0&amp;row=742&amp;col=6&amp;number=2930000&amp;sourceID=14","2930000")</f>
        <v>2930000</v>
      </c>
      <c r="G742" s="4" t="str">
        <f>HYPERLINK("http://141.218.60.56/~jnz1568/getInfo.php?workbook=26_25.xlsx&amp;sheet=A0&amp;row=742&amp;col=7&amp;number=0&amp;sourceID=14","0")</f>
        <v>0</v>
      </c>
    </row>
    <row r="743" spans="1:7">
      <c r="A743" s="3">
        <v>26</v>
      </c>
      <c r="B743" s="3">
        <v>25</v>
      </c>
      <c r="C743" s="3">
        <v>102</v>
      </c>
      <c r="D743" s="3">
        <v>34</v>
      </c>
      <c r="E743" s="3">
        <v>2844.314</v>
      </c>
      <c r="F743" s="4" t="str">
        <f>HYPERLINK("http://141.218.60.56/~jnz1568/getInfo.php?workbook=26_25.xlsx&amp;sheet=A0&amp;row=743&amp;col=6&amp;number=9049000&amp;sourceID=14","9049000")</f>
        <v>9049000</v>
      </c>
      <c r="G743" s="4" t="str">
        <f>HYPERLINK("http://141.218.60.56/~jnz1568/getInfo.php?workbook=26_25.xlsx&amp;sheet=A0&amp;row=743&amp;col=7&amp;number=0&amp;sourceID=14","0")</f>
        <v>0</v>
      </c>
    </row>
    <row r="744" spans="1:7">
      <c r="A744" s="3">
        <v>26</v>
      </c>
      <c r="B744" s="3">
        <v>25</v>
      </c>
      <c r="C744" s="3">
        <v>102</v>
      </c>
      <c r="D744" s="3">
        <v>7</v>
      </c>
      <c r="E744" s="3">
        <v>1560.252</v>
      </c>
      <c r="F744" s="4" t="str">
        <f>HYPERLINK("http://141.218.60.56/~jnz1568/getInfo.php?workbook=26_25.xlsx&amp;sheet=A0&amp;row=744&amp;col=6&amp;number=47640000&amp;sourceID=14","47640000")</f>
        <v>47640000</v>
      </c>
      <c r="G744" s="4" t="str">
        <f>HYPERLINK("http://141.218.60.56/~jnz1568/getInfo.php?workbook=26_25.xlsx&amp;sheet=A0&amp;row=744&amp;col=7&amp;number=0&amp;sourceID=14","0")</f>
        <v>0</v>
      </c>
    </row>
    <row r="745" spans="1:7">
      <c r="A745" s="3">
        <v>26</v>
      </c>
      <c r="B745" s="3">
        <v>25</v>
      </c>
      <c r="C745" s="3">
        <v>102</v>
      </c>
      <c r="D745" s="3">
        <v>8</v>
      </c>
      <c r="E745" s="3">
        <v>1570.244</v>
      </c>
      <c r="F745" s="4" t="str">
        <f>HYPERLINK("http://141.218.60.56/~jnz1568/getInfo.php?workbook=26_25.xlsx&amp;sheet=A0&amp;row=745&amp;col=6&amp;number=180100000&amp;sourceID=14","180100000")</f>
        <v>180100000</v>
      </c>
      <c r="G745" s="4" t="str">
        <f>HYPERLINK("http://141.218.60.56/~jnz1568/getInfo.php?workbook=26_25.xlsx&amp;sheet=A0&amp;row=745&amp;col=7&amp;number=0&amp;sourceID=14","0")</f>
        <v>0</v>
      </c>
    </row>
    <row r="746" spans="1:7">
      <c r="A746" s="3">
        <v>26</v>
      </c>
      <c r="B746" s="3">
        <v>25</v>
      </c>
      <c r="C746" s="3">
        <v>102</v>
      </c>
      <c r="D746" s="3">
        <v>9</v>
      </c>
      <c r="E746" s="3">
        <v>1577.167</v>
      </c>
      <c r="F746" s="4" t="str">
        <f>HYPERLINK("http://141.218.60.56/~jnz1568/getInfo.php?workbook=26_25.xlsx&amp;sheet=A0&amp;row=746&amp;col=6&amp;number=34440000&amp;sourceID=14","34440000")</f>
        <v>34440000</v>
      </c>
      <c r="G746" s="4" t="str">
        <f>HYPERLINK("http://141.218.60.56/~jnz1568/getInfo.php?workbook=26_25.xlsx&amp;sheet=A0&amp;row=746&amp;col=7&amp;number=0&amp;sourceID=14","0")</f>
        <v>0</v>
      </c>
    </row>
    <row r="747" spans="1:7">
      <c r="A747" s="3">
        <v>26</v>
      </c>
      <c r="B747" s="3">
        <v>25</v>
      </c>
      <c r="C747" s="3">
        <v>102</v>
      </c>
      <c r="D747" s="3">
        <v>25</v>
      </c>
      <c r="E747" s="3">
        <v>2287.704</v>
      </c>
      <c r="F747" s="4" t="str">
        <f>HYPERLINK("http://141.218.60.56/~jnz1568/getInfo.php?workbook=26_25.xlsx&amp;sheet=A0&amp;row=747&amp;col=6&amp;number=4740000&amp;sourceID=14","4740000")</f>
        <v>4740000</v>
      </c>
      <c r="G747" s="4" t="str">
        <f>HYPERLINK("http://141.218.60.56/~jnz1568/getInfo.php?workbook=26_25.xlsx&amp;sheet=A0&amp;row=747&amp;col=7&amp;number=0&amp;sourceID=14","0")</f>
        <v>0</v>
      </c>
    </row>
    <row r="748" spans="1:7">
      <c r="A748" s="3">
        <v>26</v>
      </c>
      <c r="B748" s="3">
        <v>25</v>
      </c>
      <c r="C748" s="3">
        <v>102</v>
      </c>
      <c r="D748" s="3">
        <v>26</v>
      </c>
      <c r="E748" s="3">
        <v>2294.475</v>
      </c>
      <c r="F748" s="4" t="str">
        <f>HYPERLINK("http://141.218.60.56/~jnz1568/getInfo.php?workbook=26_25.xlsx&amp;sheet=A0&amp;row=748&amp;col=6&amp;number=18100000&amp;sourceID=14","18100000")</f>
        <v>18100000</v>
      </c>
      <c r="G748" s="4" t="str">
        <f>HYPERLINK("http://141.218.60.56/~jnz1568/getInfo.php?workbook=26_25.xlsx&amp;sheet=A0&amp;row=748&amp;col=7&amp;number=0&amp;sourceID=14","0")</f>
        <v>0</v>
      </c>
    </row>
    <row r="749" spans="1:7">
      <c r="A749" s="3">
        <v>26</v>
      </c>
      <c r="B749" s="3">
        <v>25</v>
      </c>
      <c r="C749" s="3">
        <v>102</v>
      </c>
      <c r="D749" s="3">
        <v>27</v>
      </c>
      <c r="E749" s="3">
        <v>2299.326</v>
      </c>
      <c r="F749" s="4" t="str">
        <f>HYPERLINK("http://141.218.60.56/~jnz1568/getInfo.php?workbook=26_25.xlsx&amp;sheet=A0&amp;row=749&amp;col=6&amp;number=3485000&amp;sourceID=14","3485000")</f>
        <v>3485000</v>
      </c>
      <c r="G749" s="4" t="str">
        <f>HYPERLINK("http://141.218.60.56/~jnz1568/getInfo.php?workbook=26_25.xlsx&amp;sheet=A0&amp;row=749&amp;col=7&amp;number=0&amp;sourceID=14","0")</f>
        <v>0</v>
      </c>
    </row>
    <row r="750" spans="1:7">
      <c r="A750" s="3">
        <v>26</v>
      </c>
      <c r="B750" s="3">
        <v>25</v>
      </c>
      <c r="C750" s="3">
        <v>102</v>
      </c>
      <c r="D750" s="3">
        <v>62</v>
      </c>
      <c r="E750" s="3">
        <v>6122.015</v>
      </c>
      <c r="F750" s="4" t="str">
        <f>HYPERLINK("http://141.218.60.56/~jnz1568/getInfo.php?workbook=26_25.xlsx&amp;sheet=A0&amp;row=750&amp;col=6&amp;number=51280&amp;sourceID=14","51280")</f>
        <v>51280</v>
      </c>
      <c r="G750" s="4" t="str">
        <f>HYPERLINK("http://141.218.60.56/~jnz1568/getInfo.php?workbook=26_25.xlsx&amp;sheet=A0&amp;row=750&amp;col=7&amp;number=0&amp;sourceID=14","0")</f>
        <v>0</v>
      </c>
    </row>
    <row r="751" spans="1:7">
      <c r="A751" s="3">
        <v>26</v>
      </c>
      <c r="B751" s="3">
        <v>25</v>
      </c>
      <c r="C751" s="3">
        <v>102</v>
      </c>
      <c r="D751" s="3">
        <v>63</v>
      </c>
      <c r="E751" s="3">
        <v>6105.185</v>
      </c>
      <c r="F751" s="4" t="str">
        <f>HYPERLINK("http://141.218.60.56/~jnz1568/getInfo.php?workbook=26_25.xlsx&amp;sheet=A0&amp;row=751&amp;col=6&amp;number=199300&amp;sourceID=14","199300")</f>
        <v>199300</v>
      </c>
      <c r="G751" s="4" t="str">
        <f>HYPERLINK("http://141.218.60.56/~jnz1568/getInfo.php?workbook=26_25.xlsx&amp;sheet=A0&amp;row=751&amp;col=7&amp;number=0&amp;sourceID=14","0")</f>
        <v>0</v>
      </c>
    </row>
    <row r="752" spans="1:7">
      <c r="A752" s="3">
        <v>26</v>
      </c>
      <c r="B752" s="3">
        <v>25</v>
      </c>
      <c r="C752" s="3">
        <v>102</v>
      </c>
      <c r="D752" s="3">
        <v>64</v>
      </c>
      <c r="E752" s="3">
        <v>6080.36</v>
      </c>
      <c r="F752" s="4" t="str">
        <f>HYPERLINK("http://141.218.60.56/~jnz1568/getInfo.php?workbook=26_25.xlsx&amp;sheet=A0&amp;row=752&amp;col=6&amp;number=39080&amp;sourceID=14","39080")</f>
        <v>39080</v>
      </c>
      <c r="G752" s="4" t="str">
        <f>HYPERLINK("http://141.218.60.56/~jnz1568/getInfo.php?workbook=26_25.xlsx&amp;sheet=A0&amp;row=752&amp;col=7&amp;number=0&amp;sourceID=14","0")</f>
        <v>0</v>
      </c>
    </row>
    <row r="753" spans="1:7">
      <c r="A753" s="3">
        <v>26</v>
      </c>
      <c r="B753" s="3">
        <v>25</v>
      </c>
      <c r="C753" s="3">
        <v>102</v>
      </c>
      <c r="D753" s="3">
        <v>30</v>
      </c>
      <c r="E753" s="3">
        <v>2466.658</v>
      </c>
      <c r="F753" s="4" t="str">
        <f>HYPERLINK("http://141.218.60.56/~jnz1568/getInfo.php?workbook=26_25.xlsx&amp;sheet=A0&amp;row=753&amp;col=6&amp;number=227600000&amp;sourceID=14","227600000")</f>
        <v>227600000</v>
      </c>
      <c r="G753" s="4" t="str">
        <f>HYPERLINK("http://141.218.60.56/~jnz1568/getInfo.php?workbook=26_25.xlsx&amp;sheet=A0&amp;row=753&amp;col=7&amp;number=0&amp;sourceID=14","0")</f>
        <v>0</v>
      </c>
    </row>
    <row r="754" spans="1:7">
      <c r="A754" s="3">
        <v>26</v>
      </c>
      <c r="B754" s="3">
        <v>25</v>
      </c>
      <c r="C754" s="3">
        <v>102</v>
      </c>
      <c r="D754" s="3">
        <v>31</v>
      </c>
      <c r="E754" s="3">
        <v>2471.156</v>
      </c>
      <c r="F754" s="4" t="str">
        <f>HYPERLINK("http://141.218.60.56/~jnz1568/getInfo.php?workbook=26_25.xlsx&amp;sheet=A0&amp;row=754&amp;col=6&amp;number=27240000&amp;sourceID=14","27240000")</f>
        <v>27240000</v>
      </c>
      <c r="G754" s="4" t="str">
        <f>HYPERLINK("http://141.218.60.56/~jnz1568/getInfo.php?workbook=26_25.xlsx&amp;sheet=A0&amp;row=754&amp;col=7&amp;number=0&amp;sourceID=14","0")</f>
        <v>0</v>
      </c>
    </row>
    <row r="755" spans="1:7">
      <c r="A755" s="3">
        <v>26</v>
      </c>
      <c r="B755" s="3">
        <v>25</v>
      </c>
      <c r="C755" s="3">
        <v>103</v>
      </c>
      <c r="D755" s="3">
        <v>11</v>
      </c>
      <c r="E755" s="3">
        <v>1717.602</v>
      </c>
      <c r="F755" s="4" t="str">
        <f>HYPERLINK("http://141.218.60.56/~jnz1568/getInfo.php?workbook=26_25.xlsx&amp;sheet=A0&amp;row=755&amp;col=6&amp;number=147800&amp;sourceID=14","147800")</f>
        <v>147800</v>
      </c>
      <c r="G755" s="4" t="str">
        <f>HYPERLINK("http://141.218.60.56/~jnz1568/getInfo.php?workbook=26_25.xlsx&amp;sheet=A0&amp;row=755&amp;col=7&amp;number=0&amp;sourceID=14","0")</f>
        <v>0</v>
      </c>
    </row>
    <row r="756" spans="1:7">
      <c r="A756" s="3">
        <v>26</v>
      </c>
      <c r="B756" s="3">
        <v>25</v>
      </c>
      <c r="C756" s="3">
        <v>103</v>
      </c>
      <c r="D756" s="3">
        <v>12</v>
      </c>
      <c r="E756" s="3">
        <v>1726.156</v>
      </c>
      <c r="F756" s="4" t="str">
        <f>HYPERLINK("http://141.218.60.56/~jnz1568/getInfo.php?workbook=26_25.xlsx&amp;sheet=A0&amp;row=756&amp;col=6&amp;number=2038000&amp;sourceID=14","2038000")</f>
        <v>2038000</v>
      </c>
      <c r="G756" s="4" t="str">
        <f>HYPERLINK("http://141.218.60.56/~jnz1568/getInfo.php?workbook=26_25.xlsx&amp;sheet=A0&amp;row=756&amp;col=7&amp;number=0&amp;sourceID=14","0")</f>
        <v>0</v>
      </c>
    </row>
    <row r="757" spans="1:7">
      <c r="A757" s="3">
        <v>26</v>
      </c>
      <c r="B757" s="3">
        <v>25</v>
      </c>
      <c r="C757" s="3">
        <v>103</v>
      </c>
      <c r="D757" s="3">
        <v>13</v>
      </c>
      <c r="E757" s="3">
        <v>1731.125</v>
      </c>
      <c r="F757" s="4" t="str">
        <f>HYPERLINK("http://141.218.60.56/~jnz1568/getInfo.php?workbook=26_25.xlsx&amp;sheet=A0&amp;row=757&amp;col=6&amp;number=5052000&amp;sourceID=14","5052000")</f>
        <v>5052000</v>
      </c>
      <c r="G757" s="4" t="str">
        <f>HYPERLINK("http://141.218.60.56/~jnz1568/getInfo.php?workbook=26_25.xlsx&amp;sheet=A0&amp;row=757&amp;col=7&amp;number=0&amp;sourceID=14","0")</f>
        <v>0</v>
      </c>
    </row>
    <row r="758" spans="1:7">
      <c r="A758" s="3">
        <v>26</v>
      </c>
      <c r="B758" s="3">
        <v>25</v>
      </c>
      <c r="C758" s="3">
        <v>103</v>
      </c>
      <c r="D758" s="3">
        <v>33</v>
      </c>
      <c r="E758" s="3">
        <v>2838.916</v>
      </c>
      <c r="F758" s="4" t="str">
        <f>HYPERLINK("http://141.218.60.56/~jnz1568/getInfo.php?workbook=26_25.xlsx&amp;sheet=A0&amp;row=758&amp;col=6&amp;number=242700&amp;sourceID=14","242700")</f>
        <v>242700</v>
      </c>
      <c r="G758" s="4" t="str">
        <f>HYPERLINK("http://141.218.60.56/~jnz1568/getInfo.php?workbook=26_25.xlsx&amp;sheet=A0&amp;row=758&amp;col=7&amp;number=0&amp;sourceID=14","0")</f>
        <v>0</v>
      </c>
    </row>
    <row r="759" spans="1:7">
      <c r="A759" s="3">
        <v>26</v>
      </c>
      <c r="B759" s="3">
        <v>25</v>
      </c>
      <c r="C759" s="3">
        <v>103</v>
      </c>
      <c r="D759" s="3">
        <v>34</v>
      </c>
      <c r="E759" s="3">
        <v>2837.023</v>
      </c>
      <c r="F759" s="4" t="str">
        <f>HYPERLINK("http://141.218.60.56/~jnz1568/getInfo.php?workbook=26_25.xlsx&amp;sheet=A0&amp;row=759&amp;col=6&amp;number=3404000&amp;sourceID=14","3404000")</f>
        <v>3404000</v>
      </c>
      <c r="G759" s="4" t="str">
        <f>HYPERLINK("http://141.218.60.56/~jnz1568/getInfo.php?workbook=26_25.xlsx&amp;sheet=A0&amp;row=759&amp;col=7&amp;number=0&amp;sourceID=14","0")</f>
        <v>0</v>
      </c>
    </row>
    <row r="760" spans="1:7">
      <c r="A760" s="3">
        <v>26</v>
      </c>
      <c r="B760" s="3">
        <v>25</v>
      </c>
      <c r="C760" s="3">
        <v>103</v>
      </c>
      <c r="D760" s="3">
        <v>35</v>
      </c>
      <c r="E760" s="3">
        <v>2837.346</v>
      </c>
      <c r="F760" s="4" t="str">
        <f>HYPERLINK("http://141.218.60.56/~jnz1568/getInfo.php?workbook=26_25.xlsx&amp;sheet=A0&amp;row=760&amp;col=6&amp;number=8508000&amp;sourceID=14","8508000")</f>
        <v>8508000</v>
      </c>
      <c r="G760" s="4" t="str">
        <f>HYPERLINK("http://141.218.60.56/~jnz1568/getInfo.php?workbook=26_25.xlsx&amp;sheet=A0&amp;row=760&amp;col=7&amp;number=0&amp;sourceID=14","0")</f>
        <v>0</v>
      </c>
    </row>
    <row r="761" spans="1:7">
      <c r="A761" s="3">
        <v>26</v>
      </c>
      <c r="B761" s="3">
        <v>25</v>
      </c>
      <c r="C761" s="3">
        <v>103</v>
      </c>
      <c r="D761" s="3">
        <v>8</v>
      </c>
      <c r="E761" s="3">
        <v>1568.02</v>
      </c>
      <c r="F761" s="4" t="str">
        <f>HYPERLINK("http://141.218.60.56/~jnz1568/getInfo.php?workbook=26_25.xlsx&amp;sheet=A0&amp;row=761&amp;col=6&amp;number=52570000&amp;sourceID=14","52570000")</f>
        <v>52570000</v>
      </c>
      <c r="G761" s="4" t="str">
        <f>HYPERLINK("http://141.218.60.56/~jnz1568/getInfo.php?workbook=26_25.xlsx&amp;sheet=A0&amp;row=761&amp;col=7&amp;number=0&amp;sourceID=14","0")</f>
        <v>0</v>
      </c>
    </row>
    <row r="762" spans="1:7">
      <c r="A762" s="3">
        <v>26</v>
      </c>
      <c r="B762" s="3">
        <v>25</v>
      </c>
      <c r="C762" s="3">
        <v>103</v>
      </c>
      <c r="D762" s="3">
        <v>9</v>
      </c>
      <c r="E762" s="3">
        <v>1574.922</v>
      </c>
      <c r="F762" s="4" t="str">
        <f>HYPERLINK("http://141.218.60.56/~jnz1568/getInfo.php?workbook=26_25.xlsx&amp;sheet=A0&amp;row=762&amp;col=6&amp;number=207500000&amp;sourceID=14","207500000")</f>
        <v>207500000</v>
      </c>
      <c r="G762" s="4" t="str">
        <f>HYPERLINK("http://141.218.60.56/~jnz1568/getInfo.php?workbook=26_25.xlsx&amp;sheet=A0&amp;row=762&amp;col=7&amp;number=0&amp;sourceID=14","0")</f>
        <v>0</v>
      </c>
    </row>
    <row r="763" spans="1:7">
      <c r="A763" s="3">
        <v>26</v>
      </c>
      <c r="B763" s="3">
        <v>25</v>
      </c>
      <c r="C763" s="3">
        <v>103</v>
      </c>
      <c r="D763" s="3">
        <v>26</v>
      </c>
      <c r="E763" s="3">
        <v>2289.729</v>
      </c>
      <c r="F763" s="4" t="str">
        <f>HYPERLINK("http://141.218.60.56/~jnz1568/getInfo.php?workbook=26_25.xlsx&amp;sheet=A0&amp;row=763&amp;col=6&amp;number=5294000&amp;sourceID=14","5294000")</f>
        <v>5294000</v>
      </c>
      <c r="G763" s="4" t="str">
        <f>HYPERLINK("http://141.218.60.56/~jnz1568/getInfo.php?workbook=26_25.xlsx&amp;sheet=A0&amp;row=763&amp;col=7&amp;number=0&amp;sourceID=14","0")</f>
        <v>0</v>
      </c>
    </row>
    <row r="764" spans="1:7">
      <c r="A764" s="3">
        <v>26</v>
      </c>
      <c r="B764" s="3">
        <v>25</v>
      </c>
      <c r="C764" s="3">
        <v>103</v>
      </c>
      <c r="D764" s="3">
        <v>27</v>
      </c>
      <c r="E764" s="3">
        <v>2294.559</v>
      </c>
      <c r="F764" s="4" t="str">
        <f>HYPERLINK("http://141.218.60.56/~jnz1568/getInfo.php?workbook=26_25.xlsx&amp;sheet=A0&amp;row=764&amp;col=6&amp;number=21040000&amp;sourceID=14","21040000")</f>
        <v>21040000</v>
      </c>
      <c r="G764" s="4" t="str">
        <f>HYPERLINK("http://141.218.60.56/~jnz1568/getInfo.php?workbook=26_25.xlsx&amp;sheet=A0&amp;row=764&amp;col=7&amp;number=0&amp;sourceID=14","0")</f>
        <v>0</v>
      </c>
    </row>
    <row r="765" spans="1:7">
      <c r="A765" s="3">
        <v>26</v>
      </c>
      <c r="B765" s="3">
        <v>25</v>
      </c>
      <c r="C765" s="3">
        <v>103</v>
      </c>
      <c r="D765" s="3">
        <v>63</v>
      </c>
      <c r="E765" s="3">
        <v>6071.693</v>
      </c>
      <c r="F765" s="4" t="str">
        <f>HYPERLINK("http://141.218.60.56/~jnz1568/getInfo.php?workbook=26_25.xlsx&amp;sheet=A0&amp;row=765&amp;col=6&amp;number=58880&amp;sourceID=14","58880")</f>
        <v>58880</v>
      </c>
      <c r="G765" s="4" t="str">
        <f>HYPERLINK("http://141.218.60.56/~jnz1568/getInfo.php?workbook=26_25.xlsx&amp;sheet=A0&amp;row=765&amp;col=7&amp;number=0&amp;sourceID=14","0")</f>
        <v>0</v>
      </c>
    </row>
    <row r="766" spans="1:7">
      <c r="A766" s="3">
        <v>26</v>
      </c>
      <c r="B766" s="3">
        <v>25</v>
      </c>
      <c r="C766" s="3">
        <v>103</v>
      </c>
      <c r="D766" s="3">
        <v>64</v>
      </c>
      <c r="E766" s="3">
        <v>6047.139</v>
      </c>
      <c r="F766" s="4" t="str">
        <f>HYPERLINK("http://141.218.60.56/~jnz1568/getInfo.php?workbook=26_25.xlsx&amp;sheet=A0&amp;row=766&amp;col=6&amp;number=238400&amp;sourceID=14","238400")</f>
        <v>238400</v>
      </c>
      <c r="G766" s="4" t="str">
        <f>HYPERLINK("http://141.218.60.56/~jnz1568/getInfo.php?workbook=26_25.xlsx&amp;sheet=A0&amp;row=766&amp;col=7&amp;number=0&amp;sourceID=14","0")</f>
        <v>0</v>
      </c>
    </row>
    <row r="767" spans="1:7">
      <c r="A767" s="3">
        <v>26</v>
      </c>
      <c r="B767" s="3">
        <v>25</v>
      </c>
      <c r="C767" s="3">
        <v>103</v>
      </c>
      <c r="D767" s="3">
        <v>31</v>
      </c>
      <c r="E767" s="3">
        <v>2465.651</v>
      </c>
      <c r="F767" s="4" t="str">
        <f>HYPERLINK("http://141.218.60.56/~jnz1568/getInfo.php?workbook=26_25.xlsx&amp;sheet=A0&amp;row=767&amp;col=6&amp;number=255300000&amp;sourceID=14","255300000")</f>
        <v>255300000</v>
      </c>
      <c r="G767" s="4" t="str">
        <f>HYPERLINK("http://141.218.60.56/~jnz1568/getInfo.php?workbook=26_25.xlsx&amp;sheet=A0&amp;row=767&amp;col=7&amp;number=0&amp;sourceID=14","0")</f>
        <v>0</v>
      </c>
    </row>
    <row r="768" spans="1:7">
      <c r="A768" s="3">
        <v>26</v>
      </c>
      <c r="B768" s="3">
        <v>25</v>
      </c>
      <c r="C768" s="3">
        <v>104</v>
      </c>
      <c r="D768" s="3">
        <v>6</v>
      </c>
      <c r="E768" s="3">
        <v>1569.675</v>
      </c>
      <c r="F768" s="4" t="str">
        <f>HYPERLINK("http://141.218.60.56/~jnz1568/getInfo.php?workbook=26_25.xlsx&amp;sheet=A0&amp;row=768&amp;col=6&amp;number=42150000&amp;sourceID=14","42150000")</f>
        <v>42150000</v>
      </c>
      <c r="G768" s="4" t="str">
        <f>HYPERLINK("http://141.218.60.56/~jnz1568/getInfo.php?workbook=26_25.xlsx&amp;sheet=A0&amp;row=768&amp;col=7&amp;number=0&amp;sourceID=14","0")</f>
        <v>0</v>
      </c>
    </row>
    <row r="769" spans="1:7">
      <c r="A769" s="3">
        <v>26</v>
      </c>
      <c r="B769" s="3">
        <v>25</v>
      </c>
      <c r="C769" s="3">
        <v>104</v>
      </c>
      <c r="D769" s="3">
        <v>24</v>
      </c>
      <c r="E769" s="3">
        <v>2328.677</v>
      </c>
      <c r="F769" s="4" t="str">
        <f>HYPERLINK("http://141.218.60.56/~jnz1568/getInfo.php?workbook=26_25.xlsx&amp;sheet=A0&amp;row=769&amp;col=6&amp;number=36730000&amp;sourceID=14","36730000")</f>
        <v>36730000</v>
      </c>
      <c r="G769" s="4" t="str">
        <f>HYPERLINK("http://141.218.60.56/~jnz1568/getInfo.php?workbook=26_25.xlsx&amp;sheet=A0&amp;row=769&amp;col=7&amp;number=0&amp;sourceID=14","0")</f>
        <v>0</v>
      </c>
    </row>
    <row r="770" spans="1:7">
      <c r="A770" s="3">
        <v>26</v>
      </c>
      <c r="B770" s="3">
        <v>25</v>
      </c>
      <c r="C770" s="3">
        <v>104</v>
      </c>
      <c r="D770" s="3">
        <v>61</v>
      </c>
      <c r="E770" s="3">
        <v>6483.997</v>
      </c>
      <c r="F770" s="4" t="str">
        <f>HYPERLINK("http://141.218.60.56/~jnz1568/getInfo.php?workbook=26_25.xlsx&amp;sheet=A0&amp;row=770&amp;col=6&amp;number=176000&amp;sourceID=14","176000")</f>
        <v>176000</v>
      </c>
      <c r="G770" s="4" t="str">
        <f>HYPERLINK("http://141.218.60.56/~jnz1568/getInfo.php?workbook=26_25.xlsx&amp;sheet=A0&amp;row=770&amp;col=7&amp;number=0&amp;sourceID=14","0")</f>
        <v>0</v>
      </c>
    </row>
    <row r="771" spans="1:7">
      <c r="A771" s="3">
        <v>26</v>
      </c>
      <c r="B771" s="3">
        <v>25</v>
      </c>
      <c r="C771" s="3">
        <v>104</v>
      </c>
      <c r="D771" s="3">
        <v>28</v>
      </c>
      <c r="E771" s="3">
        <v>2490.582</v>
      </c>
      <c r="F771" s="4" t="str">
        <f>HYPERLINK("http://141.218.60.56/~jnz1568/getInfo.php?workbook=26_25.xlsx&amp;sheet=A0&amp;row=771&amp;col=6&amp;number=264200000&amp;sourceID=14","264200000")</f>
        <v>264200000</v>
      </c>
      <c r="G771" s="4" t="str">
        <f>HYPERLINK("http://141.218.60.56/~jnz1568/getInfo.php?workbook=26_25.xlsx&amp;sheet=A0&amp;row=771&amp;col=7&amp;number=0&amp;sourceID=14","0")</f>
        <v>0</v>
      </c>
    </row>
    <row r="772" spans="1:7">
      <c r="A772" s="3">
        <v>26</v>
      </c>
      <c r="B772" s="3">
        <v>25</v>
      </c>
      <c r="C772" s="3">
        <v>104</v>
      </c>
      <c r="D772" s="3">
        <v>29</v>
      </c>
      <c r="E772" s="3">
        <v>2514.16</v>
      </c>
      <c r="F772" s="4" t="str">
        <f>HYPERLINK("http://141.218.60.56/~jnz1568/getInfo.php?workbook=26_25.xlsx&amp;sheet=A0&amp;row=772&amp;col=6&amp;number=14840000&amp;sourceID=14","14840000")</f>
        <v>14840000</v>
      </c>
      <c r="G772" s="4" t="str">
        <f>HYPERLINK("http://141.218.60.56/~jnz1568/getInfo.php?workbook=26_25.xlsx&amp;sheet=A0&amp;row=772&amp;col=7&amp;number=0&amp;sourceID=14","0")</f>
        <v>0</v>
      </c>
    </row>
    <row r="773" spans="1:7">
      <c r="A773" s="3">
        <v>26</v>
      </c>
      <c r="B773" s="3">
        <v>25</v>
      </c>
      <c r="C773" s="3">
        <v>104</v>
      </c>
      <c r="D773" s="3">
        <v>20</v>
      </c>
      <c r="E773" s="3">
        <v>2255.889</v>
      </c>
      <c r="F773" s="4" t="str">
        <f>HYPERLINK("http://141.218.60.56/~jnz1568/getInfo.php?workbook=26_25.xlsx&amp;sheet=A0&amp;row=773&amp;col=6&amp;number=41310&amp;sourceID=14","41310")</f>
        <v>41310</v>
      </c>
      <c r="G773" s="4" t="str">
        <f>HYPERLINK("http://141.218.60.56/~jnz1568/getInfo.php?workbook=26_25.xlsx&amp;sheet=A0&amp;row=773&amp;col=7&amp;number=0&amp;sourceID=14","0")</f>
        <v>0</v>
      </c>
    </row>
    <row r="774" spans="1:7">
      <c r="A774" s="3">
        <v>26</v>
      </c>
      <c r="B774" s="3">
        <v>25</v>
      </c>
      <c r="C774" s="3">
        <v>105</v>
      </c>
      <c r="D774" s="3">
        <v>6</v>
      </c>
      <c r="E774" s="3">
        <v>1566.822</v>
      </c>
      <c r="F774" s="4" t="str">
        <f>HYPERLINK("http://141.218.60.56/~jnz1568/getInfo.php?workbook=26_25.xlsx&amp;sheet=A0&amp;row=774&amp;col=6&amp;number=3512000&amp;sourceID=14","3512000")</f>
        <v>3512000</v>
      </c>
      <c r="G774" s="4" t="str">
        <f>HYPERLINK("http://141.218.60.56/~jnz1568/getInfo.php?workbook=26_25.xlsx&amp;sheet=A0&amp;row=774&amp;col=7&amp;number=0&amp;sourceID=14","0")</f>
        <v>0</v>
      </c>
    </row>
    <row r="775" spans="1:7">
      <c r="A775" s="3">
        <v>26</v>
      </c>
      <c r="B775" s="3">
        <v>25</v>
      </c>
      <c r="C775" s="3">
        <v>105</v>
      </c>
      <c r="D775" s="3">
        <v>7</v>
      </c>
      <c r="E775" s="3">
        <v>1580.629</v>
      </c>
      <c r="F775" s="4" t="str">
        <f>HYPERLINK("http://141.218.60.56/~jnz1568/getInfo.php?workbook=26_25.xlsx&amp;sheet=A0&amp;row=775&amp;col=6&amp;number=37800000&amp;sourceID=14","37800000")</f>
        <v>37800000</v>
      </c>
      <c r="G775" s="4" t="str">
        <f>HYPERLINK("http://141.218.60.56/~jnz1568/getInfo.php?workbook=26_25.xlsx&amp;sheet=A0&amp;row=775&amp;col=7&amp;number=0&amp;sourceID=14","0")</f>
        <v>0</v>
      </c>
    </row>
    <row r="776" spans="1:7">
      <c r="A776" s="3">
        <v>26</v>
      </c>
      <c r="B776" s="3">
        <v>25</v>
      </c>
      <c r="C776" s="3">
        <v>105</v>
      </c>
      <c r="D776" s="3">
        <v>24</v>
      </c>
      <c r="E776" s="3">
        <v>2322.404</v>
      </c>
      <c r="F776" s="4" t="str">
        <f>HYPERLINK("http://141.218.60.56/~jnz1568/getInfo.php?workbook=26_25.xlsx&amp;sheet=A0&amp;row=776&amp;col=6&amp;number=3068000&amp;sourceID=14","3068000")</f>
        <v>3068000</v>
      </c>
      <c r="G776" s="4" t="str">
        <f>HYPERLINK("http://141.218.60.56/~jnz1568/getInfo.php?workbook=26_25.xlsx&amp;sheet=A0&amp;row=776&amp;col=7&amp;number=0&amp;sourceID=14","0")</f>
        <v>0</v>
      </c>
    </row>
    <row r="777" spans="1:7">
      <c r="A777" s="3">
        <v>26</v>
      </c>
      <c r="B777" s="3">
        <v>25</v>
      </c>
      <c r="C777" s="3">
        <v>105</v>
      </c>
      <c r="D777" s="3">
        <v>25</v>
      </c>
      <c r="E777" s="3">
        <v>2331.781</v>
      </c>
      <c r="F777" s="4" t="str">
        <f>HYPERLINK("http://141.218.60.56/~jnz1568/getInfo.php?workbook=26_25.xlsx&amp;sheet=A0&amp;row=777&amp;col=6&amp;number=33500000&amp;sourceID=14","33500000")</f>
        <v>33500000</v>
      </c>
      <c r="G777" s="4" t="str">
        <f>HYPERLINK("http://141.218.60.56/~jnz1568/getInfo.php?workbook=26_25.xlsx&amp;sheet=A0&amp;row=777&amp;col=7&amp;number=0&amp;sourceID=14","0")</f>
        <v>0</v>
      </c>
    </row>
    <row r="778" spans="1:7">
      <c r="A778" s="3">
        <v>26</v>
      </c>
      <c r="B778" s="3">
        <v>25</v>
      </c>
      <c r="C778" s="3">
        <v>105</v>
      </c>
      <c r="D778" s="3">
        <v>61</v>
      </c>
      <c r="E778" s="3">
        <v>6435.592</v>
      </c>
      <c r="F778" s="4" t="str">
        <f>HYPERLINK("http://141.218.60.56/~jnz1568/getInfo.php?workbook=26_25.xlsx&amp;sheet=A0&amp;row=778&amp;col=6&amp;number=14920&amp;sourceID=14","14920")</f>
        <v>14920</v>
      </c>
      <c r="G778" s="4" t="str">
        <f>HYPERLINK("http://141.218.60.56/~jnz1568/getInfo.php?workbook=26_25.xlsx&amp;sheet=A0&amp;row=778&amp;col=7&amp;number=0&amp;sourceID=14","0")</f>
        <v>0</v>
      </c>
    </row>
    <row r="779" spans="1:7">
      <c r="A779" s="3">
        <v>26</v>
      </c>
      <c r="B779" s="3">
        <v>25</v>
      </c>
      <c r="C779" s="3">
        <v>105</v>
      </c>
      <c r="D779" s="3">
        <v>62</v>
      </c>
      <c r="E779" s="3">
        <v>6448.191</v>
      </c>
      <c r="F779" s="4" t="str">
        <f>HYPERLINK("http://141.218.60.56/~jnz1568/getInfo.php?workbook=26_25.xlsx&amp;sheet=A0&amp;row=779&amp;col=6&amp;number=163900&amp;sourceID=14","163900")</f>
        <v>163900</v>
      </c>
      <c r="G779" s="4" t="str">
        <f>HYPERLINK("http://141.218.60.56/~jnz1568/getInfo.php?workbook=26_25.xlsx&amp;sheet=A0&amp;row=779&amp;col=7&amp;number=0&amp;sourceID=14","0")</f>
        <v>0</v>
      </c>
    </row>
    <row r="780" spans="1:7">
      <c r="A780" s="3">
        <v>26</v>
      </c>
      <c r="B780" s="3">
        <v>25</v>
      </c>
      <c r="C780" s="3">
        <v>105</v>
      </c>
      <c r="D780" s="3">
        <v>28</v>
      </c>
      <c r="E780" s="3">
        <v>2483.407</v>
      </c>
      <c r="F780" s="4" t="str">
        <f>HYPERLINK("http://141.218.60.56/~jnz1568/getInfo.php?workbook=26_25.xlsx&amp;sheet=A0&amp;row=780&amp;col=6&amp;number=18480000&amp;sourceID=14","18480000")</f>
        <v>18480000</v>
      </c>
      <c r="G780" s="4" t="str">
        <f>HYPERLINK("http://141.218.60.56/~jnz1568/getInfo.php?workbook=26_25.xlsx&amp;sheet=A0&amp;row=780&amp;col=7&amp;number=0&amp;sourceID=14","0")</f>
        <v>0</v>
      </c>
    </row>
    <row r="781" spans="1:7">
      <c r="A781" s="3">
        <v>26</v>
      </c>
      <c r="B781" s="3">
        <v>25</v>
      </c>
      <c r="C781" s="3">
        <v>105</v>
      </c>
      <c r="D781" s="3">
        <v>29</v>
      </c>
      <c r="E781" s="3">
        <v>2506.849</v>
      </c>
      <c r="F781" s="4" t="str">
        <f>HYPERLINK("http://141.218.60.56/~jnz1568/getInfo.php?workbook=26_25.xlsx&amp;sheet=A0&amp;row=781&amp;col=6&amp;number=231700000&amp;sourceID=14","231700000")</f>
        <v>231700000</v>
      </c>
      <c r="G781" s="4" t="str">
        <f>HYPERLINK("http://141.218.60.56/~jnz1568/getInfo.php?workbook=26_25.xlsx&amp;sheet=A0&amp;row=781&amp;col=7&amp;number=0&amp;sourceID=14","0")</f>
        <v>0</v>
      </c>
    </row>
    <row r="782" spans="1:7">
      <c r="A782" s="3">
        <v>26</v>
      </c>
      <c r="B782" s="3">
        <v>25</v>
      </c>
      <c r="C782" s="3">
        <v>105</v>
      </c>
      <c r="D782" s="3">
        <v>30</v>
      </c>
      <c r="E782" s="3">
        <v>2517.978</v>
      </c>
      <c r="F782" s="4" t="str">
        <f>HYPERLINK("http://141.218.60.56/~jnz1568/getInfo.php?workbook=26_25.xlsx&amp;sheet=A0&amp;row=782&amp;col=6&amp;number=23140000&amp;sourceID=14","23140000")</f>
        <v>23140000</v>
      </c>
      <c r="G782" s="4" t="str">
        <f>HYPERLINK("http://141.218.60.56/~jnz1568/getInfo.php?workbook=26_25.xlsx&amp;sheet=A0&amp;row=782&amp;col=7&amp;number=0&amp;sourceID=14","0")</f>
        <v>0</v>
      </c>
    </row>
    <row r="783" spans="1:7">
      <c r="A783" s="3">
        <v>26</v>
      </c>
      <c r="B783" s="3">
        <v>25</v>
      </c>
      <c r="C783" s="3">
        <v>105</v>
      </c>
      <c r="D783" s="3">
        <v>21</v>
      </c>
      <c r="E783" s="3">
        <v>2259.087</v>
      </c>
      <c r="F783" s="4" t="str">
        <f>HYPERLINK("http://141.218.60.56/~jnz1568/getInfo.php?workbook=26_25.xlsx&amp;sheet=A0&amp;row=783&amp;col=6&amp;number=40000&amp;sourceID=14","40000")</f>
        <v>40000</v>
      </c>
      <c r="G783" s="4" t="str">
        <f>HYPERLINK("http://141.218.60.56/~jnz1568/getInfo.php?workbook=26_25.xlsx&amp;sheet=A0&amp;row=783&amp;col=7&amp;number=0&amp;sourceID=14","0")</f>
        <v>0</v>
      </c>
    </row>
    <row r="784" spans="1:7">
      <c r="A784" s="3">
        <v>26</v>
      </c>
      <c r="B784" s="3">
        <v>25</v>
      </c>
      <c r="C784" s="3">
        <v>106</v>
      </c>
      <c r="D784" s="3">
        <v>6</v>
      </c>
      <c r="E784" s="3">
        <v>1561.067</v>
      </c>
      <c r="F784" s="4" t="str">
        <f>HYPERLINK("http://141.218.60.56/~jnz1568/getInfo.php?workbook=26_25.xlsx&amp;sheet=A0&amp;row=784&amp;col=6&amp;number=130100&amp;sourceID=14","130100")</f>
        <v>130100</v>
      </c>
      <c r="G784" s="4" t="str">
        <f>HYPERLINK("http://141.218.60.56/~jnz1568/getInfo.php?workbook=26_25.xlsx&amp;sheet=A0&amp;row=784&amp;col=7&amp;number=0&amp;sourceID=14","0")</f>
        <v>0</v>
      </c>
    </row>
    <row r="785" spans="1:7">
      <c r="A785" s="3">
        <v>26</v>
      </c>
      <c r="B785" s="3">
        <v>25</v>
      </c>
      <c r="C785" s="3">
        <v>106</v>
      </c>
      <c r="D785" s="3">
        <v>7</v>
      </c>
      <c r="E785" s="3">
        <v>1574.772</v>
      </c>
      <c r="F785" s="4" t="str">
        <f>HYPERLINK("http://141.218.60.56/~jnz1568/getInfo.php?workbook=26_25.xlsx&amp;sheet=A0&amp;row=785&amp;col=6&amp;number=5666000&amp;sourceID=14","5666000")</f>
        <v>5666000</v>
      </c>
      <c r="G785" s="4" t="str">
        <f>HYPERLINK("http://141.218.60.56/~jnz1568/getInfo.php?workbook=26_25.xlsx&amp;sheet=A0&amp;row=785&amp;col=7&amp;number=0&amp;sourceID=14","0")</f>
        <v>0</v>
      </c>
    </row>
    <row r="786" spans="1:7">
      <c r="A786" s="3">
        <v>26</v>
      </c>
      <c r="B786" s="3">
        <v>25</v>
      </c>
      <c r="C786" s="3">
        <v>106</v>
      </c>
      <c r="D786" s="3">
        <v>8</v>
      </c>
      <c r="E786" s="3">
        <v>1584.952</v>
      </c>
      <c r="F786" s="4" t="str">
        <f>HYPERLINK("http://141.218.60.56/~jnz1568/getInfo.php?workbook=26_25.xlsx&amp;sheet=A0&amp;row=786&amp;col=6&amp;number=35240000&amp;sourceID=14","35240000")</f>
        <v>35240000</v>
      </c>
      <c r="G786" s="4" t="str">
        <f>HYPERLINK("http://141.218.60.56/~jnz1568/getInfo.php?workbook=26_25.xlsx&amp;sheet=A0&amp;row=786&amp;col=7&amp;number=0&amp;sourceID=14","0")</f>
        <v>0</v>
      </c>
    </row>
    <row r="787" spans="1:7">
      <c r="A787" s="3">
        <v>26</v>
      </c>
      <c r="B787" s="3">
        <v>25</v>
      </c>
      <c r="C787" s="3">
        <v>106</v>
      </c>
      <c r="D787" s="3">
        <v>24</v>
      </c>
      <c r="E787" s="3">
        <v>2309.782</v>
      </c>
      <c r="F787" s="4" t="str">
        <f>HYPERLINK("http://141.218.60.56/~jnz1568/getInfo.php?workbook=26_25.xlsx&amp;sheet=A0&amp;row=787&amp;col=6&amp;number=114200&amp;sourceID=14","114200")</f>
        <v>114200</v>
      </c>
      <c r="G787" s="4" t="str">
        <f>HYPERLINK("http://141.218.60.56/~jnz1568/getInfo.php?workbook=26_25.xlsx&amp;sheet=A0&amp;row=787&amp;col=7&amp;number=0&amp;sourceID=14","0")</f>
        <v>0</v>
      </c>
    </row>
    <row r="788" spans="1:7">
      <c r="A788" s="3">
        <v>26</v>
      </c>
      <c r="B788" s="3">
        <v>25</v>
      </c>
      <c r="C788" s="3">
        <v>106</v>
      </c>
      <c r="D788" s="3">
        <v>25</v>
      </c>
      <c r="E788" s="3">
        <v>2319.057</v>
      </c>
      <c r="F788" s="4" t="str">
        <f>HYPERLINK("http://141.218.60.56/~jnz1568/getInfo.php?workbook=26_25.xlsx&amp;sheet=A0&amp;row=788&amp;col=6&amp;number=5047000&amp;sourceID=14","5047000")</f>
        <v>5047000</v>
      </c>
      <c r="G788" s="4" t="str">
        <f>HYPERLINK("http://141.218.60.56/~jnz1568/getInfo.php?workbook=26_25.xlsx&amp;sheet=A0&amp;row=788&amp;col=7&amp;number=0&amp;sourceID=14","0")</f>
        <v>0</v>
      </c>
    </row>
    <row r="789" spans="1:7">
      <c r="A789" s="3">
        <v>26</v>
      </c>
      <c r="B789" s="3">
        <v>25</v>
      </c>
      <c r="C789" s="3">
        <v>106</v>
      </c>
      <c r="D789" s="3">
        <v>26</v>
      </c>
      <c r="E789" s="3">
        <v>2326.015</v>
      </c>
      <c r="F789" s="4" t="str">
        <f>HYPERLINK("http://141.218.60.56/~jnz1568/getInfo.php?workbook=26_25.xlsx&amp;sheet=A0&amp;row=789&amp;col=6&amp;number=31720000&amp;sourceID=14","31720000")</f>
        <v>31720000</v>
      </c>
      <c r="G789" s="4" t="str">
        <f>HYPERLINK("http://141.218.60.56/~jnz1568/getInfo.php?workbook=26_25.xlsx&amp;sheet=A0&amp;row=789&amp;col=7&amp;number=0&amp;sourceID=14","0")</f>
        <v>0</v>
      </c>
    </row>
    <row r="790" spans="1:7">
      <c r="A790" s="3">
        <v>26</v>
      </c>
      <c r="B790" s="3">
        <v>25</v>
      </c>
      <c r="C790" s="3">
        <v>106</v>
      </c>
      <c r="D790" s="3">
        <v>62</v>
      </c>
      <c r="E790" s="3">
        <v>6351.818</v>
      </c>
      <c r="F790" s="4" t="str">
        <f>HYPERLINK("http://141.218.60.56/~jnz1568/getInfo.php?workbook=26_25.xlsx&amp;sheet=A0&amp;row=790&amp;col=6&amp;number=25410&amp;sourceID=14","25410")</f>
        <v>25410</v>
      </c>
      <c r="G790" s="4" t="str">
        <f>HYPERLINK("http://141.218.60.56/~jnz1568/getInfo.php?workbook=26_25.xlsx&amp;sheet=A0&amp;row=790&amp;col=7&amp;number=0&amp;sourceID=14","0")</f>
        <v>0</v>
      </c>
    </row>
    <row r="791" spans="1:7">
      <c r="A791" s="3">
        <v>26</v>
      </c>
      <c r="B791" s="3">
        <v>25</v>
      </c>
      <c r="C791" s="3">
        <v>106</v>
      </c>
      <c r="D791" s="3">
        <v>63</v>
      </c>
      <c r="E791" s="3">
        <v>6333.704</v>
      </c>
      <c r="F791" s="4" t="str">
        <f>HYPERLINK("http://141.218.60.56/~jnz1568/getInfo.php?workbook=26_25.xlsx&amp;sheet=A0&amp;row=791&amp;col=6&amp;number=162500&amp;sourceID=14","162500")</f>
        <v>162500</v>
      </c>
      <c r="G791" s="4" t="str">
        <f>HYPERLINK("http://141.218.60.56/~jnz1568/getInfo.php?workbook=26_25.xlsx&amp;sheet=A0&amp;row=791&amp;col=7&amp;number=0&amp;sourceID=14","0")</f>
        <v>0</v>
      </c>
    </row>
    <row r="792" spans="1:7">
      <c r="A792" s="3">
        <v>26</v>
      </c>
      <c r="B792" s="3">
        <v>25</v>
      </c>
      <c r="C792" s="3">
        <v>106</v>
      </c>
      <c r="D792" s="3">
        <v>29</v>
      </c>
      <c r="E792" s="3">
        <v>2492.149</v>
      </c>
      <c r="F792" s="4" t="str">
        <f>HYPERLINK("http://141.218.60.56/~jnz1568/getInfo.php?workbook=26_25.xlsx&amp;sheet=A0&amp;row=792&amp;col=6&amp;number=29830000&amp;sourceID=14","29830000")</f>
        <v>29830000</v>
      </c>
      <c r="G792" s="4" t="str">
        <f>HYPERLINK("http://141.218.60.56/~jnz1568/getInfo.php?workbook=26_25.xlsx&amp;sheet=A0&amp;row=792&amp;col=7&amp;number=0&amp;sourceID=14","0")</f>
        <v>0</v>
      </c>
    </row>
    <row r="793" spans="1:7">
      <c r="A793" s="3">
        <v>26</v>
      </c>
      <c r="B793" s="3">
        <v>25</v>
      </c>
      <c r="C793" s="3">
        <v>106</v>
      </c>
      <c r="D793" s="3">
        <v>30</v>
      </c>
      <c r="E793" s="3">
        <v>2503.147</v>
      </c>
      <c r="F793" s="4" t="str">
        <f>HYPERLINK("http://141.218.60.56/~jnz1568/getInfo.php?workbook=26_25.xlsx&amp;sheet=A0&amp;row=793&amp;col=6&amp;number=223300000&amp;sourceID=14","223300000")</f>
        <v>223300000</v>
      </c>
      <c r="G793" s="4" t="str">
        <f>HYPERLINK("http://141.218.60.56/~jnz1568/getInfo.php?workbook=26_25.xlsx&amp;sheet=A0&amp;row=793&amp;col=7&amp;number=0&amp;sourceID=14","0")</f>
        <v>0</v>
      </c>
    </row>
    <row r="794" spans="1:7">
      <c r="A794" s="3">
        <v>26</v>
      </c>
      <c r="B794" s="3">
        <v>25</v>
      </c>
      <c r="C794" s="3">
        <v>106</v>
      </c>
      <c r="D794" s="3">
        <v>31</v>
      </c>
      <c r="E794" s="3">
        <v>2507.78</v>
      </c>
      <c r="F794" s="4" t="str">
        <f>HYPERLINK("http://141.218.60.56/~jnz1568/getInfo.php?workbook=26_25.xlsx&amp;sheet=A0&amp;row=794&amp;col=6&amp;number=22050000&amp;sourceID=14","22050000")</f>
        <v>22050000</v>
      </c>
      <c r="G794" s="4" t="str">
        <f>HYPERLINK("http://141.218.60.56/~jnz1568/getInfo.php?workbook=26_25.xlsx&amp;sheet=A0&amp;row=794&amp;col=7&amp;number=0&amp;sourceID=14","0")</f>
        <v>0</v>
      </c>
    </row>
    <row r="795" spans="1:7">
      <c r="A795" s="3">
        <v>26</v>
      </c>
      <c r="B795" s="3">
        <v>25</v>
      </c>
      <c r="C795" s="3">
        <v>106</v>
      </c>
      <c r="D795" s="3">
        <v>22</v>
      </c>
      <c r="E795" s="3">
        <v>2254.807</v>
      </c>
      <c r="F795" s="4" t="str">
        <f>HYPERLINK("http://141.218.60.56/~jnz1568/getInfo.php?workbook=26_25.xlsx&amp;sheet=A0&amp;row=795&amp;col=6&amp;number=40380&amp;sourceID=14","40380")</f>
        <v>40380</v>
      </c>
      <c r="G795" s="4" t="str">
        <f>HYPERLINK("http://141.218.60.56/~jnz1568/getInfo.php?workbook=26_25.xlsx&amp;sheet=A0&amp;row=795&amp;col=7&amp;number=0&amp;sourceID=14","0")</f>
        <v>0</v>
      </c>
    </row>
    <row r="796" spans="1:7">
      <c r="A796" s="3">
        <v>26</v>
      </c>
      <c r="B796" s="3">
        <v>25</v>
      </c>
      <c r="C796" s="3">
        <v>107</v>
      </c>
      <c r="D796" s="3">
        <v>7</v>
      </c>
      <c r="E796" s="3">
        <v>1571.137</v>
      </c>
      <c r="F796" s="4" t="str">
        <f>HYPERLINK("http://141.218.60.56/~jnz1568/getInfo.php?workbook=26_25.xlsx&amp;sheet=A0&amp;row=796&amp;col=6&amp;number=210200&amp;sourceID=14","210200")</f>
        <v>210200</v>
      </c>
      <c r="G796" s="4" t="str">
        <f>HYPERLINK("http://141.218.60.56/~jnz1568/getInfo.php?workbook=26_25.xlsx&amp;sheet=A0&amp;row=796&amp;col=7&amp;number=0&amp;sourceID=14","0")</f>
        <v>0</v>
      </c>
    </row>
    <row r="797" spans="1:7">
      <c r="A797" s="3">
        <v>26</v>
      </c>
      <c r="B797" s="3">
        <v>25</v>
      </c>
      <c r="C797" s="3">
        <v>107</v>
      </c>
      <c r="D797" s="3">
        <v>8</v>
      </c>
      <c r="E797" s="3">
        <v>1581.27</v>
      </c>
      <c r="F797" s="4" t="str">
        <f>HYPERLINK("http://141.218.60.56/~jnz1568/getInfo.php?workbook=26_25.xlsx&amp;sheet=A0&amp;row=797&amp;col=6&amp;number=5694000&amp;sourceID=14","5694000")</f>
        <v>5694000</v>
      </c>
      <c r="G797" s="4" t="str">
        <f>HYPERLINK("http://141.218.60.56/~jnz1568/getInfo.php?workbook=26_25.xlsx&amp;sheet=A0&amp;row=797&amp;col=7&amp;number=0&amp;sourceID=14","0")</f>
        <v>0</v>
      </c>
    </row>
    <row r="798" spans="1:7">
      <c r="A798" s="3">
        <v>26</v>
      </c>
      <c r="B798" s="3">
        <v>25</v>
      </c>
      <c r="C798" s="3">
        <v>107</v>
      </c>
      <c r="D798" s="3">
        <v>9</v>
      </c>
      <c r="E798" s="3">
        <v>1588.29</v>
      </c>
      <c r="F798" s="4" t="str">
        <f>HYPERLINK("http://141.218.60.56/~jnz1568/getInfo.php?workbook=26_25.xlsx&amp;sheet=A0&amp;row=798&amp;col=6&amp;number=34880000&amp;sourceID=14","34880000")</f>
        <v>34880000</v>
      </c>
      <c r="G798" s="4" t="str">
        <f>HYPERLINK("http://141.218.60.56/~jnz1568/getInfo.php?workbook=26_25.xlsx&amp;sheet=A0&amp;row=798&amp;col=7&amp;number=0&amp;sourceID=14","0")</f>
        <v>0</v>
      </c>
    </row>
    <row r="799" spans="1:7">
      <c r="A799" s="3">
        <v>26</v>
      </c>
      <c r="B799" s="3">
        <v>25</v>
      </c>
      <c r="C799" s="3">
        <v>107</v>
      </c>
      <c r="D799" s="3">
        <v>25</v>
      </c>
      <c r="E799" s="3">
        <v>2311.182</v>
      </c>
      <c r="F799" s="4" t="str">
        <f>HYPERLINK("http://141.218.60.56/~jnz1568/getInfo.php?workbook=26_25.xlsx&amp;sheet=A0&amp;row=799&amp;col=6&amp;number=187800&amp;sourceID=14","187800")</f>
        <v>187800</v>
      </c>
      <c r="G799" s="4" t="str">
        <f>HYPERLINK("http://141.218.60.56/~jnz1568/getInfo.php?workbook=26_25.xlsx&amp;sheet=A0&amp;row=799&amp;col=7&amp;number=0&amp;sourceID=14","0")</f>
        <v>0</v>
      </c>
    </row>
    <row r="800" spans="1:7">
      <c r="A800" s="3">
        <v>26</v>
      </c>
      <c r="B800" s="3">
        <v>25</v>
      </c>
      <c r="C800" s="3">
        <v>107</v>
      </c>
      <c r="D800" s="3">
        <v>26</v>
      </c>
      <c r="E800" s="3">
        <v>2318.093</v>
      </c>
      <c r="F800" s="4" t="str">
        <f>HYPERLINK("http://141.218.60.56/~jnz1568/getInfo.php?workbook=26_25.xlsx&amp;sheet=A0&amp;row=800&amp;col=6&amp;number=5142000&amp;sourceID=14","5142000")</f>
        <v>5142000</v>
      </c>
      <c r="G800" s="4" t="str">
        <f>HYPERLINK("http://141.218.60.56/~jnz1568/getInfo.php?workbook=26_25.xlsx&amp;sheet=A0&amp;row=800&amp;col=7&amp;number=0&amp;sourceID=14","0")</f>
        <v>0</v>
      </c>
    </row>
    <row r="801" spans="1:7">
      <c r="A801" s="3">
        <v>26</v>
      </c>
      <c r="B801" s="3">
        <v>25</v>
      </c>
      <c r="C801" s="3">
        <v>107</v>
      </c>
      <c r="D801" s="3">
        <v>27</v>
      </c>
      <c r="E801" s="3">
        <v>2323.044</v>
      </c>
      <c r="F801" s="4" t="str">
        <f>HYPERLINK("http://141.218.60.56/~jnz1568/getInfo.php?workbook=26_25.xlsx&amp;sheet=A0&amp;row=801&amp;col=6&amp;number=31710000&amp;sourceID=14","31710000")</f>
        <v>31710000</v>
      </c>
      <c r="G801" s="4" t="str">
        <f>HYPERLINK("http://141.218.60.56/~jnz1568/getInfo.php?workbook=26_25.xlsx&amp;sheet=A0&amp;row=801&amp;col=7&amp;number=0&amp;sourceID=14","0")</f>
        <v>0</v>
      </c>
    </row>
    <row r="802" spans="1:7">
      <c r="A802" s="3">
        <v>26</v>
      </c>
      <c r="B802" s="3">
        <v>25</v>
      </c>
      <c r="C802" s="3">
        <v>107</v>
      </c>
      <c r="D802" s="3">
        <v>63</v>
      </c>
      <c r="E802" s="3">
        <v>6275.305</v>
      </c>
      <c r="F802" s="4" t="str">
        <f>HYPERLINK("http://141.218.60.56/~jnz1568/getInfo.php?workbook=26_25.xlsx&amp;sheet=A0&amp;row=802&amp;col=6&amp;number=26810&amp;sourceID=14","26810")</f>
        <v>26810</v>
      </c>
      <c r="G802" s="4" t="str">
        <f>HYPERLINK("http://141.218.60.56/~jnz1568/getInfo.php?workbook=26_25.xlsx&amp;sheet=A0&amp;row=802&amp;col=7&amp;number=0&amp;sourceID=14","0")</f>
        <v>0</v>
      </c>
    </row>
    <row r="803" spans="1:7">
      <c r="A803" s="3">
        <v>26</v>
      </c>
      <c r="B803" s="3">
        <v>25</v>
      </c>
      <c r="C803" s="3">
        <v>107</v>
      </c>
      <c r="D803" s="3">
        <v>64</v>
      </c>
      <c r="E803" s="3">
        <v>6249.08</v>
      </c>
      <c r="F803" s="4" t="str">
        <f>HYPERLINK("http://141.218.60.56/~jnz1568/getInfo.php?workbook=26_25.xlsx&amp;sheet=A0&amp;row=803&amp;col=6&amp;number=168500&amp;sourceID=14","168500")</f>
        <v>168500</v>
      </c>
      <c r="G803" s="4" t="str">
        <f>HYPERLINK("http://141.218.60.56/~jnz1568/getInfo.php?workbook=26_25.xlsx&amp;sheet=A0&amp;row=803&amp;col=7&amp;number=0&amp;sourceID=14","0")</f>
        <v>0</v>
      </c>
    </row>
    <row r="804" spans="1:7">
      <c r="A804" s="3">
        <v>26</v>
      </c>
      <c r="B804" s="3">
        <v>25</v>
      </c>
      <c r="C804" s="3">
        <v>107</v>
      </c>
      <c r="D804" s="3">
        <v>30</v>
      </c>
      <c r="E804" s="3">
        <v>2493.975</v>
      </c>
      <c r="F804" s="4" t="str">
        <f>HYPERLINK("http://141.218.60.56/~jnz1568/getInfo.php?workbook=26_25.xlsx&amp;sheet=A0&amp;row=804&amp;col=6&amp;number=29900000&amp;sourceID=14","29900000")</f>
        <v>29900000</v>
      </c>
      <c r="G804" s="4" t="str">
        <f>HYPERLINK("http://141.218.60.56/~jnz1568/getInfo.php?workbook=26_25.xlsx&amp;sheet=A0&amp;row=804&amp;col=7&amp;number=0&amp;sourceID=14","0")</f>
        <v>0</v>
      </c>
    </row>
    <row r="805" spans="1:7">
      <c r="A805" s="3">
        <v>26</v>
      </c>
      <c r="B805" s="3">
        <v>25</v>
      </c>
      <c r="C805" s="3">
        <v>107</v>
      </c>
      <c r="D805" s="3">
        <v>31</v>
      </c>
      <c r="E805" s="3">
        <v>2498.573</v>
      </c>
      <c r="F805" s="4" t="str">
        <f>HYPERLINK("http://141.218.60.56/~jnz1568/getInfo.php?workbook=26_25.xlsx&amp;sheet=A0&amp;row=805&amp;col=6&amp;number=247100000&amp;sourceID=14","247100000")</f>
        <v>247100000</v>
      </c>
      <c r="G805" s="4" t="str">
        <f>HYPERLINK("http://141.218.60.56/~jnz1568/getInfo.php?workbook=26_25.xlsx&amp;sheet=A0&amp;row=805&amp;col=7&amp;number=0&amp;sourceID=14","0")</f>
        <v>0</v>
      </c>
    </row>
    <row r="806" spans="1:7">
      <c r="A806" s="3">
        <v>26</v>
      </c>
      <c r="B806" s="3">
        <v>25</v>
      </c>
      <c r="C806" s="3">
        <v>107</v>
      </c>
      <c r="D806" s="3">
        <v>23</v>
      </c>
      <c r="E806" s="3">
        <v>2253.961</v>
      </c>
      <c r="F806" s="4" t="str">
        <f>HYPERLINK("http://141.218.60.56/~jnz1568/getInfo.php?workbook=26_25.xlsx&amp;sheet=A0&amp;row=806&amp;col=6&amp;number=43390&amp;sourceID=14","43390")</f>
        <v>43390</v>
      </c>
      <c r="G806" s="4" t="str">
        <f>HYPERLINK("http://141.218.60.56/~jnz1568/getInfo.php?workbook=26_25.xlsx&amp;sheet=A0&amp;row=806&amp;col=7&amp;number=0&amp;sourceID=14","0")</f>
        <v>0</v>
      </c>
    </row>
    <row r="807" spans="1:7">
      <c r="A807" s="3">
        <v>26</v>
      </c>
      <c r="B807" s="3">
        <v>25</v>
      </c>
      <c r="C807" s="3">
        <v>108</v>
      </c>
      <c r="D807" s="3">
        <v>28</v>
      </c>
      <c r="E807" s="3">
        <v>2440.042</v>
      </c>
      <c r="F807" s="4" t="str">
        <f>HYPERLINK("http://141.218.60.56/~jnz1568/getInfo.php?workbook=26_25.xlsx&amp;sheet=A0&amp;row=807&amp;col=6&amp;number=293500000&amp;sourceID=14","293500000")</f>
        <v>293500000</v>
      </c>
      <c r="G807" s="4" t="str">
        <f>HYPERLINK("http://141.218.60.56/~jnz1568/getInfo.php?workbook=26_25.xlsx&amp;sheet=A0&amp;row=807&amp;col=7&amp;number=0&amp;sourceID=14","0")</f>
        <v>0</v>
      </c>
    </row>
    <row r="808" spans="1:7">
      <c r="A808" s="3">
        <v>26</v>
      </c>
      <c r="B808" s="3">
        <v>25</v>
      </c>
      <c r="C808" s="3">
        <v>108</v>
      </c>
      <c r="D808" s="3">
        <v>20</v>
      </c>
      <c r="E808" s="3">
        <v>2214.345</v>
      </c>
      <c r="F808" s="4" t="str">
        <f>HYPERLINK("http://141.218.60.56/~jnz1568/getInfo.php?workbook=26_25.xlsx&amp;sheet=A0&amp;row=808&amp;col=6&amp;number=25540000&amp;sourceID=14","25540000")</f>
        <v>25540000</v>
      </c>
      <c r="G808" s="4" t="str">
        <f>HYPERLINK("http://141.218.60.56/~jnz1568/getInfo.php?workbook=26_25.xlsx&amp;sheet=A0&amp;row=808&amp;col=7&amp;number=0&amp;sourceID=14","0")</f>
        <v>0</v>
      </c>
    </row>
    <row r="809" spans="1:7">
      <c r="A809" s="3">
        <v>26</v>
      </c>
      <c r="B809" s="3">
        <v>25</v>
      </c>
      <c r="C809" s="3">
        <v>108</v>
      </c>
      <c r="D809" s="3">
        <v>21</v>
      </c>
      <c r="E809" s="3">
        <v>2223.145</v>
      </c>
      <c r="F809" s="4" t="str">
        <f>HYPERLINK("http://141.218.60.56/~jnz1568/getInfo.php?workbook=26_25.xlsx&amp;sheet=A0&amp;row=809&amp;col=6&amp;number=1005000&amp;sourceID=14","1005000")</f>
        <v>1005000</v>
      </c>
      <c r="G809" s="4" t="str">
        <f>HYPERLINK("http://141.218.60.56/~jnz1568/getInfo.php?workbook=26_25.xlsx&amp;sheet=A0&amp;row=809&amp;col=7&amp;number=0&amp;sourceID=14","0")</f>
        <v>0</v>
      </c>
    </row>
    <row r="810" spans="1:7">
      <c r="A810" s="3">
        <v>26</v>
      </c>
      <c r="B810" s="3">
        <v>25</v>
      </c>
      <c r="C810" s="3">
        <v>109</v>
      </c>
      <c r="D810" s="3">
        <v>28</v>
      </c>
      <c r="E810" s="3">
        <v>2436.959</v>
      </c>
      <c r="F810" s="4" t="str">
        <f>HYPERLINK("http://141.218.60.56/~jnz1568/getInfo.php?workbook=26_25.xlsx&amp;sheet=A0&amp;row=810&amp;col=6&amp;number=16100000&amp;sourceID=14","16100000")</f>
        <v>16100000</v>
      </c>
      <c r="G810" s="4" t="str">
        <f>HYPERLINK("http://141.218.60.56/~jnz1568/getInfo.php?workbook=26_25.xlsx&amp;sheet=A0&amp;row=810&amp;col=7&amp;number=0&amp;sourceID=14","0")</f>
        <v>0</v>
      </c>
    </row>
    <row r="811" spans="1:7">
      <c r="A811" s="3">
        <v>26</v>
      </c>
      <c r="B811" s="3">
        <v>25</v>
      </c>
      <c r="C811" s="3">
        <v>109</v>
      </c>
      <c r="D811" s="3">
        <v>29</v>
      </c>
      <c r="E811" s="3">
        <v>2459.528</v>
      </c>
      <c r="F811" s="4" t="str">
        <f>HYPERLINK("http://141.218.60.56/~jnz1568/getInfo.php?workbook=26_25.xlsx&amp;sheet=A0&amp;row=811&amp;col=6&amp;number=270900000&amp;sourceID=14","270900000")</f>
        <v>270900000</v>
      </c>
      <c r="G811" s="4" t="str">
        <f>HYPERLINK("http://141.218.60.56/~jnz1568/getInfo.php?workbook=26_25.xlsx&amp;sheet=A0&amp;row=811&amp;col=7&amp;number=0&amp;sourceID=14","0")</f>
        <v>0</v>
      </c>
    </row>
    <row r="812" spans="1:7">
      <c r="A812" s="3">
        <v>26</v>
      </c>
      <c r="B812" s="3">
        <v>25</v>
      </c>
      <c r="C812" s="3">
        <v>109</v>
      </c>
      <c r="D812" s="3">
        <v>20</v>
      </c>
      <c r="E812" s="3">
        <v>2211.806</v>
      </c>
      <c r="F812" s="4" t="str">
        <f>HYPERLINK("http://141.218.60.56/~jnz1568/getInfo.php?workbook=26_25.xlsx&amp;sheet=A0&amp;row=812&amp;col=6&amp;number=1191000&amp;sourceID=14","1191000")</f>
        <v>1191000</v>
      </c>
      <c r="G812" s="4" t="str">
        <f>HYPERLINK("http://141.218.60.56/~jnz1568/getInfo.php?workbook=26_25.xlsx&amp;sheet=A0&amp;row=812&amp;col=7&amp;number=0&amp;sourceID=14","0")</f>
        <v>0</v>
      </c>
    </row>
    <row r="813" spans="1:7">
      <c r="A813" s="3">
        <v>26</v>
      </c>
      <c r="B813" s="3">
        <v>25</v>
      </c>
      <c r="C813" s="3">
        <v>109</v>
      </c>
      <c r="D813" s="3">
        <v>21</v>
      </c>
      <c r="E813" s="3">
        <v>2220.585</v>
      </c>
      <c r="F813" s="4" t="str">
        <f>HYPERLINK("http://141.218.60.56/~jnz1568/getInfo.php?workbook=26_25.xlsx&amp;sheet=A0&amp;row=813&amp;col=6&amp;number=23540000&amp;sourceID=14","23540000")</f>
        <v>23540000</v>
      </c>
      <c r="G813" s="4" t="str">
        <f>HYPERLINK("http://141.218.60.56/~jnz1568/getInfo.php?workbook=26_25.xlsx&amp;sheet=A0&amp;row=813&amp;col=7&amp;number=0&amp;sourceID=14","0")</f>
        <v>0</v>
      </c>
    </row>
    <row r="814" spans="1:7">
      <c r="A814" s="3">
        <v>26</v>
      </c>
      <c r="B814" s="3">
        <v>25</v>
      </c>
      <c r="C814" s="3">
        <v>109</v>
      </c>
      <c r="D814" s="3">
        <v>22</v>
      </c>
      <c r="E814" s="3">
        <v>2228.07</v>
      </c>
      <c r="F814" s="4" t="str">
        <f>HYPERLINK("http://141.218.60.56/~jnz1568/getInfo.php?workbook=26_25.xlsx&amp;sheet=A0&amp;row=814&amp;col=6&amp;number=1540000&amp;sourceID=14","1540000")</f>
        <v>1540000</v>
      </c>
      <c r="G814" s="4" t="str">
        <f>HYPERLINK("http://141.218.60.56/~jnz1568/getInfo.php?workbook=26_25.xlsx&amp;sheet=A0&amp;row=814&amp;col=7&amp;number=0&amp;sourceID=14","0")</f>
        <v>0</v>
      </c>
    </row>
    <row r="815" spans="1:7">
      <c r="A815" s="3">
        <v>26</v>
      </c>
      <c r="B815" s="3">
        <v>25</v>
      </c>
      <c r="C815" s="3">
        <v>110</v>
      </c>
      <c r="D815" s="3">
        <v>28</v>
      </c>
      <c r="E815" s="3">
        <v>2429.53</v>
      </c>
      <c r="F815" s="4" t="str">
        <f>HYPERLINK("http://141.218.60.56/~jnz1568/getInfo.php?workbook=26_25.xlsx&amp;sheet=A0&amp;row=815&amp;col=6&amp;number=363400&amp;sourceID=14","363400")</f>
        <v>363400</v>
      </c>
      <c r="G815" s="4" t="str">
        <f>HYPERLINK("http://141.218.60.56/~jnz1568/getInfo.php?workbook=26_25.xlsx&amp;sheet=A0&amp;row=815&amp;col=7&amp;number=0&amp;sourceID=14","0")</f>
        <v>0</v>
      </c>
    </row>
    <row r="816" spans="1:7">
      <c r="A816" s="3">
        <v>26</v>
      </c>
      <c r="B816" s="3">
        <v>25</v>
      </c>
      <c r="C816" s="3">
        <v>110</v>
      </c>
      <c r="D816" s="3">
        <v>29</v>
      </c>
      <c r="E816" s="3">
        <v>2451.961</v>
      </c>
      <c r="F816" s="4" t="str">
        <f>HYPERLINK("http://141.218.60.56/~jnz1568/getInfo.php?workbook=26_25.xlsx&amp;sheet=A0&amp;row=816&amp;col=6&amp;number=25070000&amp;sourceID=14","25070000")</f>
        <v>25070000</v>
      </c>
      <c r="G816" s="4" t="str">
        <f>HYPERLINK("http://141.218.60.56/~jnz1568/getInfo.php?workbook=26_25.xlsx&amp;sheet=A0&amp;row=816&amp;col=7&amp;number=0&amp;sourceID=14","0")</f>
        <v>0</v>
      </c>
    </row>
    <row r="817" spans="1:7">
      <c r="A817" s="3">
        <v>26</v>
      </c>
      <c r="B817" s="3">
        <v>25</v>
      </c>
      <c r="C817" s="3">
        <v>110</v>
      </c>
      <c r="D817" s="3">
        <v>30</v>
      </c>
      <c r="E817" s="3">
        <v>2462.607</v>
      </c>
      <c r="F817" s="4" t="str">
        <f>HYPERLINK("http://141.218.60.56/~jnz1568/getInfo.php?workbook=26_25.xlsx&amp;sheet=A0&amp;row=817&amp;col=6&amp;number=260100000&amp;sourceID=14","260100000")</f>
        <v>260100000</v>
      </c>
      <c r="G817" s="4" t="str">
        <f>HYPERLINK("http://141.218.60.56/~jnz1568/getInfo.php?workbook=26_25.xlsx&amp;sheet=A0&amp;row=817&amp;col=7&amp;number=0&amp;sourceID=14","0")</f>
        <v>0</v>
      </c>
    </row>
    <row r="818" spans="1:7">
      <c r="A818" s="3">
        <v>26</v>
      </c>
      <c r="B818" s="3">
        <v>25</v>
      </c>
      <c r="C818" s="3">
        <v>110</v>
      </c>
      <c r="D818" s="3">
        <v>21</v>
      </c>
      <c r="E818" s="3">
        <v>2214.415</v>
      </c>
      <c r="F818" s="4" t="str">
        <f>HYPERLINK("http://141.218.60.56/~jnz1568/getInfo.php?workbook=26_25.xlsx&amp;sheet=A0&amp;row=818&amp;col=6&amp;number=1883000&amp;sourceID=14","1883000")</f>
        <v>1883000</v>
      </c>
      <c r="G818" s="4" t="str">
        <f>HYPERLINK("http://141.218.60.56/~jnz1568/getInfo.php?workbook=26_25.xlsx&amp;sheet=A0&amp;row=818&amp;col=7&amp;number=0&amp;sourceID=14","0")</f>
        <v>0</v>
      </c>
    </row>
    <row r="819" spans="1:7">
      <c r="A819" s="3">
        <v>26</v>
      </c>
      <c r="B819" s="3">
        <v>25</v>
      </c>
      <c r="C819" s="3">
        <v>110</v>
      </c>
      <c r="D819" s="3">
        <v>22</v>
      </c>
      <c r="E819" s="3">
        <v>2221.858</v>
      </c>
      <c r="F819" s="4" t="str">
        <f>HYPERLINK("http://141.218.60.56/~jnz1568/getInfo.php?workbook=26_25.xlsx&amp;sheet=A0&amp;row=819&amp;col=6&amp;number=23010000&amp;sourceID=14","23010000")</f>
        <v>23010000</v>
      </c>
      <c r="G819" s="4" t="str">
        <f>HYPERLINK("http://141.218.60.56/~jnz1568/getInfo.php?workbook=26_25.xlsx&amp;sheet=A0&amp;row=819&amp;col=7&amp;number=0&amp;sourceID=14","0")</f>
        <v>0</v>
      </c>
    </row>
    <row r="820" spans="1:7">
      <c r="A820" s="3">
        <v>26</v>
      </c>
      <c r="B820" s="3">
        <v>25</v>
      </c>
      <c r="C820" s="3">
        <v>110</v>
      </c>
      <c r="D820" s="3">
        <v>23</v>
      </c>
      <c r="E820" s="3">
        <v>2228.308</v>
      </c>
      <c r="F820" s="4" t="str">
        <f>HYPERLINK("http://141.218.60.56/~jnz1568/getInfo.php?workbook=26_25.xlsx&amp;sheet=A0&amp;row=820&amp;col=6&amp;number=1398000&amp;sourceID=14","1398000")</f>
        <v>1398000</v>
      </c>
      <c r="G820" s="4" t="str">
        <f>HYPERLINK("http://141.218.60.56/~jnz1568/getInfo.php?workbook=26_25.xlsx&amp;sheet=A0&amp;row=820&amp;col=7&amp;number=0&amp;sourceID=14","0")</f>
        <v>0</v>
      </c>
    </row>
    <row r="821" spans="1:7">
      <c r="A821" s="3">
        <v>26</v>
      </c>
      <c r="B821" s="3">
        <v>25</v>
      </c>
      <c r="C821" s="3">
        <v>111</v>
      </c>
      <c r="D821" s="3">
        <v>29</v>
      </c>
      <c r="E821" s="3">
        <v>2446.962</v>
      </c>
      <c r="F821" s="4" t="str">
        <f>HYPERLINK("http://141.218.60.56/~jnz1568/getInfo.php?workbook=26_25.xlsx&amp;sheet=A0&amp;row=821&amp;col=6&amp;number=525400&amp;sourceID=14","525400")</f>
        <v>525400</v>
      </c>
      <c r="G821" s="4" t="str">
        <f>HYPERLINK("http://141.218.60.56/~jnz1568/getInfo.php?workbook=26_25.xlsx&amp;sheet=A0&amp;row=821&amp;col=7&amp;number=0&amp;sourceID=14","0")</f>
        <v>0</v>
      </c>
    </row>
    <row r="822" spans="1:7">
      <c r="A822" s="3">
        <v>26</v>
      </c>
      <c r="B822" s="3">
        <v>25</v>
      </c>
      <c r="C822" s="3">
        <v>111</v>
      </c>
      <c r="D822" s="3">
        <v>30</v>
      </c>
      <c r="E822" s="3">
        <v>2457.564</v>
      </c>
      <c r="F822" s="4" t="str">
        <f>HYPERLINK("http://141.218.60.56/~jnz1568/getInfo.php?workbook=26_25.xlsx&amp;sheet=A0&amp;row=822&amp;col=6&amp;number=23540000&amp;sourceID=14","23540000")</f>
        <v>23540000</v>
      </c>
      <c r="G822" s="4" t="str">
        <f>HYPERLINK("http://141.218.60.56/~jnz1568/getInfo.php?workbook=26_25.xlsx&amp;sheet=A0&amp;row=822&amp;col=7&amp;number=0&amp;sourceID=14","0")</f>
        <v>0</v>
      </c>
    </row>
    <row r="823" spans="1:7">
      <c r="A823" s="3">
        <v>26</v>
      </c>
      <c r="B823" s="3">
        <v>25</v>
      </c>
      <c r="C823" s="3">
        <v>111</v>
      </c>
      <c r="D823" s="3">
        <v>31</v>
      </c>
      <c r="E823" s="3">
        <v>2462.028</v>
      </c>
      <c r="F823" s="4" t="str">
        <f>HYPERLINK("http://141.218.60.56/~jnz1568/getInfo.php?workbook=26_25.xlsx&amp;sheet=A0&amp;row=823&amp;col=6&amp;number=261900000&amp;sourceID=14","261900000")</f>
        <v>261900000</v>
      </c>
      <c r="G823" s="4" t="str">
        <f>HYPERLINK("http://141.218.60.56/~jnz1568/getInfo.php?workbook=26_25.xlsx&amp;sheet=A0&amp;row=823&amp;col=7&amp;number=0&amp;sourceID=14","0")</f>
        <v>0</v>
      </c>
    </row>
    <row r="824" spans="1:7">
      <c r="A824" s="3">
        <v>26</v>
      </c>
      <c r="B824" s="3">
        <v>25</v>
      </c>
      <c r="C824" s="3">
        <v>111</v>
      </c>
      <c r="D824" s="3">
        <v>22</v>
      </c>
      <c r="E824" s="3">
        <v>2217.752</v>
      </c>
      <c r="F824" s="4" t="str">
        <f>HYPERLINK("http://141.218.60.56/~jnz1568/getInfo.php?workbook=26_25.xlsx&amp;sheet=A0&amp;row=824&amp;col=6&amp;number=1772000&amp;sourceID=14","1772000")</f>
        <v>1772000</v>
      </c>
      <c r="G824" s="4" t="str">
        <f>HYPERLINK("http://141.218.60.56/~jnz1568/getInfo.php?workbook=26_25.xlsx&amp;sheet=A0&amp;row=824&amp;col=7&amp;number=0&amp;sourceID=14","0")</f>
        <v>0</v>
      </c>
    </row>
    <row r="825" spans="1:7">
      <c r="A825" s="3">
        <v>26</v>
      </c>
      <c r="B825" s="3">
        <v>25</v>
      </c>
      <c r="C825" s="3">
        <v>111</v>
      </c>
      <c r="D825" s="3">
        <v>23</v>
      </c>
      <c r="E825" s="3">
        <v>2224.179</v>
      </c>
      <c r="F825" s="4" t="str">
        <f>HYPERLINK("http://141.218.60.56/~jnz1568/getInfo.php?workbook=26_25.xlsx&amp;sheet=A0&amp;row=825&amp;col=6&amp;number=24510000&amp;sourceID=14","24510000")</f>
        <v>24510000</v>
      </c>
      <c r="G825" s="4" t="str">
        <f>HYPERLINK("http://141.218.60.56/~jnz1568/getInfo.php?workbook=26_25.xlsx&amp;sheet=A0&amp;row=825&amp;col=7&amp;number=0&amp;sourceID=14","0")</f>
        <v>0</v>
      </c>
    </row>
    <row r="826" spans="1:7">
      <c r="A826" s="3">
        <v>26</v>
      </c>
      <c r="B826" s="3">
        <v>25</v>
      </c>
      <c r="C826" s="3">
        <v>112</v>
      </c>
      <c r="D826" s="3">
        <v>14</v>
      </c>
      <c r="E826" s="3">
        <v>1709.685</v>
      </c>
      <c r="F826" s="4" t="str">
        <f>HYPERLINK("http://141.218.60.56/~jnz1568/getInfo.php?workbook=26_25.xlsx&amp;sheet=A0&amp;row=826&amp;col=6&amp;number=81700000&amp;sourceID=14","81700000")</f>
        <v>81700000</v>
      </c>
      <c r="G826" s="4" t="str">
        <f>HYPERLINK("http://141.218.60.56/~jnz1568/getInfo.php?workbook=26_25.xlsx&amp;sheet=A0&amp;row=826&amp;col=7&amp;number=0&amp;sourceID=14","0")</f>
        <v>0</v>
      </c>
    </row>
    <row r="827" spans="1:7">
      <c r="A827" s="3">
        <v>26</v>
      </c>
      <c r="B827" s="3">
        <v>25</v>
      </c>
      <c r="C827" s="3">
        <v>112</v>
      </c>
      <c r="D827" s="3">
        <v>15</v>
      </c>
      <c r="E827" s="3">
        <v>1715.515</v>
      </c>
      <c r="F827" s="4" t="str">
        <f>HYPERLINK("http://141.218.60.56/~jnz1568/getInfo.php?workbook=26_25.xlsx&amp;sheet=A0&amp;row=827&amp;col=6&amp;number=34660000&amp;sourceID=14","34660000")</f>
        <v>34660000</v>
      </c>
      <c r="G827" s="4" t="str">
        <f>HYPERLINK("http://141.218.60.56/~jnz1568/getInfo.php?workbook=26_25.xlsx&amp;sheet=A0&amp;row=827&amp;col=7&amp;number=0&amp;sourceID=14","0")</f>
        <v>0</v>
      </c>
    </row>
    <row r="828" spans="1:7">
      <c r="A828" s="3">
        <v>26</v>
      </c>
      <c r="B828" s="3">
        <v>25</v>
      </c>
      <c r="C828" s="3">
        <v>112</v>
      </c>
      <c r="D828" s="3">
        <v>17</v>
      </c>
      <c r="E828" s="3">
        <v>1955.641</v>
      </c>
      <c r="F828" s="4" t="str">
        <f>HYPERLINK("http://141.218.60.56/~jnz1568/getInfo.php?workbook=26_25.xlsx&amp;sheet=A0&amp;row=828&amp;col=6&amp;number=16520000&amp;sourceID=14","16520000")</f>
        <v>16520000</v>
      </c>
      <c r="G828" s="4" t="str">
        <f>HYPERLINK("http://141.218.60.56/~jnz1568/getInfo.php?workbook=26_25.xlsx&amp;sheet=A0&amp;row=828&amp;col=7&amp;number=0&amp;sourceID=14","0")</f>
        <v>0</v>
      </c>
    </row>
    <row r="829" spans="1:7">
      <c r="A829" s="3">
        <v>26</v>
      </c>
      <c r="B829" s="3">
        <v>25</v>
      </c>
      <c r="C829" s="3">
        <v>112</v>
      </c>
      <c r="D829" s="3">
        <v>18</v>
      </c>
      <c r="E829" s="3">
        <v>1993.912</v>
      </c>
      <c r="F829" s="4" t="str">
        <f>HYPERLINK("http://141.218.60.56/~jnz1568/getInfo.php?workbook=26_25.xlsx&amp;sheet=A0&amp;row=829&amp;col=6&amp;number=6680000&amp;sourceID=14","6680000")</f>
        <v>6680000</v>
      </c>
      <c r="G829" s="4" t="str">
        <f>HYPERLINK("http://141.218.60.56/~jnz1568/getInfo.php?workbook=26_25.xlsx&amp;sheet=A0&amp;row=829&amp;col=7&amp;number=0&amp;sourceID=14","0")</f>
        <v>0</v>
      </c>
    </row>
    <row r="830" spans="1:7">
      <c r="A830" s="3">
        <v>26</v>
      </c>
      <c r="B830" s="3">
        <v>25</v>
      </c>
      <c r="C830" s="3">
        <v>112</v>
      </c>
      <c r="D830" s="3">
        <v>65</v>
      </c>
      <c r="E830" s="3">
        <v>4597.302</v>
      </c>
      <c r="F830" s="4" t="str">
        <f>HYPERLINK("http://141.218.60.56/~jnz1568/getInfo.php?workbook=26_25.xlsx&amp;sheet=A0&amp;row=830&amp;col=6&amp;number=242300&amp;sourceID=14","242300")</f>
        <v>242300</v>
      </c>
      <c r="G830" s="4" t="str">
        <f>HYPERLINK("http://141.218.60.56/~jnz1568/getInfo.php?workbook=26_25.xlsx&amp;sheet=A0&amp;row=830&amp;col=7&amp;number=0&amp;sourceID=14","0")</f>
        <v>0</v>
      </c>
    </row>
    <row r="831" spans="1:7">
      <c r="A831" s="3">
        <v>26</v>
      </c>
      <c r="B831" s="3">
        <v>25</v>
      </c>
      <c r="C831" s="3">
        <v>112</v>
      </c>
      <c r="D831" s="3">
        <v>66</v>
      </c>
      <c r="E831" s="3">
        <v>4452.8</v>
      </c>
      <c r="F831" s="4" t="str">
        <f>HYPERLINK("http://141.218.60.56/~jnz1568/getInfo.php?workbook=26_25.xlsx&amp;sheet=A0&amp;row=831&amp;col=6&amp;number=114300&amp;sourceID=14","114300")</f>
        <v>114300</v>
      </c>
      <c r="G831" s="4" t="str">
        <f>HYPERLINK("http://141.218.60.56/~jnz1568/getInfo.php?workbook=26_25.xlsx&amp;sheet=A0&amp;row=831&amp;col=7&amp;number=0&amp;sourceID=14","0")</f>
        <v>0</v>
      </c>
    </row>
    <row r="832" spans="1:7">
      <c r="A832" s="3">
        <v>26</v>
      </c>
      <c r="B832" s="3">
        <v>25</v>
      </c>
      <c r="C832" s="3">
        <v>112</v>
      </c>
      <c r="D832" s="3">
        <v>10</v>
      </c>
      <c r="E832" s="3">
        <v>1562.27</v>
      </c>
      <c r="F832" s="4" t="str">
        <f>HYPERLINK("http://141.218.60.56/~jnz1568/getInfo.php?workbook=26_25.xlsx&amp;sheet=A0&amp;row=832&amp;col=6&amp;number=14160000&amp;sourceID=14","14160000")</f>
        <v>14160000</v>
      </c>
      <c r="G832" s="4" t="str">
        <f>HYPERLINK("http://141.218.60.56/~jnz1568/getInfo.php?workbook=26_25.xlsx&amp;sheet=A0&amp;row=832&amp;col=7&amp;number=0&amp;sourceID=14","0")</f>
        <v>0</v>
      </c>
    </row>
    <row r="833" spans="1:7">
      <c r="A833" s="3">
        <v>26</v>
      </c>
      <c r="B833" s="3">
        <v>25</v>
      </c>
      <c r="C833" s="3">
        <v>112</v>
      </c>
      <c r="D833" s="3">
        <v>11</v>
      </c>
      <c r="E833" s="3">
        <v>1573</v>
      </c>
      <c r="F833" s="4" t="str">
        <f>HYPERLINK("http://141.218.60.56/~jnz1568/getInfo.php?workbook=26_25.xlsx&amp;sheet=A0&amp;row=833&amp;col=6&amp;number=3120000&amp;sourceID=14","3120000")</f>
        <v>3120000</v>
      </c>
      <c r="G833" s="4" t="str">
        <f>HYPERLINK("http://141.218.60.56/~jnz1568/getInfo.php?workbook=26_25.xlsx&amp;sheet=A0&amp;row=833&amp;col=7&amp;number=0&amp;sourceID=14","0")</f>
        <v>0</v>
      </c>
    </row>
    <row r="834" spans="1:7">
      <c r="A834" s="3">
        <v>26</v>
      </c>
      <c r="B834" s="3">
        <v>25</v>
      </c>
      <c r="C834" s="3">
        <v>112</v>
      </c>
      <c r="D834" s="3">
        <v>12</v>
      </c>
      <c r="E834" s="3">
        <v>1580.172</v>
      </c>
      <c r="F834" s="4" t="str">
        <f>HYPERLINK("http://141.218.60.56/~jnz1568/getInfo.php?workbook=26_25.xlsx&amp;sheet=A0&amp;row=834&amp;col=6&amp;number=342000&amp;sourceID=14","342000")</f>
        <v>342000</v>
      </c>
      <c r="G834" s="4" t="str">
        <f>HYPERLINK("http://141.218.60.56/~jnz1568/getInfo.php?workbook=26_25.xlsx&amp;sheet=A0&amp;row=834&amp;col=7&amp;number=0&amp;sourceID=14","0")</f>
        <v>0</v>
      </c>
    </row>
    <row r="835" spans="1:7">
      <c r="A835" s="3">
        <v>26</v>
      </c>
      <c r="B835" s="3">
        <v>25</v>
      </c>
      <c r="C835" s="3">
        <v>112</v>
      </c>
      <c r="D835" s="3">
        <v>32</v>
      </c>
      <c r="E835" s="3">
        <v>2470.262</v>
      </c>
      <c r="F835" s="4" t="str">
        <f>HYPERLINK("http://141.218.60.56/~jnz1568/getInfo.php?workbook=26_25.xlsx&amp;sheet=A0&amp;row=835&amp;col=6&amp;number=236500000&amp;sourceID=14","236500000")</f>
        <v>236500000</v>
      </c>
      <c r="G835" s="4" t="str">
        <f>HYPERLINK("http://141.218.60.56/~jnz1568/getInfo.php?workbook=26_25.xlsx&amp;sheet=A0&amp;row=835&amp;col=7&amp;number=0&amp;sourceID=14","0")</f>
        <v>0</v>
      </c>
    </row>
    <row r="836" spans="1:7">
      <c r="A836" s="3">
        <v>26</v>
      </c>
      <c r="B836" s="3">
        <v>25</v>
      </c>
      <c r="C836" s="3">
        <v>112</v>
      </c>
      <c r="D836" s="3">
        <v>33</v>
      </c>
      <c r="E836" s="3">
        <v>2464.465</v>
      </c>
      <c r="F836" s="4" t="str">
        <f>HYPERLINK("http://141.218.60.56/~jnz1568/getInfo.php?workbook=26_25.xlsx&amp;sheet=A0&amp;row=836&amp;col=6&amp;number=53580000&amp;sourceID=14","53580000")</f>
        <v>53580000</v>
      </c>
      <c r="G836" s="4" t="str">
        <f>HYPERLINK("http://141.218.60.56/~jnz1568/getInfo.php?workbook=26_25.xlsx&amp;sheet=A0&amp;row=836&amp;col=7&amp;number=0&amp;sourceID=14","0")</f>
        <v>0</v>
      </c>
    </row>
    <row r="837" spans="1:7">
      <c r="A837" s="3">
        <v>26</v>
      </c>
      <c r="B837" s="3">
        <v>25</v>
      </c>
      <c r="C837" s="3">
        <v>112</v>
      </c>
      <c r="D837" s="3">
        <v>34</v>
      </c>
      <c r="E837" s="3">
        <v>2463.038</v>
      </c>
      <c r="F837" s="4" t="str">
        <f>HYPERLINK("http://141.218.60.56/~jnz1568/getInfo.php?workbook=26_25.xlsx&amp;sheet=A0&amp;row=837&amp;col=6&amp;number=5964000&amp;sourceID=14","5964000")</f>
        <v>5964000</v>
      </c>
      <c r="G837" s="4" t="str">
        <f>HYPERLINK("http://141.218.60.56/~jnz1568/getInfo.php?workbook=26_25.xlsx&amp;sheet=A0&amp;row=837&amp;col=7&amp;number=0&amp;sourceID=14","0")</f>
        <v>0</v>
      </c>
    </row>
    <row r="838" spans="1:7">
      <c r="A838" s="3">
        <v>26</v>
      </c>
      <c r="B838" s="3">
        <v>25</v>
      </c>
      <c r="C838" s="3">
        <v>113</v>
      </c>
      <c r="D838" s="3">
        <v>14</v>
      </c>
      <c r="E838" s="3">
        <v>1707.399</v>
      </c>
      <c r="F838" s="4" t="str">
        <f>HYPERLINK("http://141.218.60.56/~jnz1568/getInfo.php?workbook=26_25.xlsx&amp;sheet=A0&amp;row=838&amp;col=6&amp;number=52730000&amp;sourceID=14","52730000")</f>
        <v>52730000</v>
      </c>
      <c r="G838" s="4" t="str">
        <f>HYPERLINK("http://141.218.60.56/~jnz1568/getInfo.php?workbook=26_25.xlsx&amp;sheet=A0&amp;row=838&amp;col=7&amp;number=0&amp;sourceID=14","0")</f>
        <v>0</v>
      </c>
    </row>
    <row r="839" spans="1:7">
      <c r="A839" s="3">
        <v>26</v>
      </c>
      <c r="B839" s="3">
        <v>25</v>
      </c>
      <c r="C839" s="3">
        <v>113</v>
      </c>
      <c r="D839" s="3">
        <v>15</v>
      </c>
      <c r="E839" s="3">
        <v>1713.214</v>
      </c>
      <c r="F839" s="4" t="str">
        <f>HYPERLINK("http://141.218.60.56/~jnz1568/getInfo.php?workbook=26_25.xlsx&amp;sheet=A0&amp;row=839&amp;col=6&amp;number=15470000&amp;sourceID=14","15470000")</f>
        <v>15470000</v>
      </c>
      <c r="G839" s="4" t="str">
        <f>HYPERLINK("http://141.218.60.56/~jnz1568/getInfo.php?workbook=26_25.xlsx&amp;sheet=A0&amp;row=839&amp;col=7&amp;number=0&amp;sourceID=14","0")</f>
        <v>0</v>
      </c>
    </row>
    <row r="840" spans="1:7">
      <c r="A840" s="3">
        <v>26</v>
      </c>
      <c r="B840" s="3">
        <v>25</v>
      </c>
      <c r="C840" s="3">
        <v>113</v>
      </c>
      <c r="D840" s="3">
        <v>16</v>
      </c>
      <c r="E840" s="3">
        <v>1720.04</v>
      </c>
      <c r="F840" s="4" t="str">
        <f>HYPERLINK("http://141.218.60.56/~jnz1568/getInfo.php?workbook=26_25.xlsx&amp;sheet=A0&amp;row=840&amp;col=6&amp;number=47760000&amp;sourceID=14","47760000")</f>
        <v>47760000</v>
      </c>
      <c r="G840" s="4" t="str">
        <f>HYPERLINK("http://141.218.60.56/~jnz1568/getInfo.php?workbook=26_25.xlsx&amp;sheet=A0&amp;row=840&amp;col=7&amp;number=0&amp;sourceID=14","0")</f>
        <v>0</v>
      </c>
    </row>
    <row r="841" spans="1:7">
      <c r="A841" s="3">
        <v>26</v>
      </c>
      <c r="B841" s="3">
        <v>25</v>
      </c>
      <c r="C841" s="3">
        <v>113</v>
      </c>
      <c r="D841" s="3">
        <v>17</v>
      </c>
      <c r="E841" s="3">
        <v>1952.651</v>
      </c>
      <c r="F841" s="4" t="str">
        <f>HYPERLINK("http://141.218.60.56/~jnz1568/getInfo.php?workbook=26_25.xlsx&amp;sheet=A0&amp;row=841&amp;col=6&amp;number=10670000&amp;sourceID=14","10670000")</f>
        <v>10670000</v>
      </c>
      <c r="G841" s="4" t="str">
        <f>HYPERLINK("http://141.218.60.56/~jnz1568/getInfo.php?workbook=26_25.xlsx&amp;sheet=A0&amp;row=841&amp;col=7&amp;number=0&amp;sourceID=14","0")</f>
        <v>0</v>
      </c>
    </row>
    <row r="842" spans="1:7">
      <c r="A842" s="3">
        <v>26</v>
      </c>
      <c r="B842" s="3">
        <v>25</v>
      </c>
      <c r="C842" s="3">
        <v>113</v>
      </c>
      <c r="D842" s="3">
        <v>18</v>
      </c>
      <c r="E842" s="3">
        <v>1990.804</v>
      </c>
      <c r="F842" s="4" t="str">
        <f>HYPERLINK("http://141.218.60.56/~jnz1568/getInfo.php?workbook=26_25.xlsx&amp;sheet=A0&amp;row=842&amp;col=6&amp;number=2983000&amp;sourceID=14","2983000")</f>
        <v>2983000</v>
      </c>
      <c r="G842" s="4" t="str">
        <f>HYPERLINK("http://141.218.60.56/~jnz1568/getInfo.php?workbook=26_25.xlsx&amp;sheet=A0&amp;row=842&amp;col=7&amp;number=0&amp;sourceID=14","0")</f>
        <v>0</v>
      </c>
    </row>
    <row r="843" spans="1:7">
      <c r="A843" s="3">
        <v>26</v>
      </c>
      <c r="B843" s="3">
        <v>25</v>
      </c>
      <c r="C843" s="3">
        <v>113</v>
      </c>
      <c r="D843" s="3">
        <v>19</v>
      </c>
      <c r="E843" s="3">
        <v>2014.782</v>
      </c>
      <c r="F843" s="4" t="str">
        <f>HYPERLINK("http://141.218.60.56/~jnz1568/getInfo.php?workbook=26_25.xlsx&amp;sheet=A0&amp;row=843&amp;col=6&amp;number=8993000&amp;sourceID=14","8993000")</f>
        <v>8993000</v>
      </c>
      <c r="G843" s="4" t="str">
        <f>HYPERLINK("http://141.218.60.56/~jnz1568/getInfo.php?workbook=26_25.xlsx&amp;sheet=A0&amp;row=843&amp;col=7&amp;number=0&amp;sourceID=14","0")</f>
        <v>0</v>
      </c>
    </row>
    <row r="844" spans="1:7">
      <c r="A844" s="3">
        <v>26</v>
      </c>
      <c r="B844" s="3">
        <v>25</v>
      </c>
      <c r="C844" s="3">
        <v>113</v>
      </c>
      <c r="D844" s="3">
        <v>65</v>
      </c>
      <c r="E844" s="3">
        <v>4580.81</v>
      </c>
      <c r="F844" s="4" t="str">
        <f>HYPERLINK("http://141.218.60.56/~jnz1568/getInfo.php?workbook=26_25.xlsx&amp;sheet=A0&amp;row=844&amp;col=6&amp;number=157400&amp;sourceID=14","157400")</f>
        <v>157400</v>
      </c>
      <c r="G844" s="4" t="str">
        <f>HYPERLINK("http://141.218.60.56/~jnz1568/getInfo.php?workbook=26_25.xlsx&amp;sheet=A0&amp;row=844&amp;col=7&amp;number=0&amp;sourceID=14","0")</f>
        <v>0</v>
      </c>
    </row>
    <row r="845" spans="1:7">
      <c r="A845" s="3">
        <v>26</v>
      </c>
      <c r="B845" s="3">
        <v>25</v>
      </c>
      <c r="C845" s="3">
        <v>113</v>
      </c>
      <c r="D845" s="3">
        <v>66</v>
      </c>
      <c r="E845" s="3">
        <v>4437.327</v>
      </c>
      <c r="F845" s="4" t="str">
        <f>HYPERLINK("http://141.218.60.56/~jnz1568/getInfo.php?workbook=26_25.xlsx&amp;sheet=A0&amp;row=845&amp;col=6&amp;number=51320&amp;sourceID=14","51320")</f>
        <v>51320</v>
      </c>
      <c r="G845" s="4" t="str">
        <f>HYPERLINK("http://141.218.60.56/~jnz1568/getInfo.php?workbook=26_25.xlsx&amp;sheet=A0&amp;row=845&amp;col=7&amp;number=0&amp;sourceID=14","0")</f>
        <v>0</v>
      </c>
    </row>
    <row r="846" spans="1:7">
      <c r="A846" s="3">
        <v>26</v>
      </c>
      <c r="B846" s="3">
        <v>25</v>
      </c>
      <c r="C846" s="3">
        <v>113</v>
      </c>
      <c r="D846" s="3">
        <v>67</v>
      </c>
      <c r="E846" s="3">
        <v>4358.809</v>
      </c>
      <c r="F846" s="4" t="str">
        <f>HYPERLINK("http://141.218.60.56/~jnz1568/getInfo.php?workbook=26_25.xlsx&amp;sheet=A0&amp;row=846&amp;col=6&amp;number=169200&amp;sourceID=14","169200")</f>
        <v>169200</v>
      </c>
      <c r="G846" s="4" t="str">
        <f>HYPERLINK("http://141.218.60.56/~jnz1568/getInfo.php?workbook=26_25.xlsx&amp;sheet=A0&amp;row=846&amp;col=7&amp;number=0&amp;sourceID=14","0")</f>
        <v>0</v>
      </c>
    </row>
    <row r="847" spans="1:7">
      <c r="A847" s="3">
        <v>26</v>
      </c>
      <c r="B847" s="3">
        <v>25</v>
      </c>
      <c r="C847" s="3">
        <v>113</v>
      </c>
      <c r="D847" s="3">
        <v>11</v>
      </c>
      <c r="E847" s="3">
        <v>1571.065</v>
      </c>
      <c r="F847" s="4" t="str">
        <f>HYPERLINK("http://141.218.60.56/~jnz1568/getInfo.php?workbook=26_25.xlsx&amp;sheet=A0&amp;row=847&amp;col=6&amp;number=10960000&amp;sourceID=14","10960000")</f>
        <v>10960000</v>
      </c>
      <c r="G847" s="4" t="str">
        <f>HYPERLINK("http://141.218.60.56/~jnz1568/getInfo.php?workbook=26_25.xlsx&amp;sheet=A0&amp;row=847&amp;col=7&amp;number=0&amp;sourceID=14","0")</f>
        <v>0</v>
      </c>
    </row>
    <row r="848" spans="1:7">
      <c r="A848" s="3">
        <v>26</v>
      </c>
      <c r="B848" s="3">
        <v>25</v>
      </c>
      <c r="C848" s="3">
        <v>113</v>
      </c>
      <c r="D848" s="3">
        <v>12</v>
      </c>
      <c r="E848" s="3">
        <v>1578.219</v>
      </c>
      <c r="F848" s="4" t="str">
        <f>HYPERLINK("http://141.218.60.56/~jnz1568/getInfo.php?workbook=26_25.xlsx&amp;sheet=A0&amp;row=848&amp;col=6&amp;number=5492000&amp;sourceID=14","5492000")</f>
        <v>5492000</v>
      </c>
      <c r="G848" s="4" t="str">
        <f>HYPERLINK("http://141.218.60.56/~jnz1568/getInfo.php?workbook=26_25.xlsx&amp;sheet=A0&amp;row=848&amp;col=7&amp;number=0&amp;sourceID=14","0")</f>
        <v>0</v>
      </c>
    </row>
    <row r="849" spans="1:7">
      <c r="A849" s="3">
        <v>26</v>
      </c>
      <c r="B849" s="3">
        <v>25</v>
      </c>
      <c r="C849" s="3">
        <v>113</v>
      </c>
      <c r="D849" s="3">
        <v>13</v>
      </c>
      <c r="E849" s="3">
        <v>1582.372</v>
      </c>
      <c r="F849" s="4" t="str">
        <f>HYPERLINK("http://141.218.60.56/~jnz1568/getInfo.php?workbook=26_25.xlsx&amp;sheet=A0&amp;row=849&amp;col=6&amp;number=851400&amp;sourceID=14","851400")</f>
        <v>851400</v>
      </c>
      <c r="G849" s="4" t="str">
        <f>HYPERLINK("http://141.218.60.56/~jnz1568/getInfo.php?workbook=26_25.xlsx&amp;sheet=A0&amp;row=849&amp;col=7&amp;number=0&amp;sourceID=14","0")</f>
        <v>0</v>
      </c>
    </row>
    <row r="850" spans="1:7">
      <c r="A850" s="3">
        <v>26</v>
      </c>
      <c r="B850" s="3">
        <v>25</v>
      </c>
      <c r="C850" s="3">
        <v>113</v>
      </c>
      <c r="D850" s="3">
        <v>33</v>
      </c>
      <c r="E850" s="3">
        <v>2459.717</v>
      </c>
      <c r="F850" s="4" t="str">
        <f>HYPERLINK("http://141.218.60.56/~jnz1568/getInfo.php?workbook=26_25.xlsx&amp;sheet=A0&amp;row=850&amp;col=6&amp;number=188600000&amp;sourceID=14","188600000")</f>
        <v>188600000</v>
      </c>
      <c r="G850" s="4" t="str">
        <f>HYPERLINK("http://141.218.60.56/~jnz1568/getInfo.php?workbook=26_25.xlsx&amp;sheet=A0&amp;row=850&amp;col=7&amp;number=0&amp;sourceID=14","0")</f>
        <v>0</v>
      </c>
    </row>
    <row r="851" spans="1:7">
      <c r="A851" s="3">
        <v>26</v>
      </c>
      <c r="B851" s="3">
        <v>25</v>
      </c>
      <c r="C851" s="3">
        <v>113</v>
      </c>
      <c r="D851" s="3">
        <v>34</v>
      </c>
      <c r="E851" s="3">
        <v>2458.296</v>
      </c>
      <c r="F851" s="4" t="str">
        <f>HYPERLINK("http://141.218.60.56/~jnz1568/getInfo.php?workbook=26_25.xlsx&amp;sheet=A0&amp;row=851&amp;col=6&amp;number=95970000&amp;sourceID=14","95970000")</f>
        <v>95970000</v>
      </c>
      <c r="G851" s="4" t="str">
        <f>HYPERLINK("http://141.218.60.56/~jnz1568/getInfo.php?workbook=26_25.xlsx&amp;sheet=A0&amp;row=851&amp;col=7&amp;number=0&amp;sourceID=14","0")</f>
        <v>0</v>
      </c>
    </row>
    <row r="852" spans="1:7">
      <c r="A852" s="3">
        <v>26</v>
      </c>
      <c r="B852" s="3">
        <v>25</v>
      </c>
      <c r="C852" s="3">
        <v>113</v>
      </c>
      <c r="D852" s="3">
        <v>35</v>
      </c>
      <c r="E852" s="3">
        <v>2458.538</v>
      </c>
      <c r="F852" s="4" t="str">
        <f>HYPERLINK("http://141.218.60.56/~jnz1568/getInfo.php?workbook=26_25.xlsx&amp;sheet=A0&amp;row=852&amp;col=6&amp;number=14990000&amp;sourceID=14","14990000")</f>
        <v>14990000</v>
      </c>
      <c r="G852" s="4" t="str">
        <f>HYPERLINK("http://141.218.60.56/~jnz1568/getInfo.php?workbook=26_25.xlsx&amp;sheet=A0&amp;row=852&amp;col=7&amp;number=0&amp;sourceID=14","0")</f>
        <v>0</v>
      </c>
    </row>
    <row r="853" spans="1:7">
      <c r="A853" s="3">
        <v>26</v>
      </c>
      <c r="B853" s="3">
        <v>25</v>
      </c>
      <c r="C853" s="3">
        <v>114</v>
      </c>
      <c r="D853" s="3">
        <v>15</v>
      </c>
      <c r="E853" s="3">
        <v>1708.24</v>
      </c>
      <c r="F853" s="4" t="str">
        <f>HYPERLINK("http://141.218.60.56/~jnz1568/getInfo.php?workbook=26_25.xlsx&amp;sheet=A0&amp;row=853&amp;col=6&amp;number=97510000&amp;sourceID=14","97510000")</f>
        <v>97510000</v>
      </c>
      <c r="G853" s="4" t="str">
        <f>HYPERLINK("http://141.218.60.56/~jnz1568/getInfo.php?workbook=26_25.xlsx&amp;sheet=A0&amp;row=853&amp;col=7&amp;number=0&amp;sourceID=14","0")</f>
        <v>0</v>
      </c>
    </row>
    <row r="854" spans="1:7">
      <c r="A854" s="3">
        <v>26</v>
      </c>
      <c r="B854" s="3">
        <v>25</v>
      </c>
      <c r="C854" s="3">
        <v>114</v>
      </c>
      <c r="D854" s="3">
        <v>16</v>
      </c>
      <c r="E854" s="3">
        <v>1715.026</v>
      </c>
      <c r="F854" s="4" t="str">
        <f>HYPERLINK("http://141.218.60.56/~jnz1568/getInfo.php?workbook=26_25.xlsx&amp;sheet=A0&amp;row=854&amp;col=6&amp;number=19270000&amp;sourceID=14","19270000")</f>
        <v>19270000</v>
      </c>
      <c r="G854" s="4" t="str">
        <f>HYPERLINK("http://141.218.60.56/~jnz1568/getInfo.php?workbook=26_25.xlsx&amp;sheet=A0&amp;row=854&amp;col=7&amp;number=0&amp;sourceID=14","0")</f>
        <v>0</v>
      </c>
    </row>
    <row r="855" spans="1:7">
      <c r="A855" s="3">
        <v>26</v>
      </c>
      <c r="B855" s="3">
        <v>25</v>
      </c>
      <c r="C855" s="3">
        <v>114</v>
      </c>
      <c r="D855" s="3">
        <v>18</v>
      </c>
      <c r="E855" s="3">
        <v>1984.091</v>
      </c>
      <c r="F855" s="4" t="str">
        <f>HYPERLINK("http://141.218.60.56/~jnz1568/getInfo.php?workbook=26_25.xlsx&amp;sheet=A0&amp;row=855&amp;col=6&amp;number=18830000&amp;sourceID=14","18830000")</f>
        <v>18830000</v>
      </c>
      <c r="G855" s="4" t="str">
        <f>HYPERLINK("http://141.218.60.56/~jnz1568/getInfo.php?workbook=26_25.xlsx&amp;sheet=A0&amp;row=855&amp;col=7&amp;number=0&amp;sourceID=14","0")</f>
        <v>0</v>
      </c>
    </row>
    <row r="856" spans="1:7">
      <c r="A856" s="3">
        <v>26</v>
      </c>
      <c r="B856" s="3">
        <v>25</v>
      </c>
      <c r="C856" s="3">
        <v>114</v>
      </c>
      <c r="D856" s="3">
        <v>19</v>
      </c>
      <c r="E856" s="3">
        <v>2007.906</v>
      </c>
      <c r="F856" s="4" t="str">
        <f>HYPERLINK("http://141.218.60.56/~jnz1568/getInfo.php?workbook=26_25.xlsx&amp;sheet=A0&amp;row=856&amp;col=6&amp;number=3634000&amp;sourceID=14","3634000")</f>
        <v>3634000</v>
      </c>
      <c r="G856" s="4" t="str">
        <f>HYPERLINK("http://141.218.60.56/~jnz1568/getInfo.php?workbook=26_25.xlsx&amp;sheet=A0&amp;row=856&amp;col=7&amp;number=0&amp;sourceID=14","0")</f>
        <v>0</v>
      </c>
    </row>
    <row r="857" spans="1:7">
      <c r="A857" s="3">
        <v>26</v>
      </c>
      <c r="B857" s="3">
        <v>25</v>
      </c>
      <c r="C857" s="3">
        <v>114</v>
      </c>
      <c r="D857" s="3">
        <v>66</v>
      </c>
      <c r="E857" s="3">
        <v>4404.114</v>
      </c>
      <c r="F857" s="4" t="str">
        <f>HYPERLINK("http://141.218.60.56/~jnz1568/getInfo.php?workbook=26_25.xlsx&amp;sheet=A0&amp;row=857&amp;col=6&amp;number=328100&amp;sourceID=14","328100")</f>
        <v>328100</v>
      </c>
      <c r="G857" s="4" t="str">
        <f>HYPERLINK("http://141.218.60.56/~jnz1568/getInfo.php?workbook=26_25.xlsx&amp;sheet=A0&amp;row=857&amp;col=7&amp;number=0&amp;sourceID=14","0")</f>
        <v>0</v>
      </c>
    </row>
    <row r="858" spans="1:7">
      <c r="A858" s="3">
        <v>26</v>
      </c>
      <c r="B858" s="3">
        <v>25</v>
      </c>
      <c r="C858" s="3">
        <v>114</v>
      </c>
      <c r="D858" s="3">
        <v>67</v>
      </c>
      <c r="E858" s="3">
        <v>4326.757</v>
      </c>
      <c r="F858" s="4" t="str">
        <f>HYPERLINK("http://141.218.60.56/~jnz1568/getInfo.php?workbook=26_25.xlsx&amp;sheet=A0&amp;row=858&amp;col=6&amp;number=69200&amp;sourceID=14","69200")</f>
        <v>69200</v>
      </c>
      <c r="G858" s="4" t="str">
        <f>HYPERLINK("http://141.218.60.56/~jnz1568/getInfo.php?workbook=26_25.xlsx&amp;sheet=A0&amp;row=858&amp;col=7&amp;number=0&amp;sourceID=14","0")</f>
        <v>0</v>
      </c>
    </row>
    <row r="859" spans="1:7">
      <c r="A859" s="3">
        <v>26</v>
      </c>
      <c r="B859" s="3">
        <v>25</v>
      </c>
      <c r="C859" s="3">
        <v>114</v>
      </c>
      <c r="D859" s="3">
        <v>12</v>
      </c>
      <c r="E859" s="3">
        <v>1573.997</v>
      </c>
      <c r="F859" s="4" t="str">
        <f>HYPERLINK("http://141.218.60.56/~jnz1568/getInfo.php?workbook=26_25.xlsx&amp;sheet=A0&amp;row=859&amp;col=6&amp;number=8651000&amp;sourceID=14","8651000")</f>
        <v>8651000</v>
      </c>
      <c r="G859" s="4" t="str">
        <f>HYPERLINK("http://141.218.60.56/~jnz1568/getInfo.php?workbook=26_25.xlsx&amp;sheet=A0&amp;row=859&amp;col=7&amp;number=0&amp;sourceID=14","0")</f>
        <v>0</v>
      </c>
    </row>
    <row r="860" spans="1:7">
      <c r="A860" s="3">
        <v>26</v>
      </c>
      <c r="B860" s="3">
        <v>25</v>
      </c>
      <c r="C860" s="3">
        <v>114</v>
      </c>
      <c r="D860" s="3">
        <v>13</v>
      </c>
      <c r="E860" s="3">
        <v>1578.128</v>
      </c>
      <c r="F860" s="4" t="str">
        <f>HYPERLINK("http://141.218.60.56/~jnz1568/getInfo.php?workbook=26_25.xlsx&amp;sheet=A0&amp;row=860&amp;col=6&amp;number=8583000&amp;sourceID=14","8583000")</f>
        <v>8583000</v>
      </c>
      <c r="G860" s="4" t="str">
        <f>HYPERLINK("http://141.218.60.56/~jnz1568/getInfo.php?workbook=26_25.xlsx&amp;sheet=A0&amp;row=860&amp;col=7&amp;number=0&amp;sourceID=14","0")</f>
        <v>0</v>
      </c>
    </row>
    <row r="861" spans="1:7">
      <c r="A861" s="3">
        <v>26</v>
      </c>
      <c r="B861" s="3">
        <v>25</v>
      </c>
      <c r="C861" s="3">
        <v>114</v>
      </c>
      <c r="D861" s="3">
        <v>34</v>
      </c>
      <c r="E861" s="3">
        <v>2448.068</v>
      </c>
      <c r="F861" s="4" t="str">
        <f>HYPERLINK("http://141.218.60.56/~jnz1568/getInfo.php?workbook=26_25.xlsx&amp;sheet=A0&amp;row=861&amp;col=6&amp;number=151800000&amp;sourceID=14","151800000")</f>
        <v>151800000</v>
      </c>
      <c r="G861" s="4" t="str">
        <f>HYPERLINK("http://141.218.60.56/~jnz1568/getInfo.php?workbook=26_25.xlsx&amp;sheet=A0&amp;row=861&amp;col=7&amp;number=0&amp;sourceID=14","0")</f>
        <v>0</v>
      </c>
    </row>
    <row r="862" spans="1:7">
      <c r="A862" s="3">
        <v>26</v>
      </c>
      <c r="B862" s="3">
        <v>25</v>
      </c>
      <c r="C862" s="3">
        <v>114</v>
      </c>
      <c r="D862" s="3">
        <v>35</v>
      </c>
      <c r="E862" s="3">
        <v>2448.308</v>
      </c>
      <c r="F862" s="4" t="str">
        <f>HYPERLINK("http://141.218.60.56/~jnz1568/getInfo.php?workbook=26_25.xlsx&amp;sheet=A0&amp;row=862&amp;col=6&amp;number=151800000&amp;sourceID=14","151800000")</f>
        <v>151800000</v>
      </c>
      <c r="G862" s="4" t="str">
        <f>HYPERLINK("http://141.218.60.56/~jnz1568/getInfo.php?workbook=26_25.xlsx&amp;sheet=A0&amp;row=862&amp;col=7&amp;number=0&amp;sourceID=14","0")</f>
        <v>0</v>
      </c>
    </row>
    <row r="863" spans="1:7">
      <c r="A863" s="3">
        <v>26</v>
      </c>
      <c r="B863" s="3">
        <v>25</v>
      </c>
      <c r="C863" s="3">
        <v>115</v>
      </c>
      <c r="D863" s="3">
        <v>14</v>
      </c>
      <c r="E863" s="3">
        <v>1689.832</v>
      </c>
      <c r="F863" s="4" t="str">
        <f>HYPERLINK("http://141.218.60.56/~jnz1568/getInfo.php?workbook=26_25.xlsx&amp;sheet=A0&amp;row=863&amp;col=6&amp;number=49520000&amp;sourceID=14","49520000")</f>
        <v>49520000</v>
      </c>
      <c r="G863" s="4" t="str">
        <f>HYPERLINK("http://141.218.60.56/~jnz1568/getInfo.php?workbook=26_25.xlsx&amp;sheet=A0&amp;row=863&amp;col=7&amp;number=0&amp;sourceID=14","0")</f>
        <v>0</v>
      </c>
    </row>
    <row r="864" spans="1:7">
      <c r="A864" s="3">
        <v>26</v>
      </c>
      <c r="B864" s="3">
        <v>25</v>
      </c>
      <c r="C864" s="3">
        <v>115</v>
      </c>
      <c r="D864" s="3">
        <v>17</v>
      </c>
      <c r="E864" s="3">
        <v>1929.709</v>
      </c>
      <c r="F864" s="4" t="str">
        <f>HYPERLINK("http://141.218.60.56/~jnz1568/getInfo.php?workbook=26_25.xlsx&amp;sheet=A0&amp;row=864&amp;col=6&amp;number=183700&amp;sourceID=14","183700")</f>
        <v>183700</v>
      </c>
      <c r="G864" s="4" t="str">
        <f>HYPERLINK("http://141.218.60.56/~jnz1568/getInfo.php?workbook=26_25.xlsx&amp;sheet=A0&amp;row=864&amp;col=7&amp;number=0&amp;sourceID=14","0")</f>
        <v>0</v>
      </c>
    </row>
    <row r="865" spans="1:7">
      <c r="A865" s="3">
        <v>26</v>
      </c>
      <c r="B865" s="3">
        <v>25</v>
      </c>
      <c r="C865" s="3">
        <v>115</v>
      </c>
      <c r="D865" s="3">
        <v>65</v>
      </c>
      <c r="E865" s="3">
        <v>4456.516</v>
      </c>
      <c r="F865" s="4" t="str">
        <f>HYPERLINK("http://141.218.60.56/~jnz1568/getInfo.php?workbook=26_25.xlsx&amp;sheet=A0&amp;row=865&amp;col=6&amp;number=26310&amp;sourceID=14","26310")</f>
        <v>26310</v>
      </c>
      <c r="G865" s="4" t="str">
        <f>HYPERLINK("http://141.218.60.56/~jnz1568/getInfo.php?workbook=26_25.xlsx&amp;sheet=A0&amp;row=865&amp;col=7&amp;number=0&amp;sourceID=14","0")</f>
        <v>0</v>
      </c>
    </row>
    <row r="866" spans="1:7">
      <c r="A866" s="3">
        <v>26</v>
      </c>
      <c r="B866" s="3">
        <v>25</v>
      </c>
      <c r="C866" s="3">
        <v>115</v>
      </c>
      <c r="D866" s="3">
        <v>10</v>
      </c>
      <c r="E866" s="3">
        <v>1545.677</v>
      </c>
      <c r="F866" s="4" t="str">
        <f>HYPERLINK("http://141.218.60.56/~jnz1568/getInfo.php?workbook=26_25.xlsx&amp;sheet=A0&amp;row=866&amp;col=6&amp;number=704800&amp;sourceID=14","704800")</f>
        <v>704800</v>
      </c>
      <c r="G866" s="4" t="str">
        <f>HYPERLINK("http://141.218.60.56/~jnz1568/getInfo.php?workbook=26_25.xlsx&amp;sheet=A0&amp;row=866&amp;col=7&amp;number=0&amp;sourceID=14","0")</f>
        <v>0</v>
      </c>
    </row>
    <row r="867" spans="1:7">
      <c r="A867" s="3">
        <v>26</v>
      </c>
      <c r="B867" s="3">
        <v>25</v>
      </c>
      <c r="C867" s="3">
        <v>115</v>
      </c>
      <c r="D867" s="3">
        <v>11</v>
      </c>
      <c r="E867" s="3">
        <v>1556.18</v>
      </c>
      <c r="F867" s="4" t="str">
        <f>HYPERLINK("http://141.218.60.56/~jnz1568/getInfo.php?workbook=26_25.xlsx&amp;sheet=A0&amp;row=867&amp;col=6&amp;number=114800&amp;sourceID=14","114800")</f>
        <v>114800</v>
      </c>
      <c r="G867" s="4" t="str">
        <f>HYPERLINK("http://141.218.60.56/~jnz1568/getInfo.php?workbook=26_25.xlsx&amp;sheet=A0&amp;row=867&amp;col=7&amp;number=0&amp;sourceID=14","0")</f>
        <v>0</v>
      </c>
    </row>
    <row r="868" spans="1:7">
      <c r="A868" s="3">
        <v>26</v>
      </c>
      <c r="B868" s="3">
        <v>25</v>
      </c>
      <c r="C868" s="3">
        <v>115</v>
      </c>
      <c r="D868" s="3">
        <v>32</v>
      </c>
      <c r="E868" s="3">
        <v>2429.03</v>
      </c>
      <c r="F868" s="4" t="str">
        <f>HYPERLINK("http://141.218.60.56/~jnz1568/getInfo.php?workbook=26_25.xlsx&amp;sheet=A0&amp;row=868&amp;col=6&amp;number=223100000&amp;sourceID=14","223100000")</f>
        <v>223100000</v>
      </c>
      <c r="G868" s="4" t="str">
        <f>HYPERLINK("http://141.218.60.56/~jnz1568/getInfo.php?workbook=26_25.xlsx&amp;sheet=A0&amp;row=868&amp;col=7&amp;number=0&amp;sourceID=14","0")</f>
        <v>0</v>
      </c>
    </row>
    <row r="869" spans="1:7">
      <c r="A869" s="3">
        <v>26</v>
      </c>
      <c r="B869" s="3">
        <v>25</v>
      </c>
      <c r="C869" s="3">
        <v>115</v>
      </c>
      <c r="D869" s="3">
        <v>33</v>
      </c>
      <c r="E869" s="3">
        <v>2423.424</v>
      </c>
      <c r="F869" s="4" t="str">
        <f>HYPERLINK("http://141.218.60.56/~jnz1568/getInfo.php?workbook=26_25.xlsx&amp;sheet=A0&amp;row=869&amp;col=6&amp;number=37330000&amp;sourceID=14","37330000")</f>
        <v>37330000</v>
      </c>
      <c r="G869" s="4" t="str">
        <f>HYPERLINK("http://141.218.60.56/~jnz1568/getInfo.php?workbook=26_25.xlsx&amp;sheet=A0&amp;row=869&amp;col=7&amp;number=0&amp;sourceID=14","0")</f>
        <v>0</v>
      </c>
    </row>
    <row r="870" spans="1:7">
      <c r="A870" s="3">
        <v>26</v>
      </c>
      <c r="B870" s="3">
        <v>25</v>
      </c>
      <c r="C870" s="3">
        <v>115</v>
      </c>
      <c r="D870" s="3">
        <v>6</v>
      </c>
      <c r="E870" s="3">
        <v>1412.842</v>
      </c>
      <c r="F870" s="4" t="str">
        <f>HYPERLINK("http://141.218.60.56/~jnz1568/getInfo.php?workbook=26_25.xlsx&amp;sheet=A0&amp;row=870&amp;col=6&amp;number=34890000&amp;sourceID=14","34890000")</f>
        <v>34890000</v>
      </c>
      <c r="G870" s="4" t="str">
        <f>HYPERLINK("http://141.218.60.56/~jnz1568/getInfo.php?workbook=26_25.xlsx&amp;sheet=A0&amp;row=870&amp;col=7&amp;number=0&amp;sourceID=14","0")</f>
        <v>0</v>
      </c>
    </row>
    <row r="871" spans="1:7">
      <c r="A871" s="3">
        <v>26</v>
      </c>
      <c r="B871" s="3">
        <v>25</v>
      </c>
      <c r="C871" s="3">
        <v>115</v>
      </c>
      <c r="D871" s="3">
        <v>7</v>
      </c>
      <c r="E871" s="3">
        <v>1424.06</v>
      </c>
      <c r="F871" s="4" t="str">
        <f>HYPERLINK("http://141.218.60.56/~jnz1568/getInfo.php?workbook=26_25.xlsx&amp;sheet=A0&amp;row=871&amp;col=6&amp;number=3884000&amp;sourceID=14","3884000")</f>
        <v>3884000</v>
      </c>
      <c r="G871" s="4" t="str">
        <f>HYPERLINK("http://141.218.60.56/~jnz1568/getInfo.php?workbook=26_25.xlsx&amp;sheet=A0&amp;row=871&amp;col=7&amp;number=0&amp;sourceID=14","0")</f>
        <v>0</v>
      </c>
    </row>
    <row r="872" spans="1:7">
      <c r="A872" s="3">
        <v>26</v>
      </c>
      <c r="B872" s="3">
        <v>25</v>
      </c>
      <c r="C872" s="3">
        <v>115</v>
      </c>
      <c r="D872" s="3">
        <v>8</v>
      </c>
      <c r="E872" s="3">
        <v>1432.379</v>
      </c>
      <c r="F872" s="4" t="str">
        <f>HYPERLINK("http://141.218.60.56/~jnz1568/getInfo.php?workbook=26_25.xlsx&amp;sheet=A0&amp;row=872&amp;col=6&amp;number=194200&amp;sourceID=14","194200")</f>
        <v>194200</v>
      </c>
      <c r="G872" s="4" t="str">
        <f>HYPERLINK("http://141.218.60.56/~jnz1568/getInfo.php?workbook=26_25.xlsx&amp;sheet=A0&amp;row=872&amp;col=7&amp;number=0&amp;sourceID=14","0")</f>
        <v>0</v>
      </c>
    </row>
    <row r="873" spans="1:7">
      <c r="A873" s="3">
        <v>26</v>
      </c>
      <c r="B873" s="3">
        <v>25</v>
      </c>
      <c r="C873" s="3">
        <v>115</v>
      </c>
      <c r="D873" s="3">
        <v>24</v>
      </c>
      <c r="E873" s="3">
        <v>1999.413</v>
      </c>
      <c r="F873" s="4" t="str">
        <f>HYPERLINK("http://141.218.60.56/~jnz1568/getInfo.php?workbook=26_25.xlsx&amp;sheet=A0&amp;row=873&amp;col=6&amp;number=14150000&amp;sourceID=14","14150000")</f>
        <v>14150000</v>
      </c>
      <c r="G873" s="4" t="str">
        <f>HYPERLINK("http://141.218.60.56/~jnz1568/getInfo.php?workbook=26_25.xlsx&amp;sheet=A0&amp;row=873&amp;col=7&amp;number=0&amp;sourceID=14","0")</f>
        <v>0</v>
      </c>
    </row>
    <row r="874" spans="1:7">
      <c r="A874" s="3">
        <v>26</v>
      </c>
      <c r="B874" s="3">
        <v>25</v>
      </c>
      <c r="C874" s="3">
        <v>115</v>
      </c>
      <c r="D874" s="3">
        <v>25</v>
      </c>
      <c r="E874" s="3">
        <v>2006.36</v>
      </c>
      <c r="F874" s="4" t="str">
        <f>HYPERLINK("http://141.218.60.56/~jnz1568/getInfo.php?workbook=26_25.xlsx&amp;sheet=A0&amp;row=874&amp;col=6&amp;number=1597000&amp;sourceID=14","1597000")</f>
        <v>1597000</v>
      </c>
      <c r="G874" s="4" t="str">
        <f>HYPERLINK("http://141.218.60.56/~jnz1568/getInfo.php?workbook=26_25.xlsx&amp;sheet=A0&amp;row=874&amp;col=7&amp;number=0&amp;sourceID=14","0")</f>
        <v>0</v>
      </c>
    </row>
    <row r="875" spans="1:7">
      <c r="A875" s="3">
        <v>26</v>
      </c>
      <c r="B875" s="3">
        <v>25</v>
      </c>
      <c r="C875" s="3">
        <v>115</v>
      </c>
      <c r="D875" s="3">
        <v>26</v>
      </c>
      <c r="E875" s="3">
        <v>2011.566</v>
      </c>
      <c r="F875" s="4" t="str">
        <f>HYPERLINK("http://141.218.60.56/~jnz1568/getInfo.php?workbook=26_25.xlsx&amp;sheet=A0&amp;row=875&amp;col=6&amp;number=80620&amp;sourceID=14","80620")</f>
        <v>80620</v>
      </c>
      <c r="G875" s="4" t="str">
        <f>HYPERLINK("http://141.218.60.56/~jnz1568/getInfo.php?workbook=26_25.xlsx&amp;sheet=A0&amp;row=875&amp;col=7&amp;number=0&amp;sourceID=14","0")</f>
        <v>0</v>
      </c>
    </row>
    <row r="876" spans="1:7">
      <c r="A876" s="3">
        <v>26</v>
      </c>
      <c r="B876" s="3">
        <v>25</v>
      </c>
      <c r="C876" s="3">
        <v>115</v>
      </c>
      <c r="D876" s="3">
        <v>61</v>
      </c>
      <c r="E876" s="3">
        <v>4445.547</v>
      </c>
      <c r="F876" s="4" t="str">
        <f>HYPERLINK("http://141.218.60.56/~jnz1568/getInfo.php?workbook=26_25.xlsx&amp;sheet=A0&amp;row=876&amp;col=6&amp;number=45500&amp;sourceID=14","45500")</f>
        <v>45500</v>
      </c>
      <c r="G876" s="4" t="str">
        <f>HYPERLINK("http://141.218.60.56/~jnz1568/getInfo.php?workbook=26_25.xlsx&amp;sheet=A0&amp;row=876&amp;col=7&amp;number=0&amp;sourceID=14","0")</f>
        <v>0</v>
      </c>
    </row>
    <row r="877" spans="1:7">
      <c r="A877" s="3">
        <v>26</v>
      </c>
      <c r="B877" s="3">
        <v>25</v>
      </c>
      <c r="C877" s="3">
        <v>115</v>
      </c>
      <c r="D877" s="3">
        <v>62</v>
      </c>
      <c r="E877" s="3">
        <v>4451.555</v>
      </c>
      <c r="F877" s="4" t="str">
        <f>HYPERLINK("http://141.218.60.56/~jnz1568/getInfo.php?workbook=26_25.xlsx&amp;sheet=A0&amp;row=877&amp;col=6&amp;number=5166&amp;sourceID=14","5166")</f>
        <v>5166</v>
      </c>
      <c r="G877" s="4" t="str">
        <f>HYPERLINK("http://141.218.60.56/~jnz1568/getInfo.php?workbook=26_25.xlsx&amp;sheet=A0&amp;row=877&amp;col=7&amp;number=0&amp;sourceID=14","0")</f>
        <v>0</v>
      </c>
    </row>
    <row r="878" spans="1:7">
      <c r="A878" s="3">
        <v>26</v>
      </c>
      <c r="B878" s="3">
        <v>25</v>
      </c>
      <c r="C878" s="3">
        <v>116</v>
      </c>
      <c r="D878" s="3">
        <v>14</v>
      </c>
      <c r="E878" s="3">
        <v>1690.758</v>
      </c>
      <c r="F878" s="4" t="str">
        <f>HYPERLINK("http://141.218.60.56/~jnz1568/getInfo.php?workbook=26_25.xlsx&amp;sheet=A0&amp;row=878&amp;col=6&amp;number=14830000&amp;sourceID=14","14830000")</f>
        <v>14830000</v>
      </c>
      <c r="G878" s="4" t="str">
        <f>HYPERLINK("http://141.218.60.56/~jnz1568/getInfo.php?workbook=26_25.xlsx&amp;sheet=A0&amp;row=878&amp;col=7&amp;number=0&amp;sourceID=14","0")</f>
        <v>0</v>
      </c>
    </row>
    <row r="879" spans="1:7">
      <c r="A879" s="3">
        <v>26</v>
      </c>
      <c r="B879" s="3">
        <v>25</v>
      </c>
      <c r="C879" s="3">
        <v>116</v>
      </c>
      <c r="D879" s="3">
        <v>15</v>
      </c>
      <c r="E879" s="3">
        <v>1696.459</v>
      </c>
      <c r="F879" s="4" t="str">
        <f>HYPERLINK("http://141.218.60.56/~jnz1568/getInfo.php?workbook=26_25.xlsx&amp;sheet=A0&amp;row=879&amp;col=6&amp;number=34260000&amp;sourceID=14","34260000")</f>
        <v>34260000</v>
      </c>
      <c r="G879" s="4" t="str">
        <f>HYPERLINK("http://141.218.60.56/~jnz1568/getInfo.php?workbook=26_25.xlsx&amp;sheet=A0&amp;row=879&amp;col=7&amp;number=0&amp;sourceID=14","0")</f>
        <v>0</v>
      </c>
    </row>
    <row r="880" spans="1:7">
      <c r="A880" s="3">
        <v>26</v>
      </c>
      <c r="B880" s="3">
        <v>25</v>
      </c>
      <c r="C880" s="3">
        <v>116</v>
      </c>
      <c r="D880" s="3">
        <v>17</v>
      </c>
      <c r="E880" s="3">
        <v>1930.915</v>
      </c>
      <c r="F880" s="4" t="str">
        <f>HYPERLINK("http://141.218.60.56/~jnz1568/getInfo.php?workbook=26_25.xlsx&amp;sheet=A0&amp;row=880&amp;col=6&amp;number=55010&amp;sourceID=14","55010")</f>
        <v>55010</v>
      </c>
      <c r="G880" s="4" t="str">
        <f>HYPERLINK("http://141.218.60.56/~jnz1568/getInfo.php?workbook=26_25.xlsx&amp;sheet=A0&amp;row=880&amp;col=7&amp;number=0&amp;sourceID=14","0")</f>
        <v>0</v>
      </c>
    </row>
    <row r="881" spans="1:7">
      <c r="A881" s="3">
        <v>26</v>
      </c>
      <c r="B881" s="3">
        <v>25</v>
      </c>
      <c r="C881" s="3">
        <v>116</v>
      </c>
      <c r="D881" s="3">
        <v>18</v>
      </c>
      <c r="E881" s="3">
        <v>1968.216</v>
      </c>
      <c r="F881" s="4" t="str">
        <f>HYPERLINK("http://141.218.60.56/~jnz1568/getInfo.php?workbook=26_25.xlsx&amp;sheet=A0&amp;row=881&amp;col=6&amp;number=121200&amp;sourceID=14","121200")</f>
        <v>121200</v>
      </c>
      <c r="G881" s="4" t="str">
        <f>HYPERLINK("http://141.218.60.56/~jnz1568/getInfo.php?workbook=26_25.xlsx&amp;sheet=A0&amp;row=881&amp;col=7&amp;number=0&amp;sourceID=14","0")</f>
        <v>0</v>
      </c>
    </row>
    <row r="882" spans="1:7">
      <c r="A882" s="3">
        <v>26</v>
      </c>
      <c r="B882" s="3">
        <v>25</v>
      </c>
      <c r="C882" s="3">
        <v>116</v>
      </c>
      <c r="D882" s="3">
        <v>65</v>
      </c>
      <c r="E882" s="3">
        <v>4462.957</v>
      </c>
      <c r="F882" s="4" t="str">
        <f>HYPERLINK("http://141.218.60.56/~jnz1568/getInfo.php?workbook=26_25.xlsx&amp;sheet=A0&amp;row=882&amp;col=6&amp;number=7860&amp;sourceID=14","7860")</f>
        <v>7860</v>
      </c>
      <c r="G882" s="4" t="str">
        <f>HYPERLINK("http://141.218.60.56/~jnz1568/getInfo.php?workbook=26_25.xlsx&amp;sheet=A0&amp;row=882&amp;col=7&amp;number=0&amp;sourceID=14","0")</f>
        <v>0</v>
      </c>
    </row>
    <row r="883" spans="1:7">
      <c r="A883" s="3">
        <v>26</v>
      </c>
      <c r="B883" s="3">
        <v>25</v>
      </c>
      <c r="C883" s="3">
        <v>116</v>
      </c>
      <c r="D883" s="3">
        <v>66</v>
      </c>
      <c r="E883" s="3">
        <v>4326.652</v>
      </c>
      <c r="F883" s="4" t="str">
        <f>HYPERLINK("http://141.218.60.56/~jnz1568/getInfo.php?workbook=26_25.xlsx&amp;sheet=A0&amp;row=883&amp;col=6&amp;number=20130&amp;sourceID=14","20130")</f>
        <v>20130</v>
      </c>
      <c r="G883" s="4" t="str">
        <f>HYPERLINK("http://141.218.60.56/~jnz1568/getInfo.php?workbook=26_25.xlsx&amp;sheet=A0&amp;row=883&amp;col=7&amp;number=0&amp;sourceID=14","0")</f>
        <v>0</v>
      </c>
    </row>
    <row r="884" spans="1:7">
      <c r="A884" s="3">
        <v>26</v>
      </c>
      <c r="B884" s="3">
        <v>25</v>
      </c>
      <c r="C884" s="3">
        <v>116</v>
      </c>
      <c r="D884" s="3">
        <v>10</v>
      </c>
      <c r="E884" s="3">
        <v>1546.451</v>
      </c>
      <c r="F884" s="4" t="str">
        <f>HYPERLINK("http://141.218.60.56/~jnz1568/getInfo.php?workbook=26_25.xlsx&amp;sheet=A0&amp;row=884&amp;col=6&amp;number=155900&amp;sourceID=14","155900")</f>
        <v>155900</v>
      </c>
      <c r="G884" s="4" t="str">
        <f>HYPERLINK("http://141.218.60.56/~jnz1568/getInfo.php?workbook=26_25.xlsx&amp;sheet=A0&amp;row=884&amp;col=7&amp;number=0&amp;sourceID=14","0")</f>
        <v>0</v>
      </c>
    </row>
    <row r="885" spans="1:7">
      <c r="A885" s="3">
        <v>26</v>
      </c>
      <c r="B885" s="3">
        <v>25</v>
      </c>
      <c r="C885" s="3">
        <v>116</v>
      </c>
      <c r="D885" s="3">
        <v>11</v>
      </c>
      <c r="E885" s="3">
        <v>1556.964</v>
      </c>
      <c r="F885" s="4" t="str">
        <f>HYPERLINK("http://141.218.60.56/~jnz1568/getInfo.php?workbook=26_25.xlsx&amp;sheet=A0&amp;row=885&amp;col=6&amp;number=461100&amp;sourceID=14","461100")</f>
        <v>461100</v>
      </c>
      <c r="G885" s="4" t="str">
        <f>HYPERLINK("http://141.218.60.56/~jnz1568/getInfo.php?workbook=26_25.xlsx&amp;sheet=A0&amp;row=885&amp;col=7&amp;number=0&amp;sourceID=14","0")</f>
        <v>0</v>
      </c>
    </row>
    <row r="886" spans="1:7">
      <c r="A886" s="3">
        <v>26</v>
      </c>
      <c r="B886" s="3">
        <v>25</v>
      </c>
      <c r="C886" s="3">
        <v>116</v>
      </c>
      <c r="D886" s="3">
        <v>12</v>
      </c>
      <c r="E886" s="3">
        <v>1563.99</v>
      </c>
      <c r="F886" s="4" t="str">
        <f>HYPERLINK("http://141.218.60.56/~jnz1568/getInfo.php?workbook=26_25.xlsx&amp;sheet=A0&amp;row=886&amp;col=6&amp;number=185100&amp;sourceID=14","185100")</f>
        <v>185100</v>
      </c>
      <c r="G886" s="4" t="str">
        <f>HYPERLINK("http://141.218.60.56/~jnz1568/getInfo.php?workbook=26_25.xlsx&amp;sheet=A0&amp;row=886&amp;col=7&amp;number=0&amp;sourceID=14","0")</f>
        <v>0</v>
      </c>
    </row>
    <row r="887" spans="1:7">
      <c r="A887" s="3">
        <v>26</v>
      </c>
      <c r="B887" s="3">
        <v>25</v>
      </c>
      <c r="C887" s="3">
        <v>116</v>
      </c>
      <c r="D887" s="3">
        <v>32</v>
      </c>
      <c r="E887" s="3">
        <v>2430.942</v>
      </c>
      <c r="F887" s="4" t="str">
        <f>HYPERLINK("http://141.218.60.56/~jnz1568/getInfo.php?workbook=26_25.xlsx&amp;sheet=A0&amp;row=887&amp;col=6&amp;number=49320000&amp;sourceID=14","49320000")</f>
        <v>49320000</v>
      </c>
      <c r="G887" s="4" t="str">
        <f>HYPERLINK("http://141.218.60.56/~jnz1568/getInfo.php?workbook=26_25.xlsx&amp;sheet=A0&amp;row=887&amp;col=7&amp;number=0&amp;sourceID=14","0")</f>
        <v>0</v>
      </c>
    </row>
    <row r="888" spans="1:7">
      <c r="A888" s="3">
        <v>26</v>
      </c>
      <c r="B888" s="3">
        <v>25</v>
      </c>
      <c r="C888" s="3">
        <v>116</v>
      </c>
      <c r="D888" s="3">
        <v>33</v>
      </c>
      <c r="E888" s="3">
        <v>2425.327</v>
      </c>
      <c r="F888" s="4" t="str">
        <f>HYPERLINK("http://141.218.60.56/~jnz1568/getInfo.php?workbook=26_25.xlsx&amp;sheet=A0&amp;row=888&amp;col=6&amp;number=149900000&amp;sourceID=14","149900000")</f>
        <v>149900000</v>
      </c>
      <c r="G888" s="4" t="str">
        <f>HYPERLINK("http://141.218.60.56/~jnz1568/getInfo.php?workbook=26_25.xlsx&amp;sheet=A0&amp;row=888&amp;col=7&amp;number=0&amp;sourceID=14","0")</f>
        <v>0</v>
      </c>
    </row>
    <row r="889" spans="1:7">
      <c r="A889" s="3">
        <v>26</v>
      </c>
      <c r="B889" s="3">
        <v>25</v>
      </c>
      <c r="C889" s="3">
        <v>116</v>
      </c>
      <c r="D889" s="3">
        <v>34</v>
      </c>
      <c r="E889" s="3">
        <v>2423.945</v>
      </c>
      <c r="F889" s="4" t="str">
        <f>HYPERLINK("http://141.218.60.56/~jnz1568/getInfo.php?workbook=26_25.xlsx&amp;sheet=A0&amp;row=889&amp;col=6&amp;number=61100000&amp;sourceID=14","61100000")</f>
        <v>61100000</v>
      </c>
      <c r="G889" s="4" t="str">
        <f>HYPERLINK("http://141.218.60.56/~jnz1568/getInfo.php?workbook=26_25.xlsx&amp;sheet=A0&amp;row=889&amp;col=7&amp;number=0&amp;sourceID=14","0")</f>
        <v>0</v>
      </c>
    </row>
    <row r="890" spans="1:7">
      <c r="A890" s="3">
        <v>26</v>
      </c>
      <c r="B890" s="3">
        <v>25</v>
      </c>
      <c r="C890" s="3">
        <v>116</v>
      </c>
      <c r="D890" s="3">
        <v>7</v>
      </c>
      <c r="E890" s="3">
        <v>1424.717</v>
      </c>
      <c r="F890" s="4" t="str">
        <f>HYPERLINK("http://141.218.60.56/~jnz1568/getInfo.php?workbook=26_25.xlsx&amp;sheet=A0&amp;row=890&amp;col=6&amp;number=31120000&amp;sourceID=14","31120000")</f>
        <v>31120000</v>
      </c>
      <c r="G890" s="4" t="str">
        <f>HYPERLINK("http://141.218.60.56/~jnz1568/getInfo.php?workbook=26_25.xlsx&amp;sheet=A0&amp;row=890&amp;col=7&amp;number=0&amp;sourceID=14","0")</f>
        <v>0</v>
      </c>
    </row>
    <row r="891" spans="1:7">
      <c r="A891" s="3">
        <v>26</v>
      </c>
      <c r="B891" s="3">
        <v>25</v>
      </c>
      <c r="C891" s="3">
        <v>116</v>
      </c>
      <c r="D891" s="3">
        <v>8</v>
      </c>
      <c r="E891" s="3">
        <v>1433.044</v>
      </c>
      <c r="F891" s="4" t="str">
        <f>HYPERLINK("http://141.218.60.56/~jnz1568/getInfo.php?workbook=26_25.xlsx&amp;sheet=A0&amp;row=891&amp;col=6&amp;number=6509000&amp;sourceID=14","6509000")</f>
        <v>6509000</v>
      </c>
      <c r="G891" s="4" t="str">
        <f>HYPERLINK("http://141.218.60.56/~jnz1568/getInfo.php?workbook=26_25.xlsx&amp;sheet=A0&amp;row=891&amp;col=7&amp;number=0&amp;sourceID=14","0")</f>
        <v>0</v>
      </c>
    </row>
    <row r="892" spans="1:7">
      <c r="A892" s="3">
        <v>26</v>
      </c>
      <c r="B892" s="3">
        <v>25</v>
      </c>
      <c r="C892" s="3">
        <v>116</v>
      </c>
      <c r="D892" s="3">
        <v>9</v>
      </c>
      <c r="E892" s="3">
        <v>1438.807</v>
      </c>
      <c r="F892" s="4" t="str">
        <f>HYPERLINK("http://141.218.60.56/~jnz1568/getInfo.php?workbook=26_25.xlsx&amp;sheet=A0&amp;row=892&amp;col=6&amp;number=352400&amp;sourceID=14","352400")</f>
        <v>352400</v>
      </c>
      <c r="G892" s="4" t="str">
        <f>HYPERLINK("http://141.218.60.56/~jnz1568/getInfo.php?workbook=26_25.xlsx&amp;sheet=A0&amp;row=892&amp;col=7&amp;number=0&amp;sourceID=14","0")</f>
        <v>0</v>
      </c>
    </row>
    <row r="893" spans="1:7">
      <c r="A893" s="3">
        <v>26</v>
      </c>
      <c r="B893" s="3">
        <v>25</v>
      </c>
      <c r="C893" s="3">
        <v>116</v>
      </c>
      <c r="D893" s="3">
        <v>25</v>
      </c>
      <c r="E893" s="3">
        <v>2007.664</v>
      </c>
      <c r="F893" s="4" t="str">
        <f>HYPERLINK("http://141.218.60.56/~jnz1568/getInfo.php?workbook=26_25.xlsx&amp;sheet=A0&amp;row=893&amp;col=6&amp;number=12790000&amp;sourceID=14","12790000")</f>
        <v>12790000</v>
      </c>
      <c r="G893" s="4" t="str">
        <f>HYPERLINK("http://141.218.60.56/~jnz1568/getInfo.php?workbook=26_25.xlsx&amp;sheet=A0&amp;row=893&amp;col=7&amp;number=0&amp;sourceID=14","0")</f>
        <v>0</v>
      </c>
    </row>
    <row r="894" spans="1:7">
      <c r="A894" s="3">
        <v>26</v>
      </c>
      <c r="B894" s="3">
        <v>25</v>
      </c>
      <c r="C894" s="3">
        <v>116</v>
      </c>
      <c r="D894" s="3">
        <v>26</v>
      </c>
      <c r="E894" s="3">
        <v>2012.877</v>
      </c>
      <c r="F894" s="4" t="str">
        <f>HYPERLINK("http://141.218.60.56/~jnz1568/getInfo.php?workbook=26_25.xlsx&amp;sheet=A0&amp;row=894&amp;col=6&amp;number=2701000&amp;sourceID=14","2701000")</f>
        <v>2701000</v>
      </c>
      <c r="G894" s="4" t="str">
        <f>HYPERLINK("http://141.218.60.56/~jnz1568/getInfo.php?workbook=26_25.xlsx&amp;sheet=A0&amp;row=894&amp;col=7&amp;number=0&amp;sourceID=14","0")</f>
        <v>0</v>
      </c>
    </row>
    <row r="895" spans="1:7">
      <c r="A895" s="3">
        <v>26</v>
      </c>
      <c r="B895" s="3">
        <v>25</v>
      </c>
      <c r="C895" s="3">
        <v>116</v>
      </c>
      <c r="D895" s="3">
        <v>27</v>
      </c>
      <c r="E895" s="3">
        <v>2016.609</v>
      </c>
      <c r="F895" s="4" t="str">
        <f>HYPERLINK("http://141.218.60.56/~jnz1568/getInfo.php?workbook=26_25.xlsx&amp;sheet=A0&amp;row=895&amp;col=6&amp;number=147200&amp;sourceID=14","147200")</f>
        <v>147200</v>
      </c>
      <c r="G895" s="4" t="str">
        <f>HYPERLINK("http://141.218.60.56/~jnz1568/getInfo.php?workbook=26_25.xlsx&amp;sheet=A0&amp;row=895&amp;col=7&amp;number=0&amp;sourceID=14","0")</f>
        <v>0</v>
      </c>
    </row>
    <row r="896" spans="1:7">
      <c r="A896" s="3">
        <v>26</v>
      </c>
      <c r="B896" s="3">
        <v>25</v>
      </c>
      <c r="C896" s="3">
        <v>116</v>
      </c>
      <c r="D896" s="3">
        <v>62</v>
      </c>
      <c r="E896" s="3">
        <v>4457.981</v>
      </c>
      <c r="F896" s="4" t="str">
        <f>HYPERLINK("http://141.218.60.56/~jnz1568/getInfo.php?workbook=26_25.xlsx&amp;sheet=A0&amp;row=896&amp;col=6&amp;number=41270&amp;sourceID=14","41270")</f>
        <v>41270</v>
      </c>
      <c r="G896" s="4" t="str">
        <f>HYPERLINK("http://141.218.60.56/~jnz1568/getInfo.php?workbook=26_25.xlsx&amp;sheet=A0&amp;row=896&amp;col=7&amp;number=0&amp;sourceID=14","0")</f>
        <v>0</v>
      </c>
    </row>
    <row r="897" spans="1:7">
      <c r="A897" s="3">
        <v>26</v>
      </c>
      <c r="B897" s="3">
        <v>25</v>
      </c>
      <c r="C897" s="3">
        <v>116</v>
      </c>
      <c r="D897" s="3">
        <v>63</v>
      </c>
      <c r="E897" s="3">
        <v>4449.05</v>
      </c>
      <c r="F897" s="4" t="str">
        <f>HYPERLINK("http://141.218.60.56/~jnz1568/getInfo.php?workbook=26_25.xlsx&amp;sheet=A0&amp;row=897&amp;col=6&amp;number=8838&amp;sourceID=14","8838")</f>
        <v>8838</v>
      </c>
      <c r="G897" s="4" t="str">
        <f>HYPERLINK("http://141.218.60.56/~jnz1568/getInfo.php?workbook=26_25.xlsx&amp;sheet=A0&amp;row=897&amp;col=7&amp;number=0&amp;sourceID=14","0")</f>
        <v>0</v>
      </c>
    </row>
    <row r="898" spans="1:7">
      <c r="A898" s="3">
        <v>26</v>
      </c>
      <c r="B898" s="3">
        <v>25</v>
      </c>
      <c r="C898" s="3">
        <v>117</v>
      </c>
      <c r="D898" s="3">
        <v>14</v>
      </c>
      <c r="E898" s="3">
        <v>1693.476</v>
      </c>
      <c r="F898" s="4" t="str">
        <f>HYPERLINK("http://141.218.60.56/~jnz1568/getInfo.php?workbook=26_25.xlsx&amp;sheet=A0&amp;row=898&amp;col=6&amp;number=2460000&amp;sourceID=14","2460000")</f>
        <v>2460000</v>
      </c>
      <c r="G898" s="4" t="str">
        <f>HYPERLINK("http://141.218.60.56/~jnz1568/getInfo.php?workbook=26_25.xlsx&amp;sheet=A0&amp;row=898&amp;col=7&amp;number=0&amp;sourceID=14","0")</f>
        <v>0</v>
      </c>
    </row>
    <row r="899" spans="1:7">
      <c r="A899" s="3">
        <v>26</v>
      </c>
      <c r="B899" s="3">
        <v>25</v>
      </c>
      <c r="C899" s="3">
        <v>117</v>
      </c>
      <c r="D899" s="3">
        <v>15</v>
      </c>
      <c r="E899" s="3">
        <v>1699.196</v>
      </c>
      <c r="F899" s="4" t="str">
        <f>HYPERLINK("http://141.218.60.56/~jnz1568/getInfo.php?workbook=26_25.xlsx&amp;sheet=A0&amp;row=899&amp;col=6&amp;number=25980000&amp;sourceID=14","25980000")</f>
        <v>25980000</v>
      </c>
      <c r="G899" s="4" t="str">
        <f>HYPERLINK("http://141.218.60.56/~jnz1568/getInfo.php?workbook=26_25.xlsx&amp;sheet=A0&amp;row=899&amp;col=7&amp;number=0&amp;sourceID=14","0")</f>
        <v>0</v>
      </c>
    </row>
    <row r="900" spans="1:7">
      <c r="A900" s="3">
        <v>26</v>
      </c>
      <c r="B900" s="3">
        <v>25</v>
      </c>
      <c r="C900" s="3">
        <v>117</v>
      </c>
      <c r="D900" s="3">
        <v>16</v>
      </c>
      <c r="E900" s="3">
        <v>1705.91</v>
      </c>
      <c r="F900" s="4" t="str">
        <f>HYPERLINK("http://141.218.60.56/~jnz1568/getInfo.php?workbook=26_25.xlsx&amp;sheet=A0&amp;row=900&amp;col=6&amp;number=20050000&amp;sourceID=14","20050000")</f>
        <v>20050000</v>
      </c>
      <c r="G900" s="4" t="str">
        <f>HYPERLINK("http://141.218.60.56/~jnz1568/getInfo.php?workbook=26_25.xlsx&amp;sheet=A0&amp;row=900&amp;col=7&amp;number=0&amp;sourceID=14","0")</f>
        <v>0</v>
      </c>
    </row>
    <row r="901" spans="1:7">
      <c r="A901" s="3">
        <v>26</v>
      </c>
      <c r="B901" s="3">
        <v>25</v>
      </c>
      <c r="C901" s="3">
        <v>117</v>
      </c>
      <c r="D901" s="3">
        <v>17</v>
      </c>
      <c r="E901" s="3">
        <v>1934.461</v>
      </c>
      <c r="F901" s="4" t="str">
        <f>HYPERLINK("http://141.218.60.56/~jnz1568/getInfo.php?workbook=26_25.xlsx&amp;sheet=A0&amp;row=901&amp;col=6&amp;number=9118&amp;sourceID=14","9118")</f>
        <v>9118</v>
      </c>
      <c r="G901" s="4" t="str">
        <f>HYPERLINK("http://141.218.60.56/~jnz1568/getInfo.php?workbook=26_25.xlsx&amp;sheet=A0&amp;row=901&amp;col=7&amp;number=0&amp;sourceID=14","0")</f>
        <v>0</v>
      </c>
    </row>
    <row r="902" spans="1:7">
      <c r="A902" s="3">
        <v>26</v>
      </c>
      <c r="B902" s="3">
        <v>25</v>
      </c>
      <c r="C902" s="3">
        <v>117</v>
      </c>
      <c r="D902" s="3">
        <v>18</v>
      </c>
      <c r="E902" s="3">
        <v>1971.9</v>
      </c>
      <c r="F902" s="4" t="str">
        <f>HYPERLINK("http://141.218.60.56/~jnz1568/getInfo.php?workbook=26_25.xlsx&amp;sheet=A0&amp;row=902&amp;col=6&amp;number=91820&amp;sourceID=14","91820")</f>
        <v>91820</v>
      </c>
      <c r="G902" s="4" t="str">
        <f>HYPERLINK("http://141.218.60.56/~jnz1568/getInfo.php?workbook=26_25.xlsx&amp;sheet=A0&amp;row=902&amp;col=7&amp;number=0&amp;sourceID=14","0")</f>
        <v>0</v>
      </c>
    </row>
    <row r="903" spans="1:7">
      <c r="A903" s="3">
        <v>26</v>
      </c>
      <c r="B903" s="3">
        <v>25</v>
      </c>
      <c r="C903" s="3">
        <v>117</v>
      </c>
      <c r="D903" s="3">
        <v>19</v>
      </c>
      <c r="E903" s="3">
        <v>1995.422</v>
      </c>
      <c r="F903" s="4" t="str">
        <f>HYPERLINK("http://141.218.60.56/~jnz1568/getInfo.php?workbook=26_25.xlsx&amp;sheet=A0&amp;row=903&amp;col=6&amp;number=69230&amp;sourceID=14","69230")</f>
        <v>69230</v>
      </c>
      <c r="G903" s="4" t="str">
        <f>HYPERLINK("http://141.218.60.56/~jnz1568/getInfo.php?workbook=26_25.xlsx&amp;sheet=A0&amp;row=903&amp;col=7&amp;number=0&amp;sourceID=14","0")</f>
        <v>0</v>
      </c>
    </row>
    <row r="904" spans="1:7">
      <c r="A904" s="3">
        <v>26</v>
      </c>
      <c r="B904" s="3">
        <v>25</v>
      </c>
      <c r="C904" s="3">
        <v>117</v>
      </c>
      <c r="D904" s="3">
        <v>66</v>
      </c>
      <c r="E904" s="3">
        <v>4344.496</v>
      </c>
      <c r="F904" s="4" t="str">
        <f>HYPERLINK("http://141.218.60.56/~jnz1568/getInfo.php?workbook=26_25.xlsx&amp;sheet=A0&amp;row=904&amp;col=6&amp;number=15150&amp;sourceID=14","15150")</f>
        <v>15150</v>
      </c>
      <c r="G904" s="4" t="str">
        <f>HYPERLINK("http://141.218.60.56/~jnz1568/getInfo.php?workbook=26_25.xlsx&amp;sheet=A0&amp;row=904&amp;col=7&amp;number=0&amp;sourceID=14","0")</f>
        <v>0</v>
      </c>
    </row>
    <row r="905" spans="1:7">
      <c r="A905" s="3">
        <v>26</v>
      </c>
      <c r="B905" s="3">
        <v>25</v>
      </c>
      <c r="C905" s="3">
        <v>117</v>
      </c>
      <c r="D905" s="3">
        <v>67</v>
      </c>
      <c r="E905" s="3">
        <v>4269.201</v>
      </c>
      <c r="F905" s="4" t="str">
        <f>HYPERLINK("http://141.218.60.56/~jnz1568/getInfo.php?workbook=26_25.xlsx&amp;sheet=A0&amp;row=905&amp;col=6&amp;number=12470&amp;sourceID=14","12470")</f>
        <v>12470</v>
      </c>
      <c r="G905" s="4" t="str">
        <f>HYPERLINK("http://141.218.60.56/~jnz1568/getInfo.php?workbook=26_25.xlsx&amp;sheet=A0&amp;row=905&amp;col=7&amp;number=0&amp;sourceID=14","0")</f>
        <v>0</v>
      </c>
    </row>
    <row r="906" spans="1:7">
      <c r="A906" s="3">
        <v>26</v>
      </c>
      <c r="B906" s="3">
        <v>25</v>
      </c>
      <c r="C906" s="3">
        <v>117</v>
      </c>
      <c r="D906" s="3">
        <v>11</v>
      </c>
      <c r="E906" s="3">
        <v>1559.269</v>
      </c>
      <c r="F906" s="4" t="str">
        <f>HYPERLINK("http://141.218.60.56/~jnz1568/getInfo.php?workbook=26_25.xlsx&amp;sheet=A0&amp;row=906&amp;col=6&amp;number=280200&amp;sourceID=14","280200")</f>
        <v>280200</v>
      </c>
      <c r="G906" s="4" t="str">
        <f>HYPERLINK("http://141.218.60.56/~jnz1568/getInfo.php?workbook=26_25.xlsx&amp;sheet=A0&amp;row=906&amp;col=7&amp;number=0&amp;sourceID=14","0")</f>
        <v>0</v>
      </c>
    </row>
    <row r="907" spans="1:7">
      <c r="A907" s="3">
        <v>26</v>
      </c>
      <c r="B907" s="3">
        <v>25</v>
      </c>
      <c r="C907" s="3">
        <v>117</v>
      </c>
      <c r="D907" s="3">
        <v>12</v>
      </c>
      <c r="E907" s="3">
        <v>1566.315</v>
      </c>
      <c r="F907" s="4" t="str">
        <f>HYPERLINK("http://141.218.60.56/~jnz1568/getInfo.php?workbook=26_25.xlsx&amp;sheet=A0&amp;row=907&amp;col=6&amp;number=315900&amp;sourceID=14","315900")</f>
        <v>315900</v>
      </c>
      <c r="G907" s="4" t="str">
        <f>HYPERLINK("http://141.218.60.56/~jnz1568/getInfo.php?workbook=26_25.xlsx&amp;sheet=A0&amp;row=907&amp;col=7&amp;number=0&amp;sourceID=14","0")</f>
        <v>0</v>
      </c>
    </row>
    <row r="908" spans="1:7">
      <c r="A908" s="3">
        <v>26</v>
      </c>
      <c r="B908" s="3">
        <v>25</v>
      </c>
      <c r="C908" s="3">
        <v>117</v>
      </c>
      <c r="D908" s="3">
        <v>13</v>
      </c>
      <c r="E908" s="3">
        <v>1570.406</v>
      </c>
      <c r="F908" s="4" t="str">
        <f>HYPERLINK("http://141.218.60.56/~jnz1568/getInfo.php?workbook=26_25.xlsx&amp;sheet=A0&amp;row=908&amp;col=6&amp;number=195900&amp;sourceID=14","195900")</f>
        <v>195900</v>
      </c>
      <c r="G908" s="4" t="str">
        <f>HYPERLINK("http://141.218.60.56/~jnz1568/getInfo.php?workbook=26_25.xlsx&amp;sheet=A0&amp;row=908&amp;col=7&amp;number=0&amp;sourceID=14","0")</f>
        <v>0</v>
      </c>
    </row>
    <row r="909" spans="1:7">
      <c r="A909" s="3">
        <v>26</v>
      </c>
      <c r="B909" s="3">
        <v>25</v>
      </c>
      <c r="C909" s="3">
        <v>117</v>
      </c>
      <c r="D909" s="3">
        <v>33</v>
      </c>
      <c r="E909" s="3">
        <v>2430.924</v>
      </c>
      <c r="F909" s="4" t="str">
        <f>HYPERLINK("http://141.218.60.56/~jnz1568/getInfo.php?workbook=26_25.xlsx&amp;sheet=A0&amp;row=909&amp;col=6&amp;number=90850000&amp;sourceID=14","90850000")</f>
        <v>90850000</v>
      </c>
      <c r="G909" s="4" t="str">
        <f>HYPERLINK("http://141.218.60.56/~jnz1568/getInfo.php?workbook=26_25.xlsx&amp;sheet=A0&amp;row=909&amp;col=7&amp;number=0&amp;sourceID=14","0")</f>
        <v>0</v>
      </c>
    </row>
    <row r="910" spans="1:7">
      <c r="A910" s="3">
        <v>26</v>
      </c>
      <c r="B910" s="3">
        <v>25</v>
      </c>
      <c r="C910" s="3">
        <v>117</v>
      </c>
      <c r="D910" s="3">
        <v>34</v>
      </c>
      <c r="E910" s="3">
        <v>2429.536</v>
      </c>
      <c r="F910" s="4" t="str">
        <f>HYPERLINK("http://141.218.60.56/~jnz1568/getInfo.php?workbook=26_25.xlsx&amp;sheet=A0&amp;row=910&amp;col=6&amp;number=104000000&amp;sourceID=14","104000000")</f>
        <v>104000000</v>
      </c>
      <c r="G910" s="4" t="str">
        <f>HYPERLINK("http://141.218.60.56/~jnz1568/getInfo.php?workbook=26_25.xlsx&amp;sheet=A0&amp;row=910&amp;col=7&amp;number=0&amp;sourceID=14","0")</f>
        <v>0</v>
      </c>
    </row>
    <row r="911" spans="1:7">
      <c r="A911" s="3">
        <v>26</v>
      </c>
      <c r="B911" s="3">
        <v>25</v>
      </c>
      <c r="C911" s="3">
        <v>117</v>
      </c>
      <c r="D911" s="3">
        <v>35</v>
      </c>
      <c r="E911" s="3">
        <v>2429.773</v>
      </c>
      <c r="F911" s="4" t="str">
        <f>HYPERLINK("http://141.218.60.56/~jnz1568/getInfo.php?workbook=26_25.xlsx&amp;sheet=A0&amp;row=911&amp;col=6&amp;number=64990000&amp;sourceID=14","64990000")</f>
        <v>64990000</v>
      </c>
      <c r="G911" s="4" t="str">
        <f>HYPERLINK("http://141.218.60.56/~jnz1568/getInfo.php?workbook=26_25.xlsx&amp;sheet=A0&amp;row=911&amp;col=7&amp;number=0&amp;sourceID=14","0")</f>
        <v>0</v>
      </c>
    </row>
    <row r="912" spans="1:7">
      <c r="A912" s="3">
        <v>26</v>
      </c>
      <c r="B912" s="3">
        <v>25</v>
      </c>
      <c r="C912" s="3">
        <v>117</v>
      </c>
      <c r="D912" s="3">
        <v>8</v>
      </c>
      <c r="E912" s="3">
        <v>1434.996</v>
      </c>
      <c r="F912" s="4" t="str">
        <f>HYPERLINK("http://141.218.60.56/~jnz1568/getInfo.php?workbook=26_25.xlsx&amp;sheet=A0&amp;row=912&amp;col=6&amp;number=29970000&amp;sourceID=14","29970000")</f>
        <v>29970000</v>
      </c>
      <c r="G912" s="4" t="str">
        <f>HYPERLINK("http://141.218.60.56/~jnz1568/getInfo.php?workbook=26_25.xlsx&amp;sheet=A0&amp;row=912&amp;col=7&amp;number=0&amp;sourceID=14","0")</f>
        <v>0</v>
      </c>
    </row>
    <row r="913" spans="1:7">
      <c r="A913" s="3">
        <v>26</v>
      </c>
      <c r="B913" s="3">
        <v>25</v>
      </c>
      <c r="C913" s="3">
        <v>117</v>
      </c>
      <c r="D913" s="3">
        <v>9</v>
      </c>
      <c r="E913" s="3">
        <v>1440.775</v>
      </c>
      <c r="F913" s="4" t="str">
        <f>HYPERLINK("http://141.218.60.56/~jnz1568/getInfo.php?workbook=26_25.xlsx&amp;sheet=A0&amp;row=913&amp;col=6&amp;number=7370000&amp;sourceID=14","7370000")</f>
        <v>7370000</v>
      </c>
      <c r="G913" s="4" t="str">
        <f>HYPERLINK("http://141.218.60.56/~jnz1568/getInfo.php?workbook=26_25.xlsx&amp;sheet=A0&amp;row=913&amp;col=7&amp;number=0&amp;sourceID=14","0")</f>
        <v>0</v>
      </c>
    </row>
    <row r="914" spans="1:7">
      <c r="A914" s="3">
        <v>26</v>
      </c>
      <c r="B914" s="3">
        <v>25</v>
      </c>
      <c r="C914" s="3">
        <v>117</v>
      </c>
      <c r="D914" s="3">
        <v>26</v>
      </c>
      <c r="E914" s="3">
        <v>2016.731</v>
      </c>
      <c r="F914" s="4" t="str">
        <f>HYPERLINK("http://141.218.60.56/~jnz1568/getInfo.php?workbook=26_25.xlsx&amp;sheet=A0&amp;row=914&amp;col=6&amp;number=12410000&amp;sourceID=14","12410000")</f>
        <v>12410000</v>
      </c>
      <c r="G914" s="4" t="str">
        <f>HYPERLINK("http://141.218.60.56/~jnz1568/getInfo.php?workbook=26_25.xlsx&amp;sheet=A0&amp;row=914&amp;col=7&amp;number=0&amp;sourceID=14","0")</f>
        <v>0</v>
      </c>
    </row>
    <row r="915" spans="1:7">
      <c r="A915" s="3">
        <v>26</v>
      </c>
      <c r="B915" s="3">
        <v>25</v>
      </c>
      <c r="C915" s="3">
        <v>117</v>
      </c>
      <c r="D915" s="3">
        <v>27</v>
      </c>
      <c r="E915" s="3">
        <v>2020.477</v>
      </c>
      <c r="F915" s="4" t="str">
        <f>HYPERLINK("http://141.218.60.56/~jnz1568/getInfo.php?workbook=26_25.xlsx&amp;sheet=A0&amp;row=915&amp;col=6&amp;number=3072000&amp;sourceID=14","3072000")</f>
        <v>3072000</v>
      </c>
      <c r="G915" s="4" t="str">
        <f>HYPERLINK("http://141.218.60.56/~jnz1568/getInfo.php?workbook=26_25.xlsx&amp;sheet=A0&amp;row=915&amp;col=7&amp;number=0&amp;sourceID=14","0")</f>
        <v>0</v>
      </c>
    </row>
    <row r="916" spans="1:7">
      <c r="A916" s="3">
        <v>26</v>
      </c>
      <c r="B916" s="3">
        <v>25</v>
      </c>
      <c r="C916" s="3">
        <v>117</v>
      </c>
      <c r="D916" s="3">
        <v>63</v>
      </c>
      <c r="E916" s="3">
        <v>4467.92</v>
      </c>
      <c r="F916" s="4" t="str">
        <f>HYPERLINK("http://141.218.60.56/~jnz1568/getInfo.php?workbook=26_25.xlsx&amp;sheet=A0&amp;row=916&amp;col=6&amp;number=40340&amp;sourceID=14","40340")</f>
        <v>40340</v>
      </c>
      <c r="G916" s="4" t="str">
        <f>HYPERLINK("http://141.218.60.56/~jnz1568/getInfo.php?workbook=26_25.xlsx&amp;sheet=A0&amp;row=916&amp;col=7&amp;number=0&amp;sourceID=14","0")</f>
        <v>0</v>
      </c>
    </row>
    <row r="917" spans="1:7">
      <c r="A917" s="3">
        <v>26</v>
      </c>
      <c r="B917" s="3">
        <v>25</v>
      </c>
      <c r="C917" s="3">
        <v>117</v>
      </c>
      <c r="D917" s="3">
        <v>64</v>
      </c>
      <c r="E917" s="3">
        <v>4454.61</v>
      </c>
      <c r="F917" s="4" t="str">
        <f>HYPERLINK("http://141.218.60.56/~jnz1568/getInfo.php?workbook=26_25.xlsx&amp;sheet=A0&amp;row=917&amp;col=6&amp;number=10130&amp;sourceID=14","10130")</f>
        <v>10130</v>
      </c>
      <c r="G917" s="4" t="str">
        <f>HYPERLINK("http://141.218.60.56/~jnz1568/getInfo.php?workbook=26_25.xlsx&amp;sheet=A0&amp;row=917&amp;col=7&amp;number=0&amp;sourceID=14","0")</f>
        <v>0</v>
      </c>
    </row>
    <row r="918" spans="1:7">
      <c r="A918" s="3">
        <v>26</v>
      </c>
      <c r="B918" s="3">
        <v>25</v>
      </c>
      <c r="C918" s="3">
        <v>118</v>
      </c>
      <c r="D918" s="3">
        <v>15</v>
      </c>
      <c r="E918" s="3">
        <v>1701.939</v>
      </c>
      <c r="F918" s="4" t="str">
        <f>HYPERLINK("http://141.218.60.56/~jnz1568/getInfo.php?workbook=26_25.xlsx&amp;sheet=A0&amp;row=918&amp;col=6&amp;number=8078000&amp;sourceID=14","8078000")</f>
        <v>8078000</v>
      </c>
      <c r="G918" s="4" t="str">
        <f>HYPERLINK("http://141.218.60.56/~jnz1568/getInfo.php?workbook=26_25.xlsx&amp;sheet=A0&amp;row=918&amp;col=7&amp;number=0&amp;sourceID=14","0")</f>
        <v>0</v>
      </c>
    </row>
    <row r="919" spans="1:7">
      <c r="A919" s="3">
        <v>26</v>
      </c>
      <c r="B919" s="3">
        <v>25</v>
      </c>
      <c r="C919" s="3">
        <v>118</v>
      </c>
      <c r="D919" s="3">
        <v>16</v>
      </c>
      <c r="E919" s="3">
        <v>1708.675</v>
      </c>
      <c r="F919" s="4" t="str">
        <f>HYPERLINK("http://141.218.60.56/~jnz1568/getInfo.php?workbook=26_25.xlsx&amp;sheet=A0&amp;row=919&amp;col=6&amp;number=39920000&amp;sourceID=14","39920000")</f>
        <v>39920000</v>
      </c>
      <c r="G919" s="4" t="str">
        <f>HYPERLINK("http://141.218.60.56/~jnz1568/getInfo.php?workbook=26_25.xlsx&amp;sheet=A0&amp;row=919&amp;col=7&amp;number=0&amp;sourceID=14","0")</f>
        <v>0</v>
      </c>
    </row>
    <row r="920" spans="1:7">
      <c r="A920" s="3">
        <v>26</v>
      </c>
      <c r="B920" s="3">
        <v>25</v>
      </c>
      <c r="C920" s="3">
        <v>118</v>
      </c>
      <c r="D920" s="3">
        <v>18</v>
      </c>
      <c r="E920" s="3">
        <v>1975.595</v>
      </c>
      <c r="F920" s="4" t="str">
        <f>HYPERLINK("http://141.218.60.56/~jnz1568/getInfo.php?workbook=26_25.xlsx&amp;sheet=A0&amp;row=920&amp;col=6&amp;number=28530&amp;sourceID=14","28530")</f>
        <v>28530</v>
      </c>
      <c r="G920" s="4" t="str">
        <f>HYPERLINK("http://141.218.60.56/~jnz1568/getInfo.php?workbook=26_25.xlsx&amp;sheet=A0&amp;row=920&amp;col=7&amp;number=0&amp;sourceID=14","0")</f>
        <v>0</v>
      </c>
    </row>
    <row r="921" spans="1:7">
      <c r="A921" s="3">
        <v>26</v>
      </c>
      <c r="B921" s="3">
        <v>25</v>
      </c>
      <c r="C921" s="3">
        <v>118</v>
      </c>
      <c r="D921" s="3">
        <v>19</v>
      </c>
      <c r="E921" s="3">
        <v>1999.206</v>
      </c>
      <c r="F921" s="4" t="str">
        <f>HYPERLINK("http://141.218.60.56/~jnz1568/getInfo.php?workbook=26_25.xlsx&amp;sheet=A0&amp;row=921&amp;col=6&amp;number=137700&amp;sourceID=14","137700")</f>
        <v>137700</v>
      </c>
      <c r="G921" s="4" t="str">
        <f>HYPERLINK("http://141.218.60.56/~jnz1568/getInfo.php?workbook=26_25.xlsx&amp;sheet=A0&amp;row=921&amp;col=7&amp;number=0&amp;sourceID=14","0")</f>
        <v>0</v>
      </c>
    </row>
    <row r="922" spans="1:7">
      <c r="A922" s="3">
        <v>26</v>
      </c>
      <c r="B922" s="3">
        <v>25</v>
      </c>
      <c r="C922" s="3">
        <v>118</v>
      </c>
      <c r="D922" s="3">
        <v>66</v>
      </c>
      <c r="E922" s="3">
        <v>4362.473</v>
      </c>
      <c r="F922" s="4" t="str">
        <f>HYPERLINK("http://141.218.60.56/~jnz1568/getInfo.php?workbook=26_25.xlsx&amp;sheet=A0&amp;row=922&amp;col=6&amp;number=4675&amp;sourceID=14","4675")</f>
        <v>4675</v>
      </c>
      <c r="G922" s="4" t="str">
        <f>HYPERLINK("http://141.218.60.56/~jnz1568/getInfo.php?workbook=26_25.xlsx&amp;sheet=A0&amp;row=922&amp;col=7&amp;number=0&amp;sourceID=14","0")</f>
        <v>0</v>
      </c>
    </row>
    <row r="923" spans="1:7">
      <c r="A923" s="3">
        <v>26</v>
      </c>
      <c r="B923" s="3">
        <v>25</v>
      </c>
      <c r="C923" s="3">
        <v>118</v>
      </c>
      <c r="D923" s="3">
        <v>67</v>
      </c>
      <c r="E923" s="3">
        <v>4286.559</v>
      </c>
      <c r="F923" s="4" t="str">
        <f>HYPERLINK("http://141.218.60.56/~jnz1568/getInfo.php?workbook=26_25.xlsx&amp;sheet=A0&amp;row=923&amp;col=6&amp;number=24640&amp;sourceID=14","24640")</f>
        <v>24640</v>
      </c>
      <c r="G923" s="4" t="str">
        <f>HYPERLINK("http://141.218.60.56/~jnz1568/getInfo.php?workbook=26_25.xlsx&amp;sheet=A0&amp;row=923&amp;col=7&amp;number=0&amp;sourceID=14","0")</f>
        <v>0</v>
      </c>
    </row>
    <row r="924" spans="1:7">
      <c r="A924" s="3">
        <v>26</v>
      </c>
      <c r="B924" s="3">
        <v>25</v>
      </c>
      <c r="C924" s="3">
        <v>118</v>
      </c>
      <c r="D924" s="3">
        <v>12</v>
      </c>
      <c r="E924" s="3">
        <v>1568.646</v>
      </c>
      <c r="F924" s="4" t="str">
        <f>HYPERLINK("http://141.218.60.56/~jnz1568/getInfo.php?workbook=26_25.xlsx&amp;sheet=A0&amp;row=924&amp;col=6&amp;number=393200&amp;sourceID=14","393200")</f>
        <v>393200</v>
      </c>
      <c r="G924" s="4" t="str">
        <f>HYPERLINK("http://141.218.60.56/~jnz1568/getInfo.php?workbook=26_25.xlsx&amp;sheet=A0&amp;row=924&amp;col=7&amp;number=0&amp;sourceID=14","0")</f>
        <v>0</v>
      </c>
    </row>
    <row r="925" spans="1:7">
      <c r="A925" s="3">
        <v>26</v>
      </c>
      <c r="B925" s="3">
        <v>25</v>
      </c>
      <c r="C925" s="3">
        <v>118</v>
      </c>
      <c r="D925" s="3">
        <v>13</v>
      </c>
      <c r="E925" s="3">
        <v>1572.749</v>
      </c>
      <c r="F925" s="4" t="str">
        <f>HYPERLINK("http://141.218.60.56/~jnz1568/getInfo.php?workbook=26_25.xlsx&amp;sheet=A0&amp;row=925&amp;col=6&amp;number=390100&amp;sourceID=14","390100")</f>
        <v>390100</v>
      </c>
      <c r="G925" s="4" t="str">
        <f>HYPERLINK("http://141.218.60.56/~jnz1568/getInfo.php?workbook=26_25.xlsx&amp;sheet=A0&amp;row=925&amp;col=7&amp;number=0&amp;sourceID=14","0")</f>
        <v>0</v>
      </c>
    </row>
    <row r="926" spans="1:7">
      <c r="A926" s="3">
        <v>26</v>
      </c>
      <c r="B926" s="3">
        <v>25</v>
      </c>
      <c r="C926" s="3">
        <v>118</v>
      </c>
      <c r="D926" s="3">
        <v>34</v>
      </c>
      <c r="E926" s="3">
        <v>2435.148</v>
      </c>
      <c r="F926" s="4" t="str">
        <f>HYPERLINK("http://141.218.60.56/~jnz1568/getInfo.php?workbook=26_25.xlsx&amp;sheet=A0&amp;row=926&amp;col=6&amp;number=129100000&amp;sourceID=14","129100000")</f>
        <v>129100000</v>
      </c>
      <c r="G926" s="4" t="str">
        <f>HYPERLINK("http://141.218.60.56/~jnz1568/getInfo.php?workbook=26_25.xlsx&amp;sheet=A0&amp;row=926&amp;col=7&amp;number=0&amp;sourceID=14","0")</f>
        <v>0</v>
      </c>
    </row>
    <row r="927" spans="1:7">
      <c r="A927" s="3">
        <v>26</v>
      </c>
      <c r="B927" s="3">
        <v>25</v>
      </c>
      <c r="C927" s="3">
        <v>118</v>
      </c>
      <c r="D927" s="3">
        <v>35</v>
      </c>
      <c r="E927" s="3">
        <v>2435.385</v>
      </c>
      <c r="F927" s="4" t="str">
        <f>HYPERLINK("http://141.218.60.56/~jnz1568/getInfo.php?workbook=26_25.xlsx&amp;sheet=A0&amp;row=927&amp;col=6&amp;number=129100000&amp;sourceID=14","129100000")</f>
        <v>129100000</v>
      </c>
      <c r="G927" s="4" t="str">
        <f>HYPERLINK("http://141.218.60.56/~jnz1568/getInfo.php?workbook=26_25.xlsx&amp;sheet=A0&amp;row=927&amp;col=7&amp;number=0&amp;sourceID=14","0")</f>
        <v>0</v>
      </c>
    </row>
    <row r="928" spans="1:7">
      <c r="A928" s="3">
        <v>26</v>
      </c>
      <c r="B928" s="3">
        <v>25</v>
      </c>
      <c r="C928" s="3">
        <v>118</v>
      </c>
      <c r="D928" s="3">
        <v>9</v>
      </c>
      <c r="E928" s="3">
        <v>1442.746</v>
      </c>
      <c r="F928" s="4" t="str">
        <f>HYPERLINK("http://141.218.60.56/~jnz1568/getInfo.php?workbook=26_25.xlsx&amp;sheet=A0&amp;row=928&amp;col=6&amp;number=36700000&amp;sourceID=14","36700000")</f>
        <v>36700000</v>
      </c>
      <c r="G928" s="4" t="str">
        <f>HYPERLINK("http://141.218.60.56/~jnz1568/getInfo.php?workbook=26_25.xlsx&amp;sheet=A0&amp;row=928&amp;col=7&amp;number=0&amp;sourceID=14","0")</f>
        <v>0</v>
      </c>
    </row>
    <row r="929" spans="1:7">
      <c r="A929" s="3">
        <v>26</v>
      </c>
      <c r="B929" s="3">
        <v>25</v>
      </c>
      <c r="C929" s="3">
        <v>118</v>
      </c>
      <c r="D929" s="3">
        <v>27</v>
      </c>
      <c r="E929" s="3">
        <v>2024.357</v>
      </c>
      <c r="F929" s="4" t="str">
        <f>HYPERLINK("http://141.218.60.56/~jnz1568/getInfo.php?workbook=26_25.xlsx&amp;sheet=A0&amp;row=929&amp;col=6&amp;number=15270000&amp;sourceID=14","15270000")</f>
        <v>15270000</v>
      </c>
      <c r="G929" s="4" t="str">
        <f>HYPERLINK("http://141.218.60.56/~jnz1568/getInfo.php?workbook=26_25.xlsx&amp;sheet=A0&amp;row=929&amp;col=7&amp;number=0&amp;sourceID=14","0")</f>
        <v>0</v>
      </c>
    </row>
    <row r="930" spans="1:7">
      <c r="A930" s="3">
        <v>26</v>
      </c>
      <c r="B930" s="3">
        <v>25</v>
      </c>
      <c r="C930" s="3">
        <v>118</v>
      </c>
      <c r="D930" s="3">
        <v>64</v>
      </c>
      <c r="E930" s="3">
        <v>4473.512</v>
      </c>
      <c r="F930" s="4" t="str">
        <f>HYPERLINK("http://141.218.60.56/~jnz1568/getInfo.php?workbook=26_25.xlsx&amp;sheet=A0&amp;row=930&amp;col=6&amp;number=50010&amp;sourceID=14","50010")</f>
        <v>50010</v>
      </c>
      <c r="G930" s="4" t="str">
        <f>HYPERLINK("http://141.218.60.56/~jnz1568/getInfo.php?workbook=26_25.xlsx&amp;sheet=A0&amp;row=930&amp;col=7&amp;number=0&amp;sourceID=14","0")</f>
        <v>0</v>
      </c>
    </row>
    <row r="931" spans="1:7">
      <c r="A931" s="3">
        <v>26</v>
      </c>
      <c r="B931" s="3">
        <v>25</v>
      </c>
      <c r="C931" s="3">
        <v>119</v>
      </c>
      <c r="D931" s="3">
        <v>10</v>
      </c>
      <c r="E931" s="3">
        <v>1545.706</v>
      </c>
      <c r="F931" s="4" t="str">
        <f>HYPERLINK("http://141.218.60.56/~jnz1568/getInfo.php?workbook=26_25.xlsx&amp;sheet=A0&amp;row=931&amp;col=6&amp;number=99050&amp;sourceID=14","99050")</f>
        <v>99050</v>
      </c>
      <c r="G931" s="4" t="str">
        <f>HYPERLINK("http://141.218.60.56/~jnz1568/getInfo.php?workbook=26_25.xlsx&amp;sheet=A0&amp;row=931&amp;col=7&amp;number=0&amp;sourceID=14","0")</f>
        <v>0</v>
      </c>
    </row>
    <row r="932" spans="1:7">
      <c r="A932" s="3">
        <v>26</v>
      </c>
      <c r="B932" s="3">
        <v>25</v>
      </c>
      <c r="C932" s="3">
        <v>119</v>
      </c>
      <c r="D932" s="3">
        <v>32</v>
      </c>
      <c r="E932" s="3">
        <v>2429.102</v>
      </c>
      <c r="F932" s="4" t="str">
        <f>HYPERLINK("http://141.218.60.56/~jnz1568/getInfo.php?workbook=26_25.xlsx&amp;sheet=A0&amp;row=932&amp;col=6&amp;number=273700000&amp;sourceID=14","273700000")</f>
        <v>273700000</v>
      </c>
      <c r="G932" s="4" t="str">
        <f>HYPERLINK("http://141.218.60.56/~jnz1568/getInfo.php?workbook=26_25.xlsx&amp;sheet=A0&amp;row=932&amp;col=7&amp;number=0&amp;sourceID=14","0")</f>
        <v>0</v>
      </c>
    </row>
    <row r="933" spans="1:7">
      <c r="A933" s="3">
        <v>26</v>
      </c>
      <c r="B933" s="3">
        <v>25</v>
      </c>
      <c r="C933" s="3">
        <v>119</v>
      </c>
      <c r="D933" s="3">
        <v>6</v>
      </c>
      <c r="E933" s="3">
        <v>1412.867</v>
      </c>
      <c r="F933" s="4" t="str">
        <f>HYPERLINK("http://141.218.60.56/~jnz1568/getInfo.php?workbook=26_25.xlsx&amp;sheet=A0&amp;row=933&amp;col=6&amp;number=2150000&amp;sourceID=14","2150000")</f>
        <v>2150000</v>
      </c>
      <c r="G933" s="4" t="str">
        <f>HYPERLINK("http://141.218.60.56/~jnz1568/getInfo.php?workbook=26_25.xlsx&amp;sheet=A0&amp;row=933&amp;col=7&amp;number=0&amp;sourceID=14","0")</f>
        <v>0</v>
      </c>
    </row>
    <row r="934" spans="1:7">
      <c r="A934" s="3">
        <v>26</v>
      </c>
      <c r="B934" s="3">
        <v>25</v>
      </c>
      <c r="C934" s="3">
        <v>119</v>
      </c>
      <c r="D934" s="3">
        <v>7</v>
      </c>
      <c r="E934" s="3">
        <v>1424.084</v>
      </c>
      <c r="F934" s="4" t="str">
        <f>HYPERLINK("http://141.218.60.56/~jnz1568/getInfo.php?workbook=26_25.xlsx&amp;sheet=A0&amp;row=934&amp;col=6&amp;number=190000&amp;sourceID=14","190000")</f>
        <v>190000</v>
      </c>
      <c r="G934" s="4" t="str">
        <f>HYPERLINK("http://141.218.60.56/~jnz1568/getInfo.php?workbook=26_25.xlsx&amp;sheet=A0&amp;row=934&amp;col=7&amp;number=0&amp;sourceID=14","0")</f>
        <v>0</v>
      </c>
    </row>
    <row r="935" spans="1:7">
      <c r="A935" s="3">
        <v>26</v>
      </c>
      <c r="B935" s="3">
        <v>25</v>
      </c>
      <c r="C935" s="3">
        <v>119</v>
      </c>
      <c r="D935" s="3">
        <v>24</v>
      </c>
      <c r="E935" s="3">
        <v>1999.462</v>
      </c>
      <c r="F935" s="4" t="str">
        <f>HYPERLINK("http://141.218.60.56/~jnz1568/getInfo.php?workbook=26_25.xlsx&amp;sheet=A0&amp;row=935&amp;col=6&amp;number=3298000&amp;sourceID=14","3298000")</f>
        <v>3298000</v>
      </c>
      <c r="G935" s="4" t="str">
        <f>HYPERLINK("http://141.218.60.56/~jnz1568/getInfo.php?workbook=26_25.xlsx&amp;sheet=A0&amp;row=935&amp;col=7&amp;number=0&amp;sourceID=14","0")</f>
        <v>0</v>
      </c>
    </row>
    <row r="936" spans="1:7">
      <c r="A936" s="3">
        <v>26</v>
      </c>
      <c r="B936" s="3">
        <v>25</v>
      </c>
      <c r="C936" s="3">
        <v>119</v>
      </c>
      <c r="D936" s="3">
        <v>25</v>
      </c>
      <c r="E936" s="3">
        <v>2006.409</v>
      </c>
      <c r="F936" s="4" t="str">
        <f>HYPERLINK("http://141.218.60.56/~jnz1568/getInfo.php?workbook=26_25.xlsx&amp;sheet=A0&amp;row=936&amp;col=6&amp;number=295400&amp;sourceID=14","295400")</f>
        <v>295400</v>
      </c>
      <c r="G936" s="4" t="str">
        <f>HYPERLINK("http://141.218.60.56/~jnz1568/getInfo.php?workbook=26_25.xlsx&amp;sheet=A0&amp;row=936&amp;col=7&amp;number=0&amp;sourceID=14","0")</f>
        <v>0</v>
      </c>
    </row>
    <row r="937" spans="1:7">
      <c r="A937" s="3">
        <v>26</v>
      </c>
      <c r="B937" s="3">
        <v>25</v>
      </c>
      <c r="C937" s="3">
        <v>119</v>
      </c>
      <c r="D937" s="3">
        <v>61</v>
      </c>
      <c r="E937" s="3">
        <v>4445.787</v>
      </c>
      <c r="F937" s="4" t="str">
        <f>HYPERLINK("http://141.218.60.56/~jnz1568/getInfo.php?workbook=26_25.xlsx&amp;sheet=A0&amp;row=937&amp;col=6&amp;number=33110&amp;sourceID=14","33110")</f>
        <v>33110</v>
      </c>
      <c r="G937" s="4" t="str">
        <f>HYPERLINK("http://141.218.60.56/~jnz1568/getInfo.php?workbook=26_25.xlsx&amp;sheet=A0&amp;row=937&amp;col=7&amp;number=0&amp;sourceID=14","0")</f>
        <v>0</v>
      </c>
    </row>
    <row r="938" spans="1:7">
      <c r="A938" s="3">
        <v>26</v>
      </c>
      <c r="B938" s="3">
        <v>25</v>
      </c>
      <c r="C938" s="3">
        <v>119</v>
      </c>
      <c r="D938" s="3">
        <v>62</v>
      </c>
      <c r="E938" s="3">
        <v>4451.796</v>
      </c>
      <c r="F938" s="4" t="str">
        <f>HYPERLINK("http://141.218.60.56/~jnz1568/getInfo.php?workbook=26_25.xlsx&amp;sheet=A0&amp;row=938&amp;col=6&amp;number=2984&amp;sourceID=14","2984")</f>
        <v>2984</v>
      </c>
      <c r="G938" s="4" t="str">
        <f>HYPERLINK("http://141.218.60.56/~jnz1568/getInfo.php?workbook=26_25.xlsx&amp;sheet=A0&amp;row=938&amp;col=7&amp;number=0&amp;sourceID=14","0")</f>
        <v>0</v>
      </c>
    </row>
    <row r="939" spans="1:7">
      <c r="A939" s="3">
        <v>26</v>
      </c>
      <c r="B939" s="3">
        <v>25</v>
      </c>
      <c r="C939" s="3">
        <v>119</v>
      </c>
      <c r="D939" s="3">
        <v>28</v>
      </c>
      <c r="E939" s="3">
        <v>2117.663</v>
      </c>
      <c r="F939" s="4" t="str">
        <f>HYPERLINK("http://141.218.60.56/~jnz1568/getInfo.php?workbook=26_25.xlsx&amp;sheet=A0&amp;row=939&amp;col=6&amp;number=13480000&amp;sourceID=14","13480000")</f>
        <v>13480000</v>
      </c>
      <c r="G939" s="4" t="str">
        <f>HYPERLINK("http://141.218.60.56/~jnz1568/getInfo.php?workbook=26_25.xlsx&amp;sheet=A0&amp;row=939&amp;col=7&amp;number=0&amp;sourceID=14","0")</f>
        <v>0</v>
      </c>
    </row>
    <row r="940" spans="1:7">
      <c r="A940" s="3">
        <v>26</v>
      </c>
      <c r="B940" s="3">
        <v>25</v>
      </c>
      <c r="C940" s="3">
        <v>119</v>
      </c>
      <c r="D940" s="3">
        <v>29</v>
      </c>
      <c r="E940" s="3">
        <v>2134.685</v>
      </c>
      <c r="F940" s="4" t="str">
        <f>HYPERLINK("http://141.218.60.56/~jnz1568/getInfo.php?workbook=26_25.xlsx&amp;sheet=A0&amp;row=940&amp;col=6&amp;number=909000&amp;sourceID=14","909000")</f>
        <v>909000</v>
      </c>
      <c r="G940" s="4" t="str">
        <f>HYPERLINK("http://141.218.60.56/~jnz1568/getInfo.php?workbook=26_25.xlsx&amp;sheet=A0&amp;row=940&amp;col=7&amp;number=0&amp;sourceID=14","0")</f>
        <v>0</v>
      </c>
    </row>
    <row r="941" spans="1:7">
      <c r="A941" s="3">
        <v>26</v>
      </c>
      <c r="B941" s="3">
        <v>25</v>
      </c>
      <c r="C941" s="3">
        <v>119</v>
      </c>
      <c r="D941" s="3">
        <v>30</v>
      </c>
      <c r="E941" s="3">
        <v>2142.749</v>
      </c>
      <c r="F941" s="4" t="str">
        <f>HYPERLINK("http://141.218.60.56/~jnz1568/getInfo.php?workbook=26_25.xlsx&amp;sheet=A0&amp;row=941&amp;col=6&amp;number=26340&amp;sourceID=14","26340")</f>
        <v>26340</v>
      </c>
      <c r="G941" s="4" t="str">
        <f>HYPERLINK("http://141.218.60.56/~jnz1568/getInfo.php?workbook=26_25.xlsx&amp;sheet=A0&amp;row=941&amp;col=7&amp;number=0&amp;sourceID=14","0")</f>
        <v>0</v>
      </c>
    </row>
    <row r="942" spans="1:7">
      <c r="A942" s="3">
        <v>26</v>
      </c>
      <c r="B942" s="3">
        <v>25</v>
      </c>
      <c r="C942" s="3">
        <v>120</v>
      </c>
      <c r="D942" s="3">
        <v>10</v>
      </c>
      <c r="E942" s="3">
        <v>1552.874</v>
      </c>
      <c r="F942" s="4" t="str">
        <f>HYPERLINK("http://141.218.60.56/~jnz1568/getInfo.php?workbook=26_25.xlsx&amp;sheet=A0&amp;row=942&amp;col=6&amp;number=13920&amp;sourceID=14","13920")</f>
        <v>13920</v>
      </c>
      <c r="G942" s="4" t="str">
        <f>HYPERLINK("http://141.218.60.56/~jnz1568/getInfo.php?workbook=26_25.xlsx&amp;sheet=A0&amp;row=942&amp;col=7&amp;number=0&amp;sourceID=14","0")</f>
        <v>0</v>
      </c>
    </row>
    <row r="943" spans="1:7">
      <c r="A943" s="3">
        <v>26</v>
      </c>
      <c r="B943" s="3">
        <v>25</v>
      </c>
      <c r="C943" s="3">
        <v>120</v>
      </c>
      <c r="D943" s="3">
        <v>11</v>
      </c>
      <c r="E943" s="3">
        <v>1563.475</v>
      </c>
      <c r="F943" s="4" t="str">
        <f>HYPERLINK("http://141.218.60.56/~jnz1568/getInfo.php?workbook=26_25.xlsx&amp;sheet=A0&amp;row=943&amp;col=6&amp;number=82070&amp;sourceID=14","82070")</f>
        <v>82070</v>
      </c>
      <c r="G943" s="4" t="str">
        <f>HYPERLINK("http://141.218.60.56/~jnz1568/getInfo.php?workbook=26_25.xlsx&amp;sheet=A0&amp;row=943&amp;col=7&amp;number=0&amp;sourceID=14","0")</f>
        <v>0</v>
      </c>
    </row>
    <row r="944" spans="1:7">
      <c r="A944" s="3">
        <v>26</v>
      </c>
      <c r="B944" s="3">
        <v>25</v>
      </c>
      <c r="C944" s="3">
        <v>120</v>
      </c>
      <c r="D944" s="3">
        <v>32</v>
      </c>
      <c r="E944" s="3">
        <v>2446.851</v>
      </c>
      <c r="F944" s="4" t="str">
        <f>HYPERLINK("http://141.218.60.56/~jnz1568/getInfo.php?workbook=26_25.xlsx&amp;sheet=A0&amp;row=944&amp;col=6&amp;number=38150000&amp;sourceID=14","38150000")</f>
        <v>38150000</v>
      </c>
      <c r="G944" s="4" t="str">
        <f>HYPERLINK("http://141.218.60.56/~jnz1568/getInfo.php?workbook=26_25.xlsx&amp;sheet=A0&amp;row=944&amp;col=7&amp;number=0&amp;sourceID=14","0")</f>
        <v>0</v>
      </c>
    </row>
    <row r="945" spans="1:7">
      <c r="A945" s="3">
        <v>26</v>
      </c>
      <c r="B945" s="3">
        <v>25</v>
      </c>
      <c r="C945" s="3">
        <v>120</v>
      </c>
      <c r="D945" s="3">
        <v>33</v>
      </c>
      <c r="E945" s="3">
        <v>2441.163</v>
      </c>
      <c r="F945" s="4" t="str">
        <f>HYPERLINK("http://141.218.60.56/~jnz1568/getInfo.php?workbook=26_25.xlsx&amp;sheet=A0&amp;row=945&amp;col=6&amp;number=231200000&amp;sourceID=14","231200000")</f>
        <v>231200000</v>
      </c>
      <c r="G945" s="4" t="str">
        <f>HYPERLINK("http://141.218.60.56/~jnz1568/getInfo.php?workbook=26_25.xlsx&amp;sheet=A0&amp;row=945&amp;col=7&amp;number=0&amp;sourceID=14","0")</f>
        <v>0</v>
      </c>
    </row>
    <row r="946" spans="1:7">
      <c r="A946" s="3">
        <v>26</v>
      </c>
      <c r="B946" s="3">
        <v>25</v>
      </c>
      <c r="C946" s="3">
        <v>120</v>
      </c>
      <c r="D946" s="3">
        <v>6</v>
      </c>
      <c r="E946" s="3">
        <v>1418.853</v>
      </c>
      <c r="F946" s="4" t="str">
        <f>HYPERLINK("http://141.218.60.56/~jnz1568/getInfo.php?workbook=26_25.xlsx&amp;sheet=A0&amp;row=946&amp;col=6&amp;number=240200&amp;sourceID=14","240200")</f>
        <v>240200</v>
      </c>
      <c r="G946" s="4" t="str">
        <f>HYPERLINK("http://141.218.60.56/~jnz1568/getInfo.php?workbook=26_25.xlsx&amp;sheet=A0&amp;row=946&amp;col=7&amp;number=0&amp;sourceID=14","0")</f>
        <v>0</v>
      </c>
    </row>
    <row r="947" spans="1:7">
      <c r="A947" s="3">
        <v>26</v>
      </c>
      <c r="B947" s="3">
        <v>25</v>
      </c>
      <c r="C947" s="3">
        <v>120</v>
      </c>
      <c r="D947" s="3">
        <v>7</v>
      </c>
      <c r="E947" s="3">
        <v>1430.166</v>
      </c>
      <c r="F947" s="4" t="str">
        <f>HYPERLINK("http://141.218.60.56/~jnz1568/getInfo.php?workbook=26_25.xlsx&amp;sheet=A0&amp;row=947&amp;col=6&amp;number=1726000&amp;sourceID=14","1726000")</f>
        <v>1726000</v>
      </c>
      <c r="G947" s="4" t="str">
        <f>HYPERLINK("http://141.218.60.56/~jnz1568/getInfo.php?workbook=26_25.xlsx&amp;sheet=A0&amp;row=947&amp;col=7&amp;number=0&amp;sourceID=14","0")</f>
        <v>0</v>
      </c>
    </row>
    <row r="948" spans="1:7">
      <c r="A948" s="3">
        <v>26</v>
      </c>
      <c r="B948" s="3">
        <v>25</v>
      </c>
      <c r="C948" s="3">
        <v>120</v>
      </c>
      <c r="D948" s="3">
        <v>8</v>
      </c>
      <c r="E948" s="3">
        <v>1438.558</v>
      </c>
      <c r="F948" s="4" t="str">
        <f>HYPERLINK("http://141.218.60.56/~jnz1568/getInfo.php?workbook=26_25.xlsx&amp;sheet=A0&amp;row=948&amp;col=6&amp;number=298000&amp;sourceID=14","298000")</f>
        <v>298000</v>
      </c>
      <c r="G948" s="4" t="str">
        <f>HYPERLINK("http://141.218.60.56/~jnz1568/getInfo.php?workbook=26_25.xlsx&amp;sheet=A0&amp;row=948&amp;col=7&amp;number=0&amp;sourceID=14","0")</f>
        <v>0</v>
      </c>
    </row>
    <row r="949" spans="1:7">
      <c r="A949" s="3">
        <v>26</v>
      </c>
      <c r="B949" s="3">
        <v>25</v>
      </c>
      <c r="C949" s="3">
        <v>120</v>
      </c>
      <c r="D949" s="3">
        <v>24</v>
      </c>
      <c r="E949" s="3">
        <v>2011.473</v>
      </c>
      <c r="F949" s="4" t="str">
        <f>HYPERLINK("http://141.218.60.56/~jnz1568/getInfo.php?workbook=26_25.xlsx&amp;sheet=A0&amp;row=949&amp;col=6&amp;number=366400&amp;sourceID=14","366400")</f>
        <v>366400</v>
      </c>
      <c r="G949" s="4" t="str">
        <f>HYPERLINK("http://141.218.60.56/~jnz1568/getInfo.php?workbook=26_25.xlsx&amp;sheet=A0&amp;row=949&amp;col=7&amp;number=0&amp;sourceID=14","0")</f>
        <v>0</v>
      </c>
    </row>
    <row r="950" spans="1:7">
      <c r="A950" s="3">
        <v>26</v>
      </c>
      <c r="B950" s="3">
        <v>25</v>
      </c>
      <c r="C950" s="3">
        <v>120</v>
      </c>
      <c r="D950" s="3">
        <v>25</v>
      </c>
      <c r="E950" s="3">
        <v>2018.503</v>
      </c>
      <c r="F950" s="4" t="str">
        <f>HYPERLINK("http://141.218.60.56/~jnz1568/getInfo.php?workbook=26_25.xlsx&amp;sheet=A0&amp;row=950&amp;col=6&amp;number=2670000&amp;sourceID=14","2670000")</f>
        <v>2670000</v>
      </c>
      <c r="G950" s="4" t="str">
        <f>HYPERLINK("http://141.218.60.56/~jnz1568/getInfo.php?workbook=26_25.xlsx&amp;sheet=A0&amp;row=950&amp;col=7&amp;number=0&amp;sourceID=14","0")</f>
        <v>0</v>
      </c>
    </row>
    <row r="951" spans="1:7">
      <c r="A951" s="3">
        <v>26</v>
      </c>
      <c r="B951" s="3">
        <v>25</v>
      </c>
      <c r="C951" s="3">
        <v>120</v>
      </c>
      <c r="D951" s="3">
        <v>26</v>
      </c>
      <c r="E951" s="3">
        <v>2023.773</v>
      </c>
      <c r="F951" s="4" t="str">
        <f>HYPERLINK("http://141.218.60.56/~jnz1568/getInfo.php?workbook=26_25.xlsx&amp;sheet=A0&amp;row=951&amp;col=6&amp;number=465200&amp;sourceID=14","465200")</f>
        <v>465200</v>
      </c>
      <c r="G951" s="4" t="str">
        <f>HYPERLINK("http://141.218.60.56/~jnz1568/getInfo.php?workbook=26_25.xlsx&amp;sheet=A0&amp;row=951&amp;col=7&amp;number=0&amp;sourceID=14","0")</f>
        <v>0</v>
      </c>
    </row>
    <row r="952" spans="1:7">
      <c r="A952" s="3">
        <v>26</v>
      </c>
      <c r="B952" s="3">
        <v>25</v>
      </c>
      <c r="C952" s="3">
        <v>120</v>
      </c>
      <c r="D952" s="3">
        <v>61</v>
      </c>
      <c r="E952" s="3">
        <v>4505.606</v>
      </c>
      <c r="F952" s="4" t="str">
        <f>HYPERLINK("http://141.218.60.56/~jnz1568/getInfo.php?workbook=26_25.xlsx&amp;sheet=A0&amp;row=952&amp;col=6&amp;number=3598&amp;sourceID=14","3598")</f>
        <v>3598</v>
      </c>
      <c r="G952" s="4" t="str">
        <f>HYPERLINK("http://141.218.60.56/~jnz1568/getInfo.php?workbook=26_25.xlsx&amp;sheet=A0&amp;row=952&amp;col=7&amp;number=0&amp;sourceID=14","0")</f>
        <v>0</v>
      </c>
    </row>
    <row r="953" spans="1:7">
      <c r="A953" s="3">
        <v>26</v>
      </c>
      <c r="B953" s="3">
        <v>25</v>
      </c>
      <c r="C953" s="3">
        <v>120</v>
      </c>
      <c r="D953" s="3">
        <v>62</v>
      </c>
      <c r="E953" s="3">
        <v>4511.778</v>
      </c>
      <c r="F953" s="4" t="str">
        <f>HYPERLINK("http://141.218.60.56/~jnz1568/getInfo.php?workbook=26_25.xlsx&amp;sheet=A0&amp;row=953&amp;col=6&amp;number=26380&amp;sourceID=14","26380")</f>
        <v>26380</v>
      </c>
      <c r="G953" s="4" t="str">
        <f>HYPERLINK("http://141.218.60.56/~jnz1568/getInfo.php?workbook=26_25.xlsx&amp;sheet=A0&amp;row=953&amp;col=7&amp;number=0&amp;sourceID=14","0")</f>
        <v>0</v>
      </c>
    </row>
    <row r="954" spans="1:7">
      <c r="A954" s="3">
        <v>26</v>
      </c>
      <c r="B954" s="3">
        <v>25</v>
      </c>
      <c r="C954" s="3">
        <v>120</v>
      </c>
      <c r="D954" s="3">
        <v>63</v>
      </c>
      <c r="E954" s="3">
        <v>4502.631</v>
      </c>
      <c r="F954" s="4" t="str">
        <f>HYPERLINK("http://141.218.60.56/~jnz1568/getInfo.php?workbook=26_25.xlsx&amp;sheet=A0&amp;row=954&amp;col=6&amp;number=4663&amp;sourceID=14","4663")</f>
        <v>4663</v>
      </c>
      <c r="G954" s="4" t="str">
        <f>HYPERLINK("http://141.218.60.56/~jnz1568/getInfo.php?workbook=26_25.xlsx&amp;sheet=A0&amp;row=954&amp;col=7&amp;number=0&amp;sourceID=14","0")</f>
        <v>0</v>
      </c>
    </row>
    <row r="955" spans="1:7">
      <c r="A955" s="3">
        <v>26</v>
      </c>
      <c r="B955" s="3">
        <v>25</v>
      </c>
      <c r="C955" s="3">
        <v>120</v>
      </c>
      <c r="D955" s="3">
        <v>29</v>
      </c>
      <c r="E955" s="3">
        <v>2148.38</v>
      </c>
      <c r="F955" s="4" t="str">
        <f>HYPERLINK("http://141.218.60.56/~jnz1568/getInfo.php?workbook=26_25.xlsx&amp;sheet=A0&amp;row=955&amp;col=6&amp;number=12320000&amp;sourceID=14","12320000")</f>
        <v>12320000</v>
      </c>
      <c r="G955" s="4" t="str">
        <f>HYPERLINK("http://141.218.60.56/~jnz1568/getInfo.php?workbook=26_25.xlsx&amp;sheet=A0&amp;row=955&amp;col=7&amp;number=0&amp;sourceID=14","0")</f>
        <v>0</v>
      </c>
    </row>
    <row r="956" spans="1:7">
      <c r="A956" s="3">
        <v>26</v>
      </c>
      <c r="B956" s="3">
        <v>25</v>
      </c>
      <c r="C956" s="3">
        <v>120</v>
      </c>
      <c r="D956" s="3">
        <v>30</v>
      </c>
      <c r="E956" s="3">
        <v>2156.548</v>
      </c>
      <c r="F956" s="4" t="str">
        <f>HYPERLINK("http://141.218.60.56/~jnz1568/getInfo.php?workbook=26_25.xlsx&amp;sheet=A0&amp;row=956&amp;col=6&amp;number=1444000&amp;sourceID=14","1444000")</f>
        <v>1444000</v>
      </c>
      <c r="G956" s="4" t="str">
        <f>HYPERLINK("http://141.218.60.56/~jnz1568/getInfo.php?workbook=26_25.xlsx&amp;sheet=A0&amp;row=956&amp;col=7&amp;number=0&amp;sourceID=14","0")</f>
        <v>0</v>
      </c>
    </row>
    <row r="957" spans="1:7">
      <c r="A957" s="3">
        <v>26</v>
      </c>
      <c r="B957" s="3">
        <v>25</v>
      </c>
      <c r="C957" s="3">
        <v>120</v>
      </c>
      <c r="D957" s="3">
        <v>31</v>
      </c>
      <c r="E957" s="3">
        <v>2159.986</v>
      </c>
      <c r="F957" s="4" t="str">
        <f>HYPERLINK("http://141.218.60.56/~jnz1568/getInfo.php?workbook=26_25.xlsx&amp;sheet=A0&amp;row=957&amp;col=6&amp;number=39710&amp;sourceID=14","39710")</f>
        <v>39710</v>
      </c>
      <c r="G957" s="4" t="str">
        <f>HYPERLINK("http://141.218.60.56/~jnz1568/getInfo.php?workbook=26_25.xlsx&amp;sheet=A0&amp;row=957&amp;col=7&amp;number=0&amp;sourceID=14","0")</f>
        <v>0</v>
      </c>
    </row>
    <row r="958" spans="1:7">
      <c r="A958" s="3">
        <v>26</v>
      </c>
      <c r="B958" s="3">
        <v>25</v>
      </c>
      <c r="C958" s="3">
        <v>121</v>
      </c>
      <c r="D958" s="3">
        <v>11</v>
      </c>
      <c r="E958" s="3">
        <v>1566.255</v>
      </c>
      <c r="F958" s="4" t="str">
        <f>HYPERLINK("http://141.218.60.56/~jnz1568/getInfo.php?workbook=26_25.xlsx&amp;sheet=A0&amp;row=958&amp;col=6&amp;number=23170&amp;sourceID=14","23170")</f>
        <v>23170</v>
      </c>
      <c r="G958" s="4" t="str">
        <f>HYPERLINK("http://141.218.60.56/~jnz1568/getInfo.php?workbook=26_25.xlsx&amp;sheet=A0&amp;row=958&amp;col=7&amp;number=0&amp;sourceID=14","0")</f>
        <v>0</v>
      </c>
    </row>
    <row r="959" spans="1:7">
      <c r="A959" s="3">
        <v>26</v>
      </c>
      <c r="B959" s="3">
        <v>25</v>
      </c>
      <c r="C959" s="3">
        <v>121</v>
      </c>
      <c r="D959" s="3">
        <v>12</v>
      </c>
      <c r="E959" s="3">
        <v>1573.365</v>
      </c>
      <c r="F959" s="4" t="str">
        <f>HYPERLINK("http://141.218.60.56/~jnz1568/getInfo.php?workbook=26_25.xlsx&amp;sheet=A0&amp;row=959&amp;col=6&amp;number=70440&amp;sourceID=14","70440")</f>
        <v>70440</v>
      </c>
      <c r="G959" s="4" t="str">
        <f>HYPERLINK("http://141.218.60.56/~jnz1568/getInfo.php?workbook=26_25.xlsx&amp;sheet=A0&amp;row=959&amp;col=7&amp;number=0&amp;sourceID=14","0")</f>
        <v>0</v>
      </c>
    </row>
    <row r="960" spans="1:7">
      <c r="A960" s="3">
        <v>26</v>
      </c>
      <c r="B960" s="3">
        <v>25</v>
      </c>
      <c r="C960" s="3">
        <v>121</v>
      </c>
      <c r="D960" s="3">
        <v>32</v>
      </c>
      <c r="E960" s="3">
        <v>2453.666</v>
      </c>
      <c r="F960" s="4" t="str">
        <f>HYPERLINK("http://141.218.60.56/~jnz1568/getInfo.php?workbook=26_25.xlsx&amp;sheet=A0&amp;row=960&amp;col=6&amp;number=2567000&amp;sourceID=14","2567000")</f>
        <v>2567000</v>
      </c>
      <c r="G960" s="4" t="str">
        <f>HYPERLINK("http://141.218.60.56/~jnz1568/getInfo.php?workbook=26_25.xlsx&amp;sheet=A0&amp;row=960&amp;col=7&amp;number=0&amp;sourceID=14","0")</f>
        <v>0</v>
      </c>
    </row>
    <row r="961" spans="1:7">
      <c r="A961" s="3">
        <v>26</v>
      </c>
      <c r="B961" s="3">
        <v>25</v>
      </c>
      <c r="C961" s="3">
        <v>121</v>
      </c>
      <c r="D961" s="3">
        <v>33</v>
      </c>
      <c r="E961" s="3">
        <v>2447.946</v>
      </c>
      <c r="F961" s="4" t="str">
        <f>HYPERLINK("http://141.218.60.56/~jnz1568/getInfo.php?workbook=26_25.xlsx&amp;sheet=A0&amp;row=961&amp;col=6&amp;number=65070000&amp;sourceID=14","65070000")</f>
        <v>65070000</v>
      </c>
      <c r="G961" s="4" t="str">
        <f>HYPERLINK("http://141.218.60.56/~jnz1568/getInfo.php?workbook=26_25.xlsx&amp;sheet=A0&amp;row=961&amp;col=7&amp;number=0&amp;sourceID=14","0")</f>
        <v>0</v>
      </c>
    </row>
    <row r="962" spans="1:7">
      <c r="A962" s="3">
        <v>26</v>
      </c>
      <c r="B962" s="3">
        <v>25</v>
      </c>
      <c r="C962" s="3">
        <v>121</v>
      </c>
      <c r="D962" s="3">
        <v>34</v>
      </c>
      <c r="E962" s="3">
        <v>2446.538</v>
      </c>
      <c r="F962" s="4" t="str">
        <f>HYPERLINK("http://141.218.60.56/~jnz1568/getInfo.php?workbook=26_25.xlsx&amp;sheet=A0&amp;row=962&amp;col=6&amp;number=200900000&amp;sourceID=14","200900000")</f>
        <v>200900000</v>
      </c>
      <c r="G962" s="4" t="str">
        <f>HYPERLINK("http://141.218.60.56/~jnz1568/getInfo.php?workbook=26_25.xlsx&amp;sheet=A0&amp;row=962&amp;col=7&amp;number=0&amp;sourceID=14","0")</f>
        <v>0</v>
      </c>
    </row>
    <row r="963" spans="1:7">
      <c r="A963" s="3">
        <v>26</v>
      </c>
      <c r="B963" s="3">
        <v>25</v>
      </c>
      <c r="C963" s="3">
        <v>121</v>
      </c>
      <c r="D963" s="3">
        <v>7</v>
      </c>
      <c r="E963" s="3">
        <v>1432.492</v>
      </c>
      <c r="F963" s="4" t="str">
        <f>HYPERLINK("http://141.218.60.56/~jnz1568/getInfo.php?workbook=26_25.xlsx&amp;sheet=A0&amp;row=963&amp;col=6&amp;number=402400&amp;sourceID=14","402400")</f>
        <v>402400</v>
      </c>
      <c r="G963" s="4" t="str">
        <f>HYPERLINK("http://141.218.60.56/~jnz1568/getInfo.php?workbook=26_25.xlsx&amp;sheet=A0&amp;row=963&amp;col=7&amp;number=0&amp;sourceID=14","0")</f>
        <v>0</v>
      </c>
    </row>
    <row r="964" spans="1:7">
      <c r="A964" s="3">
        <v>26</v>
      </c>
      <c r="B964" s="3">
        <v>25</v>
      </c>
      <c r="C964" s="3">
        <v>121</v>
      </c>
      <c r="D964" s="3">
        <v>8</v>
      </c>
      <c r="E964" s="3">
        <v>1440.911</v>
      </c>
      <c r="F964" s="4" t="str">
        <f>HYPERLINK("http://141.218.60.56/~jnz1568/getInfo.php?workbook=26_25.xlsx&amp;sheet=A0&amp;row=964&amp;col=6&amp;number=1523000&amp;sourceID=14","1523000")</f>
        <v>1523000</v>
      </c>
      <c r="G964" s="4" t="str">
        <f>HYPERLINK("http://141.218.60.56/~jnz1568/getInfo.php?workbook=26_25.xlsx&amp;sheet=A0&amp;row=964&amp;col=7&amp;number=0&amp;sourceID=14","0")</f>
        <v>0</v>
      </c>
    </row>
    <row r="965" spans="1:7">
      <c r="A965" s="3">
        <v>26</v>
      </c>
      <c r="B965" s="3">
        <v>25</v>
      </c>
      <c r="C965" s="3">
        <v>121</v>
      </c>
      <c r="D965" s="3">
        <v>9</v>
      </c>
      <c r="E965" s="3">
        <v>1446.737</v>
      </c>
      <c r="F965" s="4" t="str">
        <f>HYPERLINK("http://141.218.60.56/~jnz1568/getInfo.php?workbook=26_25.xlsx&amp;sheet=A0&amp;row=965&amp;col=6&amp;number=291700&amp;sourceID=14","291700")</f>
        <v>291700</v>
      </c>
      <c r="G965" s="4" t="str">
        <f>HYPERLINK("http://141.218.60.56/~jnz1568/getInfo.php?workbook=26_25.xlsx&amp;sheet=A0&amp;row=965&amp;col=7&amp;number=0&amp;sourceID=14","0")</f>
        <v>0</v>
      </c>
    </row>
    <row r="966" spans="1:7">
      <c r="A966" s="3">
        <v>26</v>
      </c>
      <c r="B966" s="3">
        <v>25</v>
      </c>
      <c r="C966" s="3">
        <v>121</v>
      </c>
      <c r="D966" s="3">
        <v>25</v>
      </c>
      <c r="E966" s="3">
        <v>2023.138</v>
      </c>
      <c r="F966" s="4" t="str">
        <f>HYPERLINK("http://141.218.60.56/~jnz1568/getInfo.php?workbook=26_25.xlsx&amp;sheet=A0&amp;row=966&amp;col=6&amp;number=620900&amp;sourceID=14","620900")</f>
        <v>620900</v>
      </c>
      <c r="G966" s="4" t="str">
        <f>HYPERLINK("http://141.218.60.56/~jnz1568/getInfo.php?workbook=26_25.xlsx&amp;sheet=A0&amp;row=966&amp;col=7&amp;number=0&amp;sourceID=14","0")</f>
        <v>0</v>
      </c>
    </row>
    <row r="967" spans="1:7">
      <c r="A967" s="3">
        <v>26</v>
      </c>
      <c r="B967" s="3">
        <v>25</v>
      </c>
      <c r="C967" s="3">
        <v>121</v>
      </c>
      <c r="D967" s="3">
        <v>26</v>
      </c>
      <c r="E967" s="3">
        <v>2028.432</v>
      </c>
      <c r="F967" s="4" t="str">
        <f>HYPERLINK("http://141.218.60.56/~jnz1568/getInfo.php?workbook=26_25.xlsx&amp;sheet=A0&amp;row=967&amp;col=6&amp;number=2374000&amp;sourceID=14","2374000")</f>
        <v>2374000</v>
      </c>
      <c r="G967" s="4" t="str">
        <f>HYPERLINK("http://141.218.60.56/~jnz1568/getInfo.php?workbook=26_25.xlsx&amp;sheet=A0&amp;row=967&amp;col=7&amp;number=0&amp;sourceID=14","0")</f>
        <v>0</v>
      </c>
    </row>
    <row r="968" spans="1:7">
      <c r="A968" s="3">
        <v>26</v>
      </c>
      <c r="B968" s="3">
        <v>25</v>
      </c>
      <c r="C968" s="3">
        <v>121</v>
      </c>
      <c r="D968" s="3">
        <v>27</v>
      </c>
      <c r="E968" s="3">
        <v>2032.222</v>
      </c>
      <c r="F968" s="4" t="str">
        <f>HYPERLINK("http://141.218.60.56/~jnz1568/getInfo.php?workbook=26_25.xlsx&amp;sheet=A0&amp;row=968&amp;col=6&amp;number=457400&amp;sourceID=14","457400")</f>
        <v>457400</v>
      </c>
      <c r="G968" s="4" t="str">
        <f>HYPERLINK("http://141.218.60.56/~jnz1568/getInfo.php?workbook=26_25.xlsx&amp;sheet=A0&amp;row=968&amp;col=7&amp;number=0&amp;sourceID=14","0")</f>
        <v>0</v>
      </c>
    </row>
    <row r="969" spans="1:7">
      <c r="A969" s="3">
        <v>26</v>
      </c>
      <c r="B969" s="3">
        <v>25</v>
      </c>
      <c r="C969" s="3">
        <v>121</v>
      </c>
      <c r="D969" s="3">
        <v>62</v>
      </c>
      <c r="E969" s="3">
        <v>4535.003</v>
      </c>
      <c r="F969" s="4" t="str">
        <f>HYPERLINK("http://141.218.60.56/~jnz1568/getInfo.php?workbook=26_25.xlsx&amp;sheet=A0&amp;row=969&amp;col=6&amp;number=6084&amp;sourceID=14","6084")</f>
        <v>6084</v>
      </c>
      <c r="G969" s="4" t="str">
        <f>HYPERLINK("http://141.218.60.56/~jnz1568/getInfo.php?workbook=26_25.xlsx&amp;sheet=A0&amp;row=969&amp;col=7&amp;number=0&amp;sourceID=14","0")</f>
        <v>0</v>
      </c>
    </row>
    <row r="970" spans="1:7">
      <c r="A970" s="3">
        <v>26</v>
      </c>
      <c r="B970" s="3">
        <v>25</v>
      </c>
      <c r="C970" s="3">
        <v>121</v>
      </c>
      <c r="D970" s="3">
        <v>63</v>
      </c>
      <c r="E970" s="3">
        <v>4525.761</v>
      </c>
      <c r="F970" s="4" t="str">
        <f>HYPERLINK("http://141.218.60.56/~jnz1568/getInfo.php?workbook=26_25.xlsx&amp;sheet=A0&amp;row=970&amp;col=6&amp;number=23590&amp;sourceID=14","23590")</f>
        <v>23590</v>
      </c>
      <c r="G970" s="4" t="str">
        <f>HYPERLINK("http://141.218.60.56/~jnz1568/getInfo.php?workbook=26_25.xlsx&amp;sheet=A0&amp;row=970&amp;col=7&amp;number=0&amp;sourceID=14","0")</f>
        <v>0</v>
      </c>
    </row>
    <row r="971" spans="1:7">
      <c r="A971" s="3">
        <v>26</v>
      </c>
      <c r="B971" s="3">
        <v>25</v>
      </c>
      <c r="C971" s="3">
        <v>121</v>
      </c>
      <c r="D971" s="3">
        <v>64</v>
      </c>
      <c r="E971" s="3">
        <v>4512.105</v>
      </c>
      <c r="F971" s="4" t="str">
        <f>HYPERLINK("http://141.218.60.56/~jnz1568/getInfo.php?workbook=26_25.xlsx&amp;sheet=A0&amp;row=971&amp;col=6&amp;number=4612&amp;sourceID=14","4612")</f>
        <v>4612</v>
      </c>
      <c r="G971" s="4" t="str">
        <f>HYPERLINK("http://141.218.60.56/~jnz1568/getInfo.php?workbook=26_25.xlsx&amp;sheet=A0&amp;row=971&amp;col=7&amp;number=0&amp;sourceID=14","0")</f>
        <v>0</v>
      </c>
    </row>
    <row r="972" spans="1:7">
      <c r="A972" s="3">
        <v>26</v>
      </c>
      <c r="B972" s="3">
        <v>25</v>
      </c>
      <c r="C972" s="3">
        <v>121</v>
      </c>
      <c r="D972" s="3">
        <v>30</v>
      </c>
      <c r="E972" s="3">
        <v>2161.84</v>
      </c>
      <c r="F972" s="4" t="str">
        <f>HYPERLINK("http://141.218.60.56/~jnz1568/getInfo.php?workbook=26_25.xlsx&amp;sheet=A0&amp;row=972&amp;col=6&amp;number=12120000&amp;sourceID=14","12120000")</f>
        <v>12120000</v>
      </c>
      <c r="G972" s="4" t="str">
        <f>HYPERLINK("http://141.218.60.56/~jnz1568/getInfo.php?workbook=26_25.xlsx&amp;sheet=A0&amp;row=972&amp;col=7&amp;number=0&amp;sourceID=14","0")</f>
        <v>0</v>
      </c>
    </row>
    <row r="973" spans="1:7">
      <c r="A973" s="3">
        <v>26</v>
      </c>
      <c r="B973" s="3">
        <v>25</v>
      </c>
      <c r="C973" s="3">
        <v>121</v>
      </c>
      <c r="D973" s="3">
        <v>31</v>
      </c>
      <c r="E973" s="3">
        <v>2165.295</v>
      </c>
      <c r="F973" s="4" t="str">
        <f>HYPERLINK("http://141.218.60.56/~jnz1568/getInfo.php?workbook=26_25.xlsx&amp;sheet=A0&amp;row=973&amp;col=6&amp;number=1452000&amp;sourceID=14","1452000")</f>
        <v>1452000</v>
      </c>
      <c r="G973" s="4" t="str">
        <f>HYPERLINK("http://141.218.60.56/~jnz1568/getInfo.php?workbook=26_25.xlsx&amp;sheet=A0&amp;row=973&amp;col=7&amp;number=0&amp;sourceID=14","0")</f>
        <v>0</v>
      </c>
    </row>
    <row r="974" spans="1:7">
      <c r="A974" s="3">
        <v>26</v>
      </c>
      <c r="B974" s="3">
        <v>25</v>
      </c>
      <c r="C974" s="3">
        <v>122</v>
      </c>
      <c r="D974" s="3">
        <v>12</v>
      </c>
      <c r="E974" s="3">
        <v>1575.087</v>
      </c>
      <c r="F974" s="4" t="str">
        <f>HYPERLINK("http://141.218.60.56/~jnz1568/getInfo.php?workbook=26_25.xlsx&amp;sheet=A0&amp;row=974&amp;col=6&amp;number=26210&amp;sourceID=14","26210")</f>
        <v>26210</v>
      </c>
      <c r="G974" s="4" t="str">
        <f>HYPERLINK("http://141.218.60.56/~jnz1568/getInfo.php?workbook=26_25.xlsx&amp;sheet=A0&amp;row=974&amp;col=7&amp;number=0&amp;sourceID=14","0")</f>
        <v>0</v>
      </c>
    </row>
    <row r="975" spans="1:7">
      <c r="A975" s="3">
        <v>26</v>
      </c>
      <c r="B975" s="3">
        <v>25</v>
      </c>
      <c r="C975" s="3">
        <v>122</v>
      </c>
      <c r="D975" s="3">
        <v>13</v>
      </c>
      <c r="E975" s="3">
        <v>1579.224</v>
      </c>
      <c r="F975" s="4" t="str">
        <f>HYPERLINK("http://141.218.60.56/~jnz1568/getInfo.php?workbook=26_25.xlsx&amp;sheet=A0&amp;row=975&amp;col=6&amp;number=65010&amp;sourceID=14","65010")</f>
        <v>65010</v>
      </c>
      <c r="G975" s="4" t="str">
        <f>HYPERLINK("http://141.218.60.56/~jnz1568/getInfo.php?workbook=26_25.xlsx&amp;sheet=A0&amp;row=975&amp;col=7&amp;number=0&amp;sourceID=14","0")</f>
        <v>0</v>
      </c>
    </row>
    <row r="976" spans="1:7">
      <c r="A976" s="3">
        <v>26</v>
      </c>
      <c r="B976" s="3">
        <v>25</v>
      </c>
      <c r="C976" s="3">
        <v>122</v>
      </c>
      <c r="D976" s="3">
        <v>33</v>
      </c>
      <c r="E976" s="3">
        <v>2452.119</v>
      </c>
      <c r="F976" s="4" t="str">
        <f>HYPERLINK("http://141.218.60.56/~jnz1568/getInfo.php?workbook=26_25.xlsx&amp;sheet=A0&amp;row=976&amp;col=6&amp;number=5321000&amp;sourceID=14","5321000")</f>
        <v>5321000</v>
      </c>
      <c r="G976" s="4" t="str">
        <f>HYPERLINK("http://141.218.60.56/~jnz1568/getInfo.php?workbook=26_25.xlsx&amp;sheet=A0&amp;row=976&amp;col=7&amp;number=0&amp;sourceID=14","0")</f>
        <v>0</v>
      </c>
    </row>
    <row r="977" spans="1:7">
      <c r="A977" s="3">
        <v>26</v>
      </c>
      <c r="B977" s="3">
        <v>25</v>
      </c>
      <c r="C977" s="3">
        <v>122</v>
      </c>
      <c r="D977" s="3">
        <v>34</v>
      </c>
      <c r="E977" s="3">
        <v>2450.706</v>
      </c>
      <c r="F977" s="4" t="str">
        <f>HYPERLINK("http://141.218.60.56/~jnz1568/getInfo.php?workbook=26_25.xlsx&amp;sheet=A0&amp;row=977&amp;col=6&amp;number=74620000&amp;sourceID=14","74620000")</f>
        <v>74620000</v>
      </c>
      <c r="G977" s="4" t="str">
        <f>HYPERLINK("http://141.218.60.56/~jnz1568/getInfo.php?workbook=26_25.xlsx&amp;sheet=A0&amp;row=977&amp;col=7&amp;number=0&amp;sourceID=14","0")</f>
        <v>0</v>
      </c>
    </row>
    <row r="978" spans="1:7">
      <c r="A978" s="3">
        <v>26</v>
      </c>
      <c r="B978" s="3">
        <v>25</v>
      </c>
      <c r="C978" s="3">
        <v>122</v>
      </c>
      <c r="D978" s="3">
        <v>35</v>
      </c>
      <c r="E978" s="3">
        <v>2450.947</v>
      </c>
      <c r="F978" s="4" t="str">
        <f>HYPERLINK("http://141.218.60.56/~jnz1568/getInfo.php?workbook=26_25.xlsx&amp;sheet=A0&amp;row=978&amp;col=6&amp;number=186500000&amp;sourceID=14","186500000")</f>
        <v>186500000</v>
      </c>
      <c r="G978" s="4" t="str">
        <f>HYPERLINK("http://141.218.60.56/~jnz1568/getInfo.php?workbook=26_25.xlsx&amp;sheet=A0&amp;row=978&amp;col=7&amp;number=0&amp;sourceID=14","0")</f>
        <v>0</v>
      </c>
    </row>
    <row r="979" spans="1:7">
      <c r="A979" s="3">
        <v>26</v>
      </c>
      <c r="B979" s="3">
        <v>25</v>
      </c>
      <c r="C979" s="3">
        <v>122</v>
      </c>
      <c r="D979" s="3">
        <v>8</v>
      </c>
      <c r="E979" s="3">
        <v>1442.355</v>
      </c>
      <c r="F979" s="4" t="str">
        <f>HYPERLINK("http://141.218.60.56/~jnz1568/getInfo.php?workbook=26_25.xlsx&amp;sheet=A0&amp;row=979&amp;col=6&amp;number=441500&amp;sourceID=14","441500")</f>
        <v>441500</v>
      </c>
      <c r="G979" s="4" t="str">
        <f>HYPERLINK("http://141.218.60.56/~jnz1568/getInfo.php?workbook=26_25.xlsx&amp;sheet=A0&amp;row=979&amp;col=7&amp;number=0&amp;sourceID=14","0")</f>
        <v>0</v>
      </c>
    </row>
    <row r="980" spans="1:7">
      <c r="A980" s="3">
        <v>26</v>
      </c>
      <c r="B980" s="3">
        <v>25</v>
      </c>
      <c r="C980" s="3">
        <v>122</v>
      </c>
      <c r="D980" s="3">
        <v>9</v>
      </c>
      <c r="E980" s="3">
        <v>1448.194</v>
      </c>
      <c r="F980" s="4" t="str">
        <f>HYPERLINK("http://141.218.60.56/~jnz1568/getInfo.php?workbook=26_25.xlsx&amp;sheet=A0&amp;row=980&amp;col=6&amp;number=1745000&amp;sourceID=14","1745000")</f>
        <v>1745000</v>
      </c>
      <c r="G980" s="4" t="str">
        <f>HYPERLINK("http://141.218.60.56/~jnz1568/getInfo.php?workbook=26_25.xlsx&amp;sheet=A0&amp;row=980&amp;col=7&amp;number=0&amp;sourceID=14","0")</f>
        <v>0</v>
      </c>
    </row>
    <row r="981" spans="1:7">
      <c r="A981" s="3">
        <v>26</v>
      </c>
      <c r="B981" s="3">
        <v>25</v>
      </c>
      <c r="C981" s="3">
        <v>122</v>
      </c>
      <c r="D981" s="3">
        <v>26</v>
      </c>
      <c r="E981" s="3">
        <v>2031.297</v>
      </c>
      <c r="F981" s="4" t="str">
        <f>HYPERLINK("http://141.218.60.56/~jnz1568/getInfo.php?workbook=26_25.xlsx&amp;sheet=A0&amp;row=981&amp;col=6&amp;number=687000&amp;sourceID=14","687000")</f>
        <v>687000</v>
      </c>
      <c r="G981" s="4" t="str">
        <f>HYPERLINK("http://141.218.60.56/~jnz1568/getInfo.php?workbook=26_25.xlsx&amp;sheet=A0&amp;row=981&amp;col=7&amp;number=0&amp;sourceID=14","0")</f>
        <v>0</v>
      </c>
    </row>
    <row r="982" spans="1:7">
      <c r="A982" s="3">
        <v>26</v>
      </c>
      <c r="B982" s="3">
        <v>25</v>
      </c>
      <c r="C982" s="3">
        <v>122</v>
      </c>
      <c r="D982" s="3">
        <v>27</v>
      </c>
      <c r="E982" s="3">
        <v>2035.097</v>
      </c>
      <c r="F982" s="4" t="str">
        <f>HYPERLINK("http://141.218.60.56/~jnz1568/getInfo.php?workbook=26_25.xlsx&amp;sheet=A0&amp;row=982&amp;col=6&amp;number=2733000&amp;sourceID=14","2733000")</f>
        <v>2733000</v>
      </c>
      <c r="G982" s="4" t="str">
        <f>HYPERLINK("http://141.218.60.56/~jnz1568/getInfo.php?workbook=26_25.xlsx&amp;sheet=A0&amp;row=982&amp;col=7&amp;number=0&amp;sourceID=14","0")</f>
        <v>0</v>
      </c>
    </row>
    <row r="983" spans="1:7">
      <c r="A983" s="3">
        <v>26</v>
      </c>
      <c r="B983" s="3">
        <v>25</v>
      </c>
      <c r="C983" s="3">
        <v>122</v>
      </c>
      <c r="D983" s="3">
        <v>63</v>
      </c>
      <c r="E983" s="3">
        <v>4540.045</v>
      </c>
      <c r="F983" s="4" t="str">
        <f>HYPERLINK("http://141.218.60.56/~jnz1568/getInfo.php?workbook=26_25.xlsx&amp;sheet=A0&amp;row=983&amp;col=6&amp;number=6792&amp;sourceID=14","6792")</f>
        <v>6792</v>
      </c>
      <c r="G983" s="4" t="str">
        <f>HYPERLINK("http://141.218.60.56/~jnz1568/getInfo.php?workbook=26_25.xlsx&amp;sheet=A0&amp;row=983&amp;col=7&amp;number=0&amp;sourceID=14","0")</f>
        <v>0</v>
      </c>
    </row>
    <row r="984" spans="1:7">
      <c r="A984" s="3">
        <v>26</v>
      </c>
      <c r="B984" s="3">
        <v>25</v>
      </c>
      <c r="C984" s="3">
        <v>122</v>
      </c>
      <c r="D984" s="3">
        <v>64</v>
      </c>
      <c r="E984" s="3">
        <v>4526.302</v>
      </c>
      <c r="F984" s="4" t="str">
        <f>HYPERLINK("http://141.218.60.56/~jnz1568/getInfo.php?workbook=26_25.xlsx&amp;sheet=A0&amp;row=984&amp;col=6&amp;number=27410&amp;sourceID=14","27410")</f>
        <v>27410</v>
      </c>
      <c r="G984" s="4" t="str">
        <f>HYPERLINK("http://141.218.60.56/~jnz1568/getInfo.php?workbook=26_25.xlsx&amp;sheet=A0&amp;row=984&amp;col=7&amp;number=0&amp;sourceID=14","0")</f>
        <v>0</v>
      </c>
    </row>
    <row r="985" spans="1:7">
      <c r="A985" s="3">
        <v>26</v>
      </c>
      <c r="B985" s="3">
        <v>25</v>
      </c>
      <c r="C985" s="3">
        <v>122</v>
      </c>
      <c r="D985" s="3">
        <v>31</v>
      </c>
      <c r="E985" s="3">
        <v>2168.559</v>
      </c>
      <c r="F985" s="4" t="str">
        <f>HYPERLINK("http://141.218.60.56/~jnz1568/getInfo.php?workbook=26_25.xlsx&amp;sheet=A0&amp;row=985&amp;col=6&amp;number=13450000&amp;sourceID=14","13450000")</f>
        <v>13450000</v>
      </c>
      <c r="G985" s="4" t="str">
        <f>HYPERLINK("http://141.218.60.56/~jnz1568/getInfo.php?workbook=26_25.xlsx&amp;sheet=A0&amp;row=985&amp;col=7&amp;number=0&amp;sourceID=14","0")</f>
        <v>0</v>
      </c>
    </row>
    <row r="986" spans="1:7">
      <c r="A986" s="3">
        <v>26</v>
      </c>
      <c r="B986" s="3">
        <v>25</v>
      </c>
      <c r="C986" s="3">
        <v>123</v>
      </c>
      <c r="D986" s="3">
        <v>14</v>
      </c>
      <c r="E986" s="3">
        <v>1361.373</v>
      </c>
      <c r="F986" s="4" t="str">
        <f>HYPERLINK("http://141.218.60.56/~jnz1568/getInfo.php?workbook=26_25.xlsx&amp;sheet=A0&amp;row=986&amp;col=6&amp;number=106500000&amp;sourceID=14","106500000")</f>
        <v>106500000</v>
      </c>
      <c r="G986" s="4" t="str">
        <f>HYPERLINK("http://141.218.60.56/~jnz1568/getInfo.php?workbook=26_25.xlsx&amp;sheet=A0&amp;row=986&amp;col=7&amp;number=0&amp;sourceID=14","0")</f>
        <v>0</v>
      </c>
    </row>
    <row r="987" spans="1:7">
      <c r="A987" s="3">
        <v>26</v>
      </c>
      <c r="B987" s="3">
        <v>25</v>
      </c>
      <c r="C987" s="3">
        <v>123</v>
      </c>
      <c r="D987" s="3">
        <v>17</v>
      </c>
      <c r="E987" s="3">
        <v>1512.881</v>
      </c>
      <c r="F987" s="4" t="str">
        <f>HYPERLINK("http://141.218.60.56/~jnz1568/getInfo.php?workbook=26_25.xlsx&amp;sheet=A0&amp;row=987&amp;col=6&amp;number=16030000&amp;sourceID=14","16030000")</f>
        <v>16030000</v>
      </c>
      <c r="G987" s="4" t="str">
        <f>HYPERLINK("http://141.218.60.56/~jnz1568/getInfo.php?workbook=26_25.xlsx&amp;sheet=A0&amp;row=987&amp;col=7&amp;number=0&amp;sourceID=14","0")</f>
        <v>0</v>
      </c>
    </row>
    <row r="988" spans="1:7">
      <c r="A988" s="3">
        <v>26</v>
      </c>
      <c r="B988" s="3">
        <v>25</v>
      </c>
      <c r="C988" s="3">
        <v>123</v>
      </c>
      <c r="D988" s="3">
        <v>65</v>
      </c>
      <c r="E988" s="3">
        <v>2723.547</v>
      </c>
      <c r="F988" s="4" t="str">
        <f>HYPERLINK("http://141.218.60.56/~jnz1568/getInfo.php?workbook=26_25.xlsx&amp;sheet=A0&amp;row=988&amp;col=6&amp;number=33670000&amp;sourceID=14","33670000")</f>
        <v>33670000</v>
      </c>
      <c r="G988" s="4" t="str">
        <f>HYPERLINK("http://141.218.60.56/~jnz1568/getInfo.php?workbook=26_25.xlsx&amp;sheet=A0&amp;row=988&amp;col=7&amp;number=0&amp;sourceID=14","0")</f>
        <v>0</v>
      </c>
    </row>
    <row r="989" spans="1:7">
      <c r="A989" s="3">
        <v>26</v>
      </c>
      <c r="B989" s="3">
        <v>25</v>
      </c>
      <c r="C989" s="3">
        <v>123</v>
      </c>
      <c r="D989" s="3">
        <v>10</v>
      </c>
      <c r="E989" s="3">
        <v>1266.234</v>
      </c>
      <c r="F989" s="4" t="str">
        <f>HYPERLINK("http://141.218.60.56/~jnz1568/getInfo.php?workbook=26_25.xlsx&amp;sheet=A0&amp;row=989&amp;col=6&amp;number=698900&amp;sourceID=14","698900")</f>
        <v>698900</v>
      </c>
      <c r="G989" s="4" t="str">
        <f>HYPERLINK("http://141.218.60.56/~jnz1568/getInfo.php?workbook=26_25.xlsx&amp;sheet=A0&amp;row=989&amp;col=7&amp;number=0&amp;sourceID=14","0")</f>
        <v>0</v>
      </c>
    </row>
    <row r="990" spans="1:7">
      <c r="A990" s="3">
        <v>26</v>
      </c>
      <c r="B990" s="3">
        <v>25</v>
      </c>
      <c r="C990" s="3">
        <v>123</v>
      </c>
      <c r="D990" s="3">
        <v>11</v>
      </c>
      <c r="E990" s="3">
        <v>1273.274</v>
      </c>
      <c r="F990" s="4" t="str">
        <f>HYPERLINK("http://141.218.60.56/~jnz1568/getInfo.php?workbook=26_25.xlsx&amp;sheet=A0&amp;row=990&amp;col=6&amp;number=114200&amp;sourceID=14","114200")</f>
        <v>114200</v>
      </c>
      <c r="G990" s="4" t="str">
        <f>HYPERLINK("http://141.218.60.56/~jnz1568/getInfo.php?workbook=26_25.xlsx&amp;sheet=A0&amp;row=990&amp;col=7&amp;number=0&amp;sourceID=14","0")</f>
        <v>0</v>
      </c>
    </row>
    <row r="991" spans="1:7">
      <c r="A991" s="3">
        <v>26</v>
      </c>
      <c r="B991" s="3">
        <v>25</v>
      </c>
      <c r="C991" s="3">
        <v>123</v>
      </c>
      <c r="D991" s="3">
        <v>32</v>
      </c>
      <c r="E991" s="3">
        <v>1803.541</v>
      </c>
      <c r="F991" s="4" t="str">
        <f>HYPERLINK("http://141.218.60.56/~jnz1568/getInfo.php?workbook=26_25.xlsx&amp;sheet=A0&amp;row=991&amp;col=6&amp;number=10800000&amp;sourceID=14","10800000")</f>
        <v>10800000</v>
      </c>
      <c r="G991" s="4" t="str">
        <f>HYPERLINK("http://141.218.60.56/~jnz1568/getInfo.php?workbook=26_25.xlsx&amp;sheet=A0&amp;row=991&amp;col=7&amp;number=0&amp;sourceID=14","0")</f>
        <v>0</v>
      </c>
    </row>
    <row r="992" spans="1:7">
      <c r="A992" s="3">
        <v>26</v>
      </c>
      <c r="B992" s="3">
        <v>25</v>
      </c>
      <c r="C992" s="3">
        <v>123</v>
      </c>
      <c r="D992" s="3">
        <v>33</v>
      </c>
      <c r="E992" s="3">
        <v>1800.449</v>
      </c>
      <c r="F992" s="4" t="str">
        <f>HYPERLINK("http://141.218.60.56/~jnz1568/getInfo.php?workbook=26_25.xlsx&amp;sheet=A0&amp;row=992&amp;col=6&amp;number=1805000&amp;sourceID=14","1805000")</f>
        <v>1805000</v>
      </c>
      <c r="G992" s="4" t="str">
        <f>HYPERLINK("http://141.218.60.56/~jnz1568/getInfo.php?workbook=26_25.xlsx&amp;sheet=A0&amp;row=992&amp;col=7&amp;number=0&amp;sourceID=14","0")</f>
        <v>0</v>
      </c>
    </row>
    <row r="993" spans="1:7">
      <c r="A993" s="3">
        <v>26</v>
      </c>
      <c r="B993" s="3">
        <v>25</v>
      </c>
      <c r="C993" s="3">
        <v>123</v>
      </c>
      <c r="D993" s="3">
        <v>6</v>
      </c>
      <c r="E993" s="3">
        <v>1175.681</v>
      </c>
      <c r="F993" s="4" t="str">
        <f>HYPERLINK("http://141.218.60.56/~jnz1568/getInfo.php?workbook=26_25.xlsx&amp;sheet=A0&amp;row=993&amp;col=6&amp;number=34940000&amp;sourceID=14","34940000")</f>
        <v>34940000</v>
      </c>
      <c r="G993" s="4" t="str">
        <f>HYPERLINK("http://141.218.60.56/~jnz1568/getInfo.php?workbook=26_25.xlsx&amp;sheet=A0&amp;row=993&amp;col=7&amp;number=0&amp;sourceID=14","0")</f>
        <v>0</v>
      </c>
    </row>
    <row r="994" spans="1:7">
      <c r="A994" s="3">
        <v>26</v>
      </c>
      <c r="B994" s="3">
        <v>25</v>
      </c>
      <c r="C994" s="3">
        <v>123</v>
      </c>
      <c r="D994" s="3">
        <v>7</v>
      </c>
      <c r="E994" s="3">
        <v>1183.438</v>
      </c>
      <c r="F994" s="4" t="str">
        <f>HYPERLINK("http://141.218.60.56/~jnz1568/getInfo.php?workbook=26_25.xlsx&amp;sheet=A0&amp;row=994&amp;col=6&amp;number=3906000&amp;sourceID=14","3906000")</f>
        <v>3906000</v>
      </c>
      <c r="G994" s="4" t="str">
        <f>HYPERLINK("http://141.218.60.56/~jnz1568/getInfo.php?workbook=26_25.xlsx&amp;sheet=A0&amp;row=994&amp;col=7&amp;number=0&amp;sourceID=14","0")</f>
        <v>0</v>
      </c>
    </row>
    <row r="995" spans="1:7">
      <c r="A995" s="3">
        <v>26</v>
      </c>
      <c r="B995" s="3">
        <v>25</v>
      </c>
      <c r="C995" s="3">
        <v>123</v>
      </c>
      <c r="D995" s="3">
        <v>8</v>
      </c>
      <c r="E995" s="3">
        <v>1189.178</v>
      </c>
      <c r="F995" s="4" t="str">
        <f>HYPERLINK("http://141.218.60.56/~jnz1568/getInfo.php?workbook=26_25.xlsx&amp;sheet=A0&amp;row=995&amp;col=6&amp;number=195800&amp;sourceID=14","195800")</f>
        <v>195800</v>
      </c>
      <c r="G995" s="4" t="str">
        <f>HYPERLINK("http://141.218.60.56/~jnz1568/getInfo.php?workbook=26_25.xlsx&amp;sheet=A0&amp;row=995&amp;col=7&amp;number=0&amp;sourceID=14","0")</f>
        <v>0</v>
      </c>
    </row>
    <row r="996" spans="1:7">
      <c r="A996" s="3">
        <v>26</v>
      </c>
      <c r="B996" s="3">
        <v>25</v>
      </c>
      <c r="C996" s="3">
        <v>123</v>
      </c>
      <c r="D996" s="3">
        <v>24</v>
      </c>
      <c r="E996" s="3">
        <v>1555.393</v>
      </c>
      <c r="F996" s="4" t="str">
        <f>HYPERLINK("http://141.218.60.56/~jnz1568/getInfo.php?workbook=26_25.xlsx&amp;sheet=A0&amp;row=996&amp;col=6&amp;number=25190000&amp;sourceID=14","25190000")</f>
        <v>25190000</v>
      </c>
      <c r="G996" s="4" t="str">
        <f>HYPERLINK("http://141.218.60.56/~jnz1568/getInfo.php?workbook=26_25.xlsx&amp;sheet=A0&amp;row=996&amp;col=7&amp;number=0&amp;sourceID=14","0")</f>
        <v>0</v>
      </c>
    </row>
    <row r="997" spans="1:7">
      <c r="A997" s="3">
        <v>26</v>
      </c>
      <c r="B997" s="3">
        <v>25</v>
      </c>
      <c r="C997" s="3">
        <v>123</v>
      </c>
      <c r="D997" s="3">
        <v>25</v>
      </c>
      <c r="E997" s="3">
        <v>1559.593</v>
      </c>
      <c r="F997" s="4" t="str">
        <f>HYPERLINK("http://141.218.60.56/~jnz1568/getInfo.php?workbook=26_25.xlsx&amp;sheet=A0&amp;row=997&amp;col=6&amp;number=2848000&amp;sourceID=14","2848000")</f>
        <v>2848000</v>
      </c>
      <c r="G997" s="4" t="str">
        <f>HYPERLINK("http://141.218.60.56/~jnz1568/getInfo.php?workbook=26_25.xlsx&amp;sheet=A0&amp;row=997&amp;col=7&amp;number=0&amp;sourceID=14","0")</f>
        <v>0</v>
      </c>
    </row>
    <row r="998" spans="1:7">
      <c r="A998" s="3">
        <v>26</v>
      </c>
      <c r="B998" s="3">
        <v>25</v>
      </c>
      <c r="C998" s="3">
        <v>123</v>
      </c>
      <c r="D998" s="3">
        <v>26</v>
      </c>
      <c r="E998" s="3">
        <v>1562.737</v>
      </c>
      <c r="F998" s="4" t="str">
        <f>HYPERLINK("http://141.218.60.56/~jnz1568/getInfo.php?workbook=26_25.xlsx&amp;sheet=A0&amp;row=998&amp;col=6&amp;number=144000&amp;sourceID=14","144000")</f>
        <v>144000</v>
      </c>
      <c r="G998" s="4" t="str">
        <f>HYPERLINK("http://141.218.60.56/~jnz1568/getInfo.php?workbook=26_25.xlsx&amp;sheet=A0&amp;row=998&amp;col=7&amp;number=0&amp;sourceID=14","0")</f>
        <v>0</v>
      </c>
    </row>
    <row r="999" spans="1:7">
      <c r="A999" s="3">
        <v>26</v>
      </c>
      <c r="B999" s="3">
        <v>25</v>
      </c>
      <c r="C999" s="3">
        <v>123</v>
      </c>
      <c r="D999" s="3">
        <v>61</v>
      </c>
      <c r="E999" s="3">
        <v>2719.446</v>
      </c>
      <c r="F999" s="4" t="str">
        <f>HYPERLINK("http://141.218.60.56/~jnz1568/getInfo.php?workbook=26_25.xlsx&amp;sheet=A0&amp;row=999&amp;col=6&amp;number=103600000&amp;sourceID=14","103600000")</f>
        <v>103600000</v>
      </c>
      <c r="G999" s="4" t="str">
        <f>HYPERLINK("http://141.218.60.56/~jnz1568/getInfo.php?workbook=26_25.xlsx&amp;sheet=A0&amp;row=999&amp;col=7&amp;number=0&amp;sourceID=14","0")</f>
        <v>0</v>
      </c>
    </row>
    <row r="1000" spans="1:7">
      <c r="A1000" s="3">
        <v>26</v>
      </c>
      <c r="B1000" s="3">
        <v>25</v>
      </c>
      <c r="C1000" s="3">
        <v>123</v>
      </c>
      <c r="D1000" s="3">
        <v>62</v>
      </c>
      <c r="E1000" s="3">
        <v>2721.693</v>
      </c>
      <c r="F1000" s="4" t="str">
        <f>HYPERLINK("http://141.218.60.56/~jnz1568/getInfo.php?workbook=26_25.xlsx&amp;sheet=A0&amp;row=1000&amp;col=6&amp;number=11780000&amp;sourceID=14","11780000")</f>
        <v>11780000</v>
      </c>
      <c r="G1000" s="4" t="str">
        <f>HYPERLINK("http://141.218.60.56/~jnz1568/getInfo.php?workbook=26_25.xlsx&amp;sheet=A0&amp;row=1000&amp;col=7&amp;number=0&amp;sourceID=14","0")</f>
        <v>0</v>
      </c>
    </row>
    <row r="1001" spans="1:7">
      <c r="A1001" s="3">
        <v>26</v>
      </c>
      <c r="B1001" s="3">
        <v>25</v>
      </c>
      <c r="C1001" s="3">
        <v>123</v>
      </c>
      <c r="D1001" s="3">
        <v>63</v>
      </c>
      <c r="E1001" s="3">
        <v>2718.362</v>
      </c>
      <c r="F1001" s="4" t="str">
        <f>HYPERLINK("http://141.218.60.56/~jnz1568/getInfo.php?workbook=26_25.xlsx&amp;sheet=A0&amp;row=1001&amp;col=6&amp;number=601500&amp;sourceID=14","601500")</f>
        <v>601500</v>
      </c>
      <c r="G1001" s="4" t="str">
        <f>HYPERLINK("http://141.218.60.56/~jnz1568/getInfo.php?workbook=26_25.xlsx&amp;sheet=A0&amp;row=1001&amp;col=7&amp;number=0&amp;sourceID=14","0")</f>
        <v>0</v>
      </c>
    </row>
    <row r="1002" spans="1:7">
      <c r="A1002" s="3">
        <v>26</v>
      </c>
      <c r="B1002" s="3">
        <v>25</v>
      </c>
      <c r="C1002" s="3">
        <v>124</v>
      </c>
      <c r="D1002" s="3">
        <v>14</v>
      </c>
      <c r="E1002" s="3">
        <v>1364.384</v>
      </c>
      <c r="F1002" s="4" t="str">
        <f>HYPERLINK("http://141.218.60.56/~jnz1568/getInfo.php?workbook=26_25.xlsx&amp;sheet=A0&amp;row=1002&amp;col=6&amp;number=31750000&amp;sourceID=14","31750000")</f>
        <v>31750000</v>
      </c>
      <c r="G1002" s="4" t="str">
        <f>HYPERLINK("http://141.218.60.56/~jnz1568/getInfo.php?workbook=26_25.xlsx&amp;sheet=A0&amp;row=1002&amp;col=7&amp;number=0&amp;sourceID=14","0")</f>
        <v>0</v>
      </c>
    </row>
    <row r="1003" spans="1:7">
      <c r="A1003" s="3">
        <v>26</v>
      </c>
      <c r="B1003" s="3">
        <v>25</v>
      </c>
      <c r="C1003" s="3">
        <v>124</v>
      </c>
      <c r="D1003" s="3">
        <v>15</v>
      </c>
      <c r="E1003" s="3">
        <v>1368.094</v>
      </c>
      <c r="F1003" s="4" t="str">
        <f>HYPERLINK("http://141.218.60.56/~jnz1568/getInfo.php?workbook=26_25.xlsx&amp;sheet=A0&amp;row=1003&amp;col=6&amp;number=73470000&amp;sourceID=14","73470000")</f>
        <v>73470000</v>
      </c>
      <c r="G1003" s="4" t="str">
        <f>HYPERLINK("http://141.218.60.56/~jnz1568/getInfo.php?workbook=26_25.xlsx&amp;sheet=A0&amp;row=1003&amp;col=7&amp;number=0&amp;sourceID=14","0")</f>
        <v>0</v>
      </c>
    </row>
    <row r="1004" spans="1:7">
      <c r="A1004" s="3">
        <v>26</v>
      </c>
      <c r="B1004" s="3">
        <v>25</v>
      </c>
      <c r="C1004" s="3">
        <v>124</v>
      </c>
      <c r="D1004" s="3">
        <v>17</v>
      </c>
      <c r="E1004" s="3">
        <v>1516.599</v>
      </c>
      <c r="F1004" s="4" t="str">
        <f>HYPERLINK("http://141.218.60.56/~jnz1568/getInfo.php?workbook=26_25.xlsx&amp;sheet=A0&amp;row=1004&amp;col=6&amp;number=4775000&amp;sourceID=14","4775000")</f>
        <v>4775000</v>
      </c>
      <c r="G1004" s="4" t="str">
        <f>HYPERLINK("http://141.218.60.56/~jnz1568/getInfo.php?workbook=26_25.xlsx&amp;sheet=A0&amp;row=1004&amp;col=7&amp;number=0&amp;sourceID=14","0")</f>
        <v>0</v>
      </c>
    </row>
    <row r="1005" spans="1:7">
      <c r="A1005" s="3">
        <v>26</v>
      </c>
      <c r="B1005" s="3">
        <v>25</v>
      </c>
      <c r="C1005" s="3">
        <v>124</v>
      </c>
      <c r="D1005" s="3">
        <v>18</v>
      </c>
      <c r="E1005" s="3">
        <v>1539.515</v>
      </c>
      <c r="F1005" s="4" t="str">
        <f>HYPERLINK("http://141.218.60.56/~jnz1568/getInfo.php?workbook=26_25.xlsx&amp;sheet=A0&amp;row=1005&amp;col=6&amp;number=10650000&amp;sourceID=14","10650000")</f>
        <v>10650000</v>
      </c>
      <c r="G1005" s="4" t="str">
        <f>HYPERLINK("http://141.218.60.56/~jnz1568/getInfo.php?workbook=26_25.xlsx&amp;sheet=A0&amp;row=1005&amp;col=7&amp;number=0&amp;sourceID=14","0")</f>
        <v>0</v>
      </c>
    </row>
    <row r="1006" spans="1:7">
      <c r="A1006" s="3">
        <v>26</v>
      </c>
      <c r="B1006" s="3">
        <v>25</v>
      </c>
      <c r="C1006" s="3">
        <v>124</v>
      </c>
      <c r="D1006" s="3">
        <v>65</v>
      </c>
      <c r="E1006" s="3">
        <v>2735.622</v>
      </c>
      <c r="F1006" s="4" t="str">
        <f>HYPERLINK("http://141.218.60.56/~jnz1568/getInfo.php?workbook=26_25.xlsx&amp;sheet=A0&amp;row=1006&amp;col=6&amp;number=9968000&amp;sourceID=14","9968000")</f>
        <v>9968000</v>
      </c>
      <c r="G1006" s="4" t="str">
        <f>HYPERLINK("http://141.218.60.56/~jnz1568/getInfo.php?workbook=26_25.xlsx&amp;sheet=A0&amp;row=1006&amp;col=7&amp;number=0&amp;sourceID=14","0")</f>
        <v>0</v>
      </c>
    </row>
    <row r="1007" spans="1:7">
      <c r="A1007" s="3">
        <v>26</v>
      </c>
      <c r="B1007" s="3">
        <v>25</v>
      </c>
      <c r="C1007" s="3">
        <v>124</v>
      </c>
      <c r="D1007" s="3">
        <v>66</v>
      </c>
      <c r="E1007" s="3">
        <v>2683.797</v>
      </c>
      <c r="F1007" s="4" t="str">
        <f>HYPERLINK("http://141.218.60.56/~jnz1568/getInfo.php?workbook=26_25.xlsx&amp;sheet=A0&amp;row=1007&amp;col=6&amp;number=24630000&amp;sourceID=14","24630000")</f>
        <v>24630000</v>
      </c>
      <c r="G1007" s="4" t="str">
        <f>HYPERLINK("http://141.218.60.56/~jnz1568/getInfo.php?workbook=26_25.xlsx&amp;sheet=A0&amp;row=1007&amp;col=7&amp;number=0&amp;sourceID=14","0")</f>
        <v>0</v>
      </c>
    </row>
    <row r="1008" spans="1:7">
      <c r="A1008" s="3">
        <v>26</v>
      </c>
      <c r="B1008" s="3">
        <v>25</v>
      </c>
      <c r="C1008" s="3">
        <v>124</v>
      </c>
      <c r="D1008" s="3">
        <v>10</v>
      </c>
      <c r="E1008" s="3">
        <v>1268.838</v>
      </c>
      <c r="F1008" s="4" t="str">
        <f>HYPERLINK("http://141.218.60.56/~jnz1568/getInfo.php?workbook=26_25.xlsx&amp;sheet=A0&amp;row=1008&amp;col=6&amp;number=153900&amp;sourceID=14","153900")</f>
        <v>153900</v>
      </c>
      <c r="G1008" s="4" t="str">
        <f>HYPERLINK("http://141.218.60.56/~jnz1568/getInfo.php?workbook=26_25.xlsx&amp;sheet=A0&amp;row=1008&amp;col=7&amp;number=0&amp;sourceID=14","0")</f>
        <v>0</v>
      </c>
    </row>
    <row r="1009" spans="1:7">
      <c r="A1009" s="3">
        <v>26</v>
      </c>
      <c r="B1009" s="3">
        <v>25</v>
      </c>
      <c r="C1009" s="3">
        <v>124</v>
      </c>
      <c r="D1009" s="3">
        <v>11</v>
      </c>
      <c r="E1009" s="3">
        <v>1275.907</v>
      </c>
      <c r="F1009" s="4" t="str">
        <f>HYPERLINK("http://141.218.60.56/~jnz1568/getInfo.php?workbook=26_25.xlsx&amp;sheet=A0&amp;row=1009&amp;col=6&amp;number=456700&amp;sourceID=14","456700")</f>
        <v>456700</v>
      </c>
      <c r="G1009" s="4" t="str">
        <f>HYPERLINK("http://141.218.60.56/~jnz1568/getInfo.php?workbook=26_25.xlsx&amp;sheet=A0&amp;row=1009&amp;col=7&amp;number=0&amp;sourceID=14","0")</f>
        <v>0</v>
      </c>
    </row>
    <row r="1010" spans="1:7">
      <c r="A1010" s="3">
        <v>26</v>
      </c>
      <c r="B1010" s="3">
        <v>25</v>
      </c>
      <c r="C1010" s="3">
        <v>124</v>
      </c>
      <c r="D1010" s="3">
        <v>12</v>
      </c>
      <c r="E1010" s="3">
        <v>1280.621</v>
      </c>
      <c r="F1010" s="4" t="str">
        <f>HYPERLINK("http://141.218.60.56/~jnz1568/getInfo.php?workbook=26_25.xlsx&amp;sheet=A0&amp;row=1010&amp;col=6&amp;number=183800&amp;sourceID=14","183800")</f>
        <v>183800</v>
      </c>
      <c r="G1010" s="4" t="str">
        <f>HYPERLINK("http://141.218.60.56/~jnz1568/getInfo.php?workbook=26_25.xlsx&amp;sheet=A0&amp;row=1010&amp;col=7&amp;number=0&amp;sourceID=14","0")</f>
        <v>0</v>
      </c>
    </row>
    <row r="1011" spans="1:7">
      <c r="A1011" s="3">
        <v>26</v>
      </c>
      <c r="B1011" s="3">
        <v>25</v>
      </c>
      <c r="C1011" s="3">
        <v>124</v>
      </c>
      <c r="D1011" s="3">
        <v>32</v>
      </c>
      <c r="E1011" s="3">
        <v>1808.828</v>
      </c>
      <c r="F1011" s="4" t="str">
        <f>HYPERLINK("http://141.218.60.56/~jnz1568/getInfo.php?workbook=26_25.xlsx&amp;sheet=A0&amp;row=1011&amp;col=6&amp;number=2373000&amp;sourceID=14","2373000")</f>
        <v>2373000</v>
      </c>
      <c r="G1011" s="4" t="str">
        <f>HYPERLINK("http://141.218.60.56/~jnz1568/getInfo.php?workbook=26_25.xlsx&amp;sheet=A0&amp;row=1011&amp;col=7&amp;number=0&amp;sourceID=14","0")</f>
        <v>0</v>
      </c>
    </row>
    <row r="1012" spans="1:7">
      <c r="A1012" s="3">
        <v>26</v>
      </c>
      <c r="B1012" s="3">
        <v>25</v>
      </c>
      <c r="C1012" s="3">
        <v>124</v>
      </c>
      <c r="D1012" s="3">
        <v>33</v>
      </c>
      <c r="E1012" s="3">
        <v>1805.718</v>
      </c>
      <c r="F1012" s="4" t="str">
        <f>HYPERLINK("http://141.218.60.56/~jnz1568/getInfo.php?workbook=26_25.xlsx&amp;sheet=A0&amp;row=1012&amp;col=6&amp;number=7198000&amp;sourceID=14","7198000")</f>
        <v>7198000</v>
      </c>
      <c r="G1012" s="4" t="str">
        <f>HYPERLINK("http://141.218.60.56/~jnz1568/getInfo.php?workbook=26_25.xlsx&amp;sheet=A0&amp;row=1012&amp;col=7&amp;number=0&amp;sourceID=14","0")</f>
        <v>0</v>
      </c>
    </row>
    <row r="1013" spans="1:7">
      <c r="A1013" s="3">
        <v>26</v>
      </c>
      <c r="B1013" s="3">
        <v>25</v>
      </c>
      <c r="C1013" s="3">
        <v>124</v>
      </c>
      <c r="D1013" s="3">
        <v>34</v>
      </c>
      <c r="E1013" s="3">
        <v>1804.952</v>
      </c>
      <c r="F1013" s="4" t="str">
        <f>HYPERLINK("http://141.218.60.56/~jnz1568/getInfo.php?workbook=26_25.xlsx&amp;sheet=A0&amp;row=1013&amp;col=6&amp;number=2933000&amp;sourceID=14","2933000")</f>
        <v>2933000</v>
      </c>
      <c r="G1013" s="4" t="str">
        <f>HYPERLINK("http://141.218.60.56/~jnz1568/getInfo.php?workbook=26_25.xlsx&amp;sheet=A0&amp;row=1013&amp;col=7&amp;number=0&amp;sourceID=14","0")</f>
        <v>0</v>
      </c>
    </row>
    <row r="1014" spans="1:7">
      <c r="A1014" s="3">
        <v>26</v>
      </c>
      <c r="B1014" s="3">
        <v>25</v>
      </c>
      <c r="C1014" s="3">
        <v>124</v>
      </c>
      <c r="D1014" s="3">
        <v>7</v>
      </c>
      <c r="E1014" s="3">
        <v>1185.712</v>
      </c>
      <c r="F1014" s="4" t="str">
        <f>HYPERLINK("http://141.218.60.56/~jnz1568/getInfo.php?workbook=26_25.xlsx&amp;sheet=A0&amp;row=1014&amp;col=6&amp;number=31160000&amp;sourceID=14","31160000")</f>
        <v>31160000</v>
      </c>
      <c r="G1014" s="4" t="str">
        <f>HYPERLINK("http://141.218.60.56/~jnz1568/getInfo.php?workbook=26_25.xlsx&amp;sheet=A0&amp;row=1014&amp;col=7&amp;number=0&amp;sourceID=14","0")</f>
        <v>0</v>
      </c>
    </row>
    <row r="1015" spans="1:7">
      <c r="A1015" s="3">
        <v>26</v>
      </c>
      <c r="B1015" s="3">
        <v>25</v>
      </c>
      <c r="C1015" s="3">
        <v>124</v>
      </c>
      <c r="D1015" s="3">
        <v>8</v>
      </c>
      <c r="E1015" s="3">
        <v>1191.474</v>
      </c>
      <c r="F1015" s="4" t="str">
        <f>HYPERLINK("http://141.218.60.56/~jnz1568/getInfo.php?workbook=26_25.xlsx&amp;sheet=A0&amp;row=1015&amp;col=6&amp;number=6535000&amp;sourceID=14","6535000")</f>
        <v>6535000</v>
      </c>
      <c r="G1015" s="4" t="str">
        <f>HYPERLINK("http://141.218.60.56/~jnz1568/getInfo.php?workbook=26_25.xlsx&amp;sheet=A0&amp;row=1015&amp;col=7&amp;number=0&amp;sourceID=14","0")</f>
        <v>0</v>
      </c>
    </row>
    <row r="1016" spans="1:7">
      <c r="A1016" s="3">
        <v>26</v>
      </c>
      <c r="B1016" s="3">
        <v>25</v>
      </c>
      <c r="C1016" s="3">
        <v>124</v>
      </c>
      <c r="D1016" s="3">
        <v>9</v>
      </c>
      <c r="E1016" s="3">
        <v>1195.456</v>
      </c>
      <c r="F1016" s="4" t="str">
        <f>HYPERLINK("http://141.218.60.56/~jnz1568/getInfo.php?workbook=26_25.xlsx&amp;sheet=A0&amp;row=1016&amp;col=6&amp;number=354500&amp;sourceID=14","354500")</f>
        <v>354500</v>
      </c>
      <c r="G1016" s="4" t="str">
        <f>HYPERLINK("http://141.218.60.56/~jnz1568/getInfo.php?workbook=26_25.xlsx&amp;sheet=A0&amp;row=1016&amp;col=7&amp;number=0&amp;sourceID=14","0")</f>
        <v>0</v>
      </c>
    </row>
    <row r="1017" spans="1:7">
      <c r="A1017" s="3">
        <v>26</v>
      </c>
      <c r="B1017" s="3">
        <v>25</v>
      </c>
      <c r="C1017" s="3">
        <v>124</v>
      </c>
      <c r="D1017" s="3">
        <v>25</v>
      </c>
      <c r="E1017" s="3">
        <v>1563.545</v>
      </c>
      <c r="F1017" s="4" t="str">
        <f>HYPERLINK("http://141.218.60.56/~jnz1568/getInfo.php?workbook=26_25.xlsx&amp;sheet=A0&amp;row=1017&amp;col=6&amp;number=22680000&amp;sourceID=14","22680000")</f>
        <v>22680000</v>
      </c>
      <c r="G1017" s="4" t="str">
        <f>HYPERLINK("http://141.218.60.56/~jnz1568/getInfo.php?workbook=26_25.xlsx&amp;sheet=A0&amp;row=1017&amp;col=7&amp;number=0&amp;sourceID=14","0")</f>
        <v>0</v>
      </c>
    </row>
    <row r="1018" spans="1:7">
      <c r="A1018" s="3">
        <v>26</v>
      </c>
      <c r="B1018" s="3">
        <v>25</v>
      </c>
      <c r="C1018" s="3">
        <v>124</v>
      </c>
      <c r="D1018" s="3">
        <v>26</v>
      </c>
      <c r="E1018" s="3">
        <v>1566.705</v>
      </c>
      <c r="F1018" s="4" t="str">
        <f>HYPERLINK("http://141.218.60.56/~jnz1568/getInfo.php?workbook=26_25.xlsx&amp;sheet=A0&amp;row=1018&amp;col=6&amp;number=4798000&amp;sourceID=14","4798000")</f>
        <v>4798000</v>
      </c>
      <c r="G1018" s="4" t="str">
        <f>HYPERLINK("http://141.218.60.56/~jnz1568/getInfo.php?workbook=26_25.xlsx&amp;sheet=A0&amp;row=1018&amp;col=7&amp;number=0&amp;sourceID=14","0")</f>
        <v>0</v>
      </c>
    </row>
    <row r="1019" spans="1:7">
      <c r="A1019" s="3">
        <v>26</v>
      </c>
      <c r="B1019" s="3">
        <v>25</v>
      </c>
      <c r="C1019" s="3">
        <v>124</v>
      </c>
      <c r="D1019" s="3">
        <v>27</v>
      </c>
      <c r="E1019" s="3">
        <v>1568.965</v>
      </c>
      <c r="F1019" s="4" t="str">
        <f>HYPERLINK("http://141.218.60.56/~jnz1568/getInfo.php?workbook=26_25.xlsx&amp;sheet=A0&amp;row=1019&amp;col=6&amp;number=261800&amp;sourceID=14","261800")</f>
        <v>261800</v>
      </c>
      <c r="G1019" s="4" t="str">
        <f>HYPERLINK("http://141.218.60.56/~jnz1568/getInfo.php?workbook=26_25.xlsx&amp;sheet=A0&amp;row=1019&amp;col=7&amp;number=0&amp;sourceID=14","0")</f>
        <v>0</v>
      </c>
    </row>
    <row r="1020" spans="1:7">
      <c r="A1020" s="3">
        <v>26</v>
      </c>
      <c r="B1020" s="3">
        <v>25</v>
      </c>
      <c r="C1020" s="3">
        <v>124</v>
      </c>
      <c r="D1020" s="3">
        <v>62</v>
      </c>
      <c r="E1020" s="3">
        <v>2733.752</v>
      </c>
      <c r="F1020" s="4" t="str">
        <f>HYPERLINK("http://141.218.60.56/~jnz1568/getInfo.php?workbook=26_25.xlsx&amp;sheet=A0&amp;row=1020&amp;col=6&amp;number=93260000&amp;sourceID=14","93260000")</f>
        <v>93260000</v>
      </c>
      <c r="G1020" s="4" t="str">
        <f>HYPERLINK("http://141.218.60.56/~jnz1568/getInfo.php?workbook=26_25.xlsx&amp;sheet=A0&amp;row=1020&amp;col=7&amp;number=0&amp;sourceID=14","0")</f>
        <v>0</v>
      </c>
    </row>
    <row r="1021" spans="1:7">
      <c r="A1021" s="3">
        <v>26</v>
      </c>
      <c r="B1021" s="3">
        <v>25</v>
      </c>
      <c r="C1021" s="3">
        <v>124</v>
      </c>
      <c r="D1021" s="3">
        <v>63</v>
      </c>
      <c r="E1021" s="3">
        <v>2730.391</v>
      </c>
      <c r="F1021" s="4" t="str">
        <f>HYPERLINK("http://141.218.60.56/~jnz1568/getInfo.php?workbook=26_25.xlsx&amp;sheet=A0&amp;row=1021&amp;col=6&amp;number=19920000&amp;sourceID=14","19920000")</f>
        <v>19920000</v>
      </c>
      <c r="G1021" s="4" t="str">
        <f>HYPERLINK("http://141.218.60.56/~jnz1568/getInfo.php?workbook=26_25.xlsx&amp;sheet=A0&amp;row=1021&amp;col=7&amp;number=0&amp;sourceID=14","0")</f>
        <v>0</v>
      </c>
    </row>
    <row r="1022" spans="1:7">
      <c r="A1022" s="3">
        <v>26</v>
      </c>
      <c r="B1022" s="3">
        <v>25</v>
      </c>
      <c r="C1022" s="3">
        <v>124</v>
      </c>
      <c r="D1022" s="3">
        <v>64</v>
      </c>
      <c r="E1022" s="3">
        <v>2725.414</v>
      </c>
      <c r="F1022" s="4" t="str">
        <f>HYPERLINK("http://141.218.60.56/~jnz1568/getInfo.php?workbook=26_25.xlsx&amp;sheet=A0&amp;row=1022&amp;col=6&amp;number=1098000&amp;sourceID=14","1098000")</f>
        <v>1098000</v>
      </c>
      <c r="G1022" s="4" t="str">
        <f>HYPERLINK("http://141.218.60.56/~jnz1568/getInfo.php?workbook=26_25.xlsx&amp;sheet=A0&amp;row=1022&amp;col=7&amp;number=0&amp;sourceID=14","0")</f>
        <v>0</v>
      </c>
    </row>
    <row r="1023" spans="1:7">
      <c r="A1023" s="3">
        <v>26</v>
      </c>
      <c r="B1023" s="3">
        <v>25</v>
      </c>
      <c r="C1023" s="3">
        <v>125</v>
      </c>
      <c r="D1023" s="3">
        <v>14</v>
      </c>
      <c r="E1023" s="3">
        <v>1368.559</v>
      </c>
      <c r="F1023" s="4" t="str">
        <f>HYPERLINK("http://141.218.60.56/~jnz1568/getInfo.php?workbook=26_25.xlsx&amp;sheet=A0&amp;row=1023&amp;col=6&amp;number=5243000&amp;sourceID=14","5243000")</f>
        <v>5243000</v>
      </c>
      <c r="G1023" s="4" t="str">
        <f>HYPERLINK("http://141.218.60.56/~jnz1568/getInfo.php?workbook=26_25.xlsx&amp;sheet=A0&amp;row=1023&amp;col=7&amp;number=0&amp;sourceID=14","0")</f>
        <v>0</v>
      </c>
    </row>
    <row r="1024" spans="1:7">
      <c r="A1024" s="3">
        <v>26</v>
      </c>
      <c r="B1024" s="3">
        <v>25</v>
      </c>
      <c r="C1024" s="3">
        <v>125</v>
      </c>
      <c r="D1024" s="3">
        <v>15</v>
      </c>
      <c r="E1024" s="3">
        <v>1372.292</v>
      </c>
      <c r="F1024" s="4" t="str">
        <f>HYPERLINK("http://141.218.60.56/~jnz1568/getInfo.php?workbook=26_25.xlsx&amp;sheet=A0&amp;row=1024&amp;col=6&amp;number=55470000&amp;sourceID=14","55470000")</f>
        <v>55470000</v>
      </c>
      <c r="G1024" s="4" t="str">
        <f>HYPERLINK("http://141.218.60.56/~jnz1568/getInfo.php?workbook=26_25.xlsx&amp;sheet=A0&amp;row=1024&amp;col=7&amp;number=0&amp;sourceID=14","0")</f>
        <v>0</v>
      </c>
    </row>
    <row r="1025" spans="1:7">
      <c r="A1025" s="3">
        <v>26</v>
      </c>
      <c r="B1025" s="3">
        <v>25</v>
      </c>
      <c r="C1025" s="3">
        <v>125</v>
      </c>
      <c r="D1025" s="3">
        <v>16</v>
      </c>
      <c r="E1025" s="3">
        <v>1376.668</v>
      </c>
      <c r="F1025" s="4" t="str">
        <f>HYPERLINK("http://141.218.60.56/~jnz1568/getInfo.php?workbook=26_25.xlsx&amp;sheet=A0&amp;row=1025&amp;col=6&amp;number=42920000&amp;sourceID=14","42920000")</f>
        <v>42920000</v>
      </c>
      <c r="G1025" s="4" t="str">
        <f>HYPERLINK("http://141.218.60.56/~jnz1568/getInfo.php?workbook=26_25.xlsx&amp;sheet=A0&amp;row=1025&amp;col=7&amp;number=0&amp;sourceID=14","0")</f>
        <v>0</v>
      </c>
    </row>
    <row r="1026" spans="1:7">
      <c r="A1026" s="3">
        <v>26</v>
      </c>
      <c r="B1026" s="3">
        <v>25</v>
      </c>
      <c r="C1026" s="3">
        <v>125</v>
      </c>
      <c r="D1026" s="3">
        <v>17</v>
      </c>
      <c r="E1026" s="3">
        <v>1521.76</v>
      </c>
      <c r="F1026" s="4" t="str">
        <f>HYPERLINK("http://141.218.60.56/~jnz1568/getInfo.php?workbook=26_25.xlsx&amp;sheet=A0&amp;row=1026&amp;col=6&amp;number=787700&amp;sourceID=14","787700")</f>
        <v>787700</v>
      </c>
      <c r="G1026" s="4" t="str">
        <f>HYPERLINK("http://141.218.60.56/~jnz1568/getInfo.php?workbook=26_25.xlsx&amp;sheet=A0&amp;row=1026&amp;col=7&amp;number=0&amp;sourceID=14","0")</f>
        <v>0</v>
      </c>
    </row>
    <row r="1027" spans="1:7">
      <c r="A1027" s="3">
        <v>26</v>
      </c>
      <c r="B1027" s="3">
        <v>25</v>
      </c>
      <c r="C1027" s="3">
        <v>125</v>
      </c>
      <c r="D1027" s="3">
        <v>18</v>
      </c>
      <c r="E1027" s="3">
        <v>1544.833</v>
      </c>
      <c r="F1027" s="4" t="str">
        <f>HYPERLINK("http://141.218.60.56/~jnz1568/getInfo.php?workbook=26_25.xlsx&amp;sheet=A0&amp;row=1027&amp;col=6&amp;number=8031000&amp;sourceID=14","8031000")</f>
        <v>8031000</v>
      </c>
      <c r="G1027" s="4" t="str">
        <f>HYPERLINK("http://141.218.60.56/~jnz1568/getInfo.php?workbook=26_25.xlsx&amp;sheet=A0&amp;row=1027&amp;col=7&amp;number=0&amp;sourceID=14","0")</f>
        <v>0</v>
      </c>
    </row>
    <row r="1028" spans="1:7">
      <c r="A1028" s="3">
        <v>26</v>
      </c>
      <c r="B1028" s="3">
        <v>25</v>
      </c>
      <c r="C1028" s="3">
        <v>125</v>
      </c>
      <c r="D1028" s="3">
        <v>19</v>
      </c>
      <c r="E1028" s="3">
        <v>1559.232</v>
      </c>
      <c r="F1028" s="4" t="str">
        <f>HYPERLINK("http://141.218.60.56/~jnz1568/getInfo.php?workbook=26_25.xlsx&amp;sheet=A0&amp;row=1028&amp;col=6&amp;number=6102000&amp;sourceID=14","6102000")</f>
        <v>6102000</v>
      </c>
      <c r="G1028" s="4" t="str">
        <f>HYPERLINK("http://141.218.60.56/~jnz1568/getInfo.php?workbook=26_25.xlsx&amp;sheet=A0&amp;row=1028&amp;col=7&amp;number=0&amp;sourceID=14","0")</f>
        <v>0</v>
      </c>
    </row>
    <row r="1029" spans="1:7">
      <c r="A1029" s="3">
        <v>26</v>
      </c>
      <c r="B1029" s="3">
        <v>25</v>
      </c>
      <c r="C1029" s="3">
        <v>125</v>
      </c>
      <c r="D1029" s="3">
        <v>65</v>
      </c>
      <c r="E1029" s="3">
        <v>2752.459</v>
      </c>
      <c r="F1029" s="4" t="str">
        <f>HYPERLINK("http://141.218.60.56/~jnz1568/getInfo.php?workbook=26_25.xlsx&amp;sheet=A0&amp;row=1029&amp;col=6&amp;number=1631000&amp;sourceID=14","1631000")</f>
        <v>1631000</v>
      </c>
      <c r="G1029" s="4" t="str">
        <f>HYPERLINK("http://141.218.60.56/~jnz1568/getInfo.php?workbook=26_25.xlsx&amp;sheet=A0&amp;row=1029&amp;col=7&amp;number=0&amp;sourceID=14","0")</f>
        <v>0</v>
      </c>
    </row>
    <row r="1030" spans="1:7">
      <c r="A1030" s="3">
        <v>26</v>
      </c>
      <c r="B1030" s="3">
        <v>25</v>
      </c>
      <c r="C1030" s="3">
        <v>125</v>
      </c>
      <c r="D1030" s="3">
        <v>66</v>
      </c>
      <c r="E1030" s="3">
        <v>2700</v>
      </c>
      <c r="F1030" s="4" t="str">
        <f>HYPERLINK("http://141.218.60.56/~jnz1568/getInfo.php?workbook=26_25.xlsx&amp;sheet=A0&amp;row=1030&amp;col=6&amp;number=18430000&amp;sourceID=14","18430000")</f>
        <v>18430000</v>
      </c>
      <c r="G1030" s="4" t="str">
        <f>HYPERLINK("http://141.218.60.56/~jnz1568/getInfo.php?workbook=26_25.xlsx&amp;sheet=A0&amp;row=1030&amp;col=7&amp;number=0&amp;sourceID=14","0")</f>
        <v>0</v>
      </c>
    </row>
    <row r="1031" spans="1:7">
      <c r="A1031" s="3">
        <v>26</v>
      </c>
      <c r="B1031" s="3">
        <v>25</v>
      </c>
      <c r="C1031" s="3">
        <v>125</v>
      </c>
      <c r="D1031" s="3">
        <v>67</v>
      </c>
      <c r="E1031" s="3">
        <v>2670.726</v>
      </c>
      <c r="F1031" s="4" t="str">
        <f>HYPERLINK("http://141.218.60.56/~jnz1568/getInfo.php?workbook=26_25.xlsx&amp;sheet=A0&amp;row=1031&amp;col=6&amp;number=14880000&amp;sourceID=14","14880000")</f>
        <v>14880000</v>
      </c>
      <c r="G1031" s="4" t="str">
        <f>HYPERLINK("http://141.218.60.56/~jnz1568/getInfo.php?workbook=26_25.xlsx&amp;sheet=A0&amp;row=1031&amp;col=7&amp;number=0&amp;sourceID=14","0")</f>
        <v>0</v>
      </c>
    </row>
    <row r="1032" spans="1:7">
      <c r="A1032" s="3">
        <v>26</v>
      </c>
      <c r="B1032" s="3">
        <v>25</v>
      </c>
      <c r="C1032" s="3">
        <v>125</v>
      </c>
      <c r="D1032" s="3">
        <v>11</v>
      </c>
      <c r="E1032" s="3">
        <v>1279.557</v>
      </c>
      <c r="F1032" s="4" t="str">
        <f>HYPERLINK("http://141.218.60.56/~jnz1568/getInfo.php?workbook=26_25.xlsx&amp;sheet=A0&amp;row=1032&amp;col=6&amp;number=276400&amp;sourceID=14","276400")</f>
        <v>276400</v>
      </c>
      <c r="G1032" s="4" t="str">
        <f>HYPERLINK("http://141.218.60.56/~jnz1568/getInfo.php?workbook=26_25.xlsx&amp;sheet=A0&amp;row=1032&amp;col=7&amp;number=0&amp;sourceID=14","0")</f>
        <v>0</v>
      </c>
    </row>
    <row r="1033" spans="1:7">
      <c r="A1033" s="3">
        <v>26</v>
      </c>
      <c r="B1033" s="3">
        <v>25</v>
      </c>
      <c r="C1033" s="3">
        <v>125</v>
      </c>
      <c r="D1033" s="3">
        <v>12</v>
      </c>
      <c r="E1033" s="3">
        <v>1284.298</v>
      </c>
      <c r="F1033" s="4" t="str">
        <f>HYPERLINK("http://141.218.60.56/~jnz1568/getInfo.php?workbook=26_25.xlsx&amp;sheet=A0&amp;row=1033&amp;col=6&amp;number=312400&amp;sourceID=14","312400")</f>
        <v>312400</v>
      </c>
      <c r="G1033" s="4" t="str">
        <f>HYPERLINK("http://141.218.60.56/~jnz1568/getInfo.php?workbook=26_25.xlsx&amp;sheet=A0&amp;row=1033&amp;col=7&amp;number=0&amp;sourceID=14","0")</f>
        <v>0</v>
      </c>
    </row>
    <row r="1034" spans="1:7">
      <c r="A1034" s="3">
        <v>26</v>
      </c>
      <c r="B1034" s="3">
        <v>25</v>
      </c>
      <c r="C1034" s="3">
        <v>125</v>
      </c>
      <c r="D1034" s="3">
        <v>13</v>
      </c>
      <c r="E1034" s="3">
        <v>1287.047</v>
      </c>
      <c r="F1034" s="4" t="str">
        <f>HYPERLINK("http://141.218.60.56/~jnz1568/getInfo.php?workbook=26_25.xlsx&amp;sheet=A0&amp;row=1034&amp;col=6&amp;number=194000&amp;sourceID=14","194000")</f>
        <v>194000</v>
      </c>
      <c r="G1034" s="4" t="str">
        <f>HYPERLINK("http://141.218.60.56/~jnz1568/getInfo.php?workbook=26_25.xlsx&amp;sheet=A0&amp;row=1034&amp;col=7&amp;number=0&amp;sourceID=14","0")</f>
        <v>0</v>
      </c>
    </row>
    <row r="1035" spans="1:7">
      <c r="A1035" s="3">
        <v>26</v>
      </c>
      <c r="B1035" s="3">
        <v>25</v>
      </c>
      <c r="C1035" s="3">
        <v>125</v>
      </c>
      <c r="D1035" s="3">
        <v>33</v>
      </c>
      <c r="E1035" s="3">
        <v>1813.038</v>
      </c>
      <c r="F1035" s="4" t="str">
        <f>HYPERLINK("http://141.218.60.56/~jnz1568/getInfo.php?workbook=26_25.xlsx&amp;sheet=A0&amp;row=1035&amp;col=6&amp;number=4341000&amp;sourceID=14","4341000")</f>
        <v>4341000</v>
      </c>
      <c r="G1035" s="4" t="str">
        <f>HYPERLINK("http://141.218.60.56/~jnz1568/getInfo.php?workbook=26_25.xlsx&amp;sheet=A0&amp;row=1035&amp;col=7&amp;number=0&amp;sourceID=14","0")</f>
        <v>0</v>
      </c>
    </row>
    <row r="1036" spans="1:7">
      <c r="A1036" s="3">
        <v>26</v>
      </c>
      <c r="B1036" s="3">
        <v>25</v>
      </c>
      <c r="C1036" s="3">
        <v>125</v>
      </c>
      <c r="D1036" s="3">
        <v>34</v>
      </c>
      <c r="E1036" s="3">
        <v>1812.266</v>
      </c>
      <c r="F1036" s="4" t="str">
        <f>HYPERLINK("http://141.218.60.56/~jnz1568/getInfo.php?workbook=26_25.xlsx&amp;sheet=A0&amp;row=1036&amp;col=6&amp;number=4968000&amp;sourceID=14","4968000")</f>
        <v>4968000</v>
      </c>
      <c r="G1036" s="4" t="str">
        <f>HYPERLINK("http://141.218.60.56/~jnz1568/getInfo.php?workbook=26_25.xlsx&amp;sheet=A0&amp;row=1036&amp;col=7&amp;number=0&amp;sourceID=14","0")</f>
        <v>0</v>
      </c>
    </row>
    <row r="1037" spans="1:7">
      <c r="A1037" s="3">
        <v>26</v>
      </c>
      <c r="B1037" s="3">
        <v>25</v>
      </c>
      <c r="C1037" s="3">
        <v>125</v>
      </c>
      <c r="D1037" s="3">
        <v>35</v>
      </c>
      <c r="E1037" s="3">
        <v>1812.398</v>
      </c>
      <c r="F1037" s="4" t="str">
        <f>HYPERLINK("http://141.218.60.56/~jnz1568/getInfo.php?workbook=26_25.xlsx&amp;sheet=A0&amp;row=1037&amp;col=6&amp;number=3104000&amp;sourceID=14","3104000")</f>
        <v>3104000</v>
      </c>
      <c r="G1037" s="4" t="str">
        <f>HYPERLINK("http://141.218.60.56/~jnz1568/getInfo.php?workbook=26_25.xlsx&amp;sheet=A0&amp;row=1037&amp;col=7&amp;number=0&amp;sourceID=14","0")</f>
        <v>0</v>
      </c>
    </row>
    <row r="1038" spans="1:7">
      <c r="A1038" s="3">
        <v>26</v>
      </c>
      <c r="B1038" s="3">
        <v>25</v>
      </c>
      <c r="C1038" s="3">
        <v>125</v>
      </c>
      <c r="D1038" s="3">
        <v>8</v>
      </c>
      <c r="E1038" s="3">
        <v>1194.657</v>
      </c>
      <c r="F1038" s="4" t="str">
        <f>HYPERLINK("http://141.218.60.56/~jnz1568/getInfo.php?workbook=26_25.xlsx&amp;sheet=A0&amp;row=1038&amp;col=6&amp;number=29970000&amp;sourceID=14","29970000")</f>
        <v>29970000</v>
      </c>
      <c r="G1038" s="4" t="str">
        <f>HYPERLINK("http://141.218.60.56/~jnz1568/getInfo.php?workbook=26_25.xlsx&amp;sheet=A0&amp;row=1038&amp;col=7&amp;number=0&amp;sourceID=14","0")</f>
        <v>0</v>
      </c>
    </row>
    <row r="1039" spans="1:7">
      <c r="A1039" s="3">
        <v>26</v>
      </c>
      <c r="B1039" s="3">
        <v>25</v>
      </c>
      <c r="C1039" s="3">
        <v>125</v>
      </c>
      <c r="D1039" s="3">
        <v>9</v>
      </c>
      <c r="E1039" s="3">
        <v>1198.66</v>
      </c>
      <c r="F1039" s="4" t="str">
        <f>HYPERLINK("http://141.218.60.56/~jnz1568/getInfo.php?workbook=26_25.xlsx&amp;sheet=A0&amp;row=1039&amp;col=6&amp;number=7386000&amp;sourceID=14","7386000")</f>
        <v>7386000</v>
      </c>
      <c r="G1039" s="4" t="str">
        <f>HYPERLINK("http://141.218.60.56/~jnz1568/getInfo.php?workbook=26_25.xlsx&amp;sheet=A0&amp;row=1039&amp;col=7&amp;number=0&amp;sourceID=14","0")</f>
        <v>0</v>
      </c>
    </row>
    <row r="1040" spans="1:7">
      <c r="A1040" s="3">
        <v>26</v>
      </c>
      <c r="B1040" s="3">
        <v>25</v>
      </c>
      <c r="C1040" s="3">
        <v>125</v>
      </c>
      <c r="D1040" s="3">
        <v>26</v>
      </c>
      <c r="E1040" s="3">
        <v>1572.213</v>
      </c>
      <c r="F1040" s="4" t="str">
        <f>HYPERLINK("http://141.218.60.56/~jnz1568/getInfo.php?workbook=26_25.xlsx&amp;sheet=A0&amp;row=1040&amp;col=6&amp;number=21950000&amp;sourceID=14","21950000")</f>
        <v>21950000</v>
      </c>
      <c r="G1040" s="4" t="str">
        <f>HYPERLINK("http://141.218.60.56/~jnz1568/getInfo.php?workbook=26_25.xlsx&amp;sheet=A0&amp;row=1040&amp;col=7&amp;number=0&amp;sourceID=14","0")</f>
        <v>0</v>
      </c>
    </row>
    <row r="1041" spans="1:7">
      <c r="A1041" s="3">
        <v>26</v>
      </c>
      <c r="B1041" s="3">
        <v>25</v>
      </c>
      <c r="C1041" s="3">
        <v>125</v>
      </c>
      <c r="D1041" s="3">
        <v>27</v>
      </c>
      <c r="E1041" s="3">
        <v>1574.489</v>
      </c>
      <c r="F1041" s="4" t="str">
        <f>HYPERLINK("http://141.218.60.56/~jnz1568/getInfo.php?workbook=26_25.xlsx&amp;sheet=A0&amp;row=1041&amp;col=6&amp;number=5440000&amp;sourceID=14","5440000")</f>
        <v>5440000</v>
      </c>
      <c r="G1041" s="4" t="str">
        <f>HYPERLINK("http://141.218.60.56/~jnz1568/getInfo.php?workbook=26_25.xlsx&amp;sheet=A0&amp;row=1041&amp;col=7&amp;number=0&amp;sourceID=14","0")</f>
        <v>0</v>
      </c>
    </row>
    <row r="1042" spans="1:7">
      <c r="A1042" s="3">
        <v>26</v>
      </c>
      <c r="B1042" s="3">
        <v>25</v>
      </c>
      <c r="C1042" s="3">
        <v>125</v>
      </c>
      <c r="D1042" s="3">
        <v>63</v>
      </c>
      <c r="E1042" s="3">
        <v>2747.163</v>
      </c>
      <c r="F1042" s="4" t="str">
        <f>HYPERLINK("http://141.218.60.56/~jnz1568/getInfo.php?workbook=26_25.xlsx&amp;sheet=A0&amp;row=1042&amp;col=6&amp;number=90440000&amp;sourceID=14","90440000")</f>
        <v>90440000</v>
      </c>
      <c r="G1042" s="4" t="str">
        <f>HYPERLINK("http://141.218.60.56/~jnz1568/getInfo.php?workbook=26_25.xlsx&amp;sheet=A0&amp;row=1042&amp;col=7&amp;number=0&amp;sourceID=14","0")</f>
        <v>0</v>
      </c>
    </row>
    <row r="1043" spans="1:7">
      <c r="A1043" s="3">
        <v>26</v>
      </c>
      <c r="B1043" s="3">
        <v>25</v>
      </c>
      <c r="C1043" s="3">
        <v>125</v>
      </c>
      <c r="D1043" s="3">
        <v>64</v>
      </c>
      <c r="E1043" s="3">
        <v>2742.125</v>
      </c>
      <c r="F1043" s="4" t="str">
        <f>HYPERLINK("http://141.218.60.56/~jnz1568/getInfo.php?workbook=26_25.xlsx&amp;sheet=A0&amp;row=1043&amp;col=6&amp;number=22630000&amp;sourceID=14","22630000")</f>
        <v>22630000</v>
      </c>
      <c r="G1043" s="4" t="str">
        <f>HYPERLINK("http://141.218.60.56/~jnz1568/getInfo.php?workbook=26_25.xlsx&amp;sheet=A0&amp;row=1043&amp;col=7&amp;number=0&amp;sourceID=14","0")</f>
        <v>0</v>
      </c>
    </row>
    <row r="1044" spans="1:7">
      <c r="A1044" s="3">
        <v>26</v>
      </c>
      <c r="B1044" s="3">
        <v>25</v>
      </c>
      <c r="C1044" s="3">
        <v>126</v>
      </c>
      <c r="D1044" s="3">
        <v>15</v>
      </c>
      <c r="E1044" s="3">
        <v>1375.22</v>
      </c>
      <c r="F1044" s="4" t="str">
        <f>HYPERLINK("http://141.218.60.56/~jnz1568/getInfo.php?workbook=26_25.xlsx&amp;sheet=A0&amp;row=1044&amp;col=6&amp;number=17220000&amp;sourceID=14","17220000")</f>
        <v>17220000</v>
      </c>
      <c r="G1044" s="4" t="str">
        <f>HYPERLINK("http://141.218.60.56/~jnz1568/getInfo.php?workbook=26_25.xlsx&amp;sheet=A0&amp;row=1044&amp;col=7&amp;number=0&amp;sourceID=14","0")</f>
        <v>0</v>
      </c>
    </row>
    <row r="1045" spans="1:7">
      <c r="A1045" s="3">
        <v>26</v>
      </c>
      <c r="B1045" s="3">
        <v>25</v>
      </c>
      <c r="C1045" s="3">
        <v>126</v>
      </c>
      <c r="D1045" s="3">
        <v>16</v>
      </c>
      <c r="E1045" s="3">
        <v>1379.615</v>
      </c>
      <c r="F1045" s="4" t="str">
        <f>HYPERLINK("http://141.218.60.56/~jnz1568/getInfo.php?workbook=26_25.xlsx&amp;sheet=A0&amp;row=1045&amp;col=6&amp;number=85300000&amp;sourceID=14","85300000")</f>
        <v>85300000</v>
      </c>
      <c r="G1045" s="4" t="str">
        <f>HYPERLINK("http://141.218.60.56/~jnz1568/getInfo.php?workbook=26_25.xlsx&amp;sheet=A0&amp;row=1045&amp;col=7&amp;number=0&amp;sourceID=14","0")</f>
        <v>0</v>
      </c>
    </row>
    <row r="1046" spans="1:7">
      <c r="A1046" s="3">
        <v>26</v>
      </c>
      <c r="B1046" s="3">
        <v>25</v>
      </c>
      <c r="C1046" s="3">
        <v>126</v>
      </c>
      <c r="D1046" s="3">
        <v>18</v>
      </c>
      <c r="E1046" s="3">
        <v>1548.545</v>
      </c>
      <c r="F1046" s="4" t="str">
        <f>HYPERLINK("http://141.218.60.56/~jnz1568/getInfo.php?workbook=26_25.xlsx&amp;sheet=A0&amp;row=1046&amp;col=6&amp;number=2492000&amp;sourceID=14","2492000")</f>
        <v>2492000</v>
      </c>
      <c r="G1046" s="4" t="str">
        <f>HYPERLINK("http://141.218.60.56/~jnz1568/getInfo.php?workbook=26_25.xlsx&amp;sheet=A0&amp;row=1046&amp;col=7&amp;number=0&amp;sourceID=14","0")</f>
        <v>0</v>
      </c>
    </row>
    <row r="1047" spans="1:7">
      <c r="A1047" s="3">
        <v>26</v>
      </c>
      <c r="B1047" s="3">
        <v>25</v>
      </c>
      <c r="C1047" s="3">
        <v>126</v>
      </c>
      <c r="D1047" s="3">
        <v>19</v>
      </c>
      <c r="E1047" s="3">
        <v>1563.014</v>
      </c>
      <c r="F1047" s="4" t="str">
        <f>HYPERLINK("http://141.218.60.56/~jnz1568/getInfo.php?workbook=26_25.xlsx&amp;sheet=A0&amp;row=1047&amp;col=6&amp;number=12120000&amp;sourceID=14","12120000")</f>
        <v>12120000</v>
      </c>
      <c r="G1047" s="4" t="str">
        <f>HYPERLINK("http://141.218.60.56/~jnz1568/getInfo.php?workbook=26_25.xlsx&amp;sheet=A0&amp;row=1047&amp;col=7&amp;number=0&amp;sourceID=14","0")</f>
        <v>0</v>
      </c>
    </row>
    <row r="1048" spans="1:7">
      <c r="A1048" s="3">
        <v>26</v>
      </c>
      <c r="B1048" s="3">
        <v>25</v>
      </c>
      <c r="C1048" s="3">
        <v>126</v>
      </c>
      <c r="D1048" s="3">
        <v>66</v>
      </c>
      <c r="E1048" s="3">
        <v>2711.358</v>
      </c>
      <c r="F1048" s="4" t="str">
        <f>HYPERLINK("http://141.218.60.56/~jnz1568/getInfo.php?workbook=26_25.xlsx&amp;sheet=A0&amp;row=1048&amp;col=6&amp;number=5688000&amp;sourceID=14","5688000")</f>
        <v>5688000</v>
      </c>
      <c r="G1048" s="4" t="str">
        <f>HYPERLINK("http://141.218.60.56/~jnz1568/getInfo.php?workbook=26_25.xlsx&amp;sheet=A0&amp;row=1048&amp;col=7&amp;number=0&amp;sourceID=14","0")</f>
        <v>0</v>
      </c>
    </row>
    <row r="1049" spans="1:7">
      <c r="A1049" s="3">
        <v>26</v>
      </c>
      <c r="B1049" s="3">
        <v>25</v>
      </c>
      <c r="C1049" s="3">
        <v>126</v>
      </c>
      <c r="D1049" s="3">
        <v>67</v>
      </c>
      <c r="E1049" s="3">
        <v>2681.839</v>
      </c>
      <c r="F1049" s="4" t="str">
        <f>HYPERLINK("http://141.218.60.56/~jnz1568/getInfo.php?workbook=26_25.xlsx&amp;sheet=A0&amp;row=1049&amp;col=6&amp;number=29390000&amp;sourceID=14","29390000")</f>
        <v>29390000</v>
      </c>
      <c r="G1049" s="4" t="str">
        <f>HYPERLINK("http://141.218.60.56/~jnz1568/getInfo.php?workbook=26_25.xlsx&amp;sheet=A0&amp;row=1049&amp;col=7&amp;number=0&amp;sourceID=14","0")</f>
        <v>0</v>
      </c>
    </row>
    <row r="1050" spans="1:7">
      <c r="A1050" s="3">
        <v>26</v>
      </c>
      <c r="B1050" s="3">
        <v>25</v>
      </c>
      <c r="C1050" s="3">
        <v>126</v>
      </c>
      <c r="D1050" s="3">
        <v>12</v>
      </c>
      <c r="E1050" s="3">
        <v>1286.863</v>
      </c>
      <c r="F1050" s="4" t="str">
        <f>HYPERLINK("http://141.218.60.56/~jnz1568/getInfo.php?workbook=26_25.xlsx&amp;sheet=A0&amp;row=1050&amp;col=6&amp;number=388200&amp;sourceID=14","388200")</f>
        <v>388200</v>
      </c>
      <c r="G1050" s="4" t="str">
        <f>HYPERLINK("http://141.218.60.56/~jnz1568/getInfo.php?workbook=26_25.xlsx&amp;sheet=A0&amp;row=1050&amp;col=7&amp;number=0&amp;sourceID=14","0")</f>
        <v>0</v>
      </c>
    </row>
    <row r="1051" spans="1:7">
      <c r="A1051" s="3">
        <v>26</v>
      </c>
      <c r="B1051" s="3">
        <v>25</v>
      </c>
      <c r="C1051" s="3">
        <v>126</v>
      </c>
      <c r="D1051" s="3">
        <v>13</v>
      </c>
      <c r="E1051" s="3">
        <v>1289.623</v>
      </c>
      <c r="F1051" s="4" t="str">
        <f>HYPERLINK("http://141.218.60.56/~jnz1568/getInfo.php?workbook=26_25.xlsx&amp;sheet=A0&amp;row=1051&amp;col=6&amp;number=385700&amp;sourceID=14","385700")</f>
        <v>385700</v>
      </c>
      <c r="G1051" s="4" t="str">
        <f>HYPERLINK("http://141.218.60.56/~jnz1568/getInfo.php?workbook=26_25.xlsx&amp;sheet=A0&amp;row=1051&amp;col=7&amp;number=0&amp;sourceID=14","0")</f>
        <v>0</v>
      </c>
    </row>
    <row r="1052" spans="1:7">
      <c r="A1052" s="3">
        <v>26</v>
      </c>
      <c r="B1052" s="3">
        <v>25</v>
      </c>
      <c r="C1052" s="3">
        <v>126</v>
      </c>
      <c r="D1052" s="3">
        <v>34</v>
      </c>
      <c r="E1052" s="3">
        <v>1817.376</v>
      </c>
      <c r="F1052" s="4" t="str">
        <f>HYPERLINK("http://141.218.60.56/~jnz1568/getInfo.php?workbook=26_25.xlsx&amp;sheet=A0&amp;row=1052&amp;col=6&amp;number=6157000&amp;sourceID=14","6157000")</f>
        <v>6157000</v>
      </c>
      <c r="G1052" s="4" t="str">
        <f>HYPERLINK("http://141.218.60.56/~jnz1568/getInfo.php?workbook=26_25.xlsx&amp;sheet=A0&amp;row=1052&amp;col=7&amp;number=0&amp;sourceID=14","0")</f>
        <v>0</v>
      </c>
    </row>
    <row r="1053" spans="1:7">
      <c r="A1053" s="3">
        <v>26</v>
      </c>
      <c r="B1053" s="3">
        <v>25</v>
      </c>
      <c r="C1053" s="3">
        <v>126</v>
      </c>
      <c r="D1053" s="3">
        <v>35</v>
      </c>
      <c r="E1053" s="3">
        <v>1817.509</v>
      </c>
      <c r="F1053" s="4" t="str">
        <f>HYPERLINK("http://141.218.60.56/~jnz1568/getInfo.php?workbook=26_25.xlsx&amp;sheet=A0&amp;row=1053&amp;col=6&amp;number=6156000&amp;sourceID=14","6156000")</f>
        <v>6156000</v>
      </c>
      <c r="G1053" s="4" t="str">
        <f>HYPERLINK("http://141.218.60.56/~jnz1568/getInfo.php?workbook=26_25.xlsx&amp;sheet=A0&amp;row=1053&amp;col=7&amp;number=0&amp;sourceID=14","0")</f>
        <v>0</v>
      </c>
    </row>
    <row r="1054" spans="1:7">
      <c r="A1054" s="3">
        <v>26</v>
      </c>
      <c r="B1054" s="3">
        <v>25</v>
      </c>
      <c r="C1054" s="3">
        <v>126</v>
      </c>
      <c r="D1054" s="3">
        <v>9</v>
      </c>
      <c r="E1054" s="3">
        <v>1200.893</v>
      </c>
      <c r="F1054" s="4" t="str">
        <f>HYPERLINK("http://141.218.60.56/~jnz1568/getInfo.php?workbook=26_25.xlsx&amp;sheet=A0&amp;row=1054&amp;col=6&amp;number=36720000&amp;sourceID=14","36720000")</f>
        <v>36720000</v>
      </c>
      <c r="G1054" s="4" t="str">
        <f>HYPERLINK("http://141.218.60.56/~jnz1568/getInfo.php?workbook=26_25.xlsx&amp;sheet=A0&amp;row=1054&amp;col=7&amp;number=0&amp;sourceID=14","0")</f>
        <v>0</v>
      </c>
    </row>
    <row r="1055" spans="1:7">
      <c r="A1055" s="3">
        <v>26</v>
      </c>
      <c r="B1055" s="3">
        <v>25</v>
      </c>
      <c r="C1055" s="3">
        <v>126</v>
      </c>
      <c r="D1055" s="3">
        <v>27</v>
      </c>
      <c r="E1055" s="3">
        <v>1578.345</v>
      </c>
      <c r="F1055" s="4" t="str">
        <f>HYPERLINK("http://141.218.60.56/~jnz1568/getInfo.php?workbook=26_25.xlsx&amp;sheet=A0&amp;row=1055&amp;col=6&amp;number=27000000&amp;sourceID=14","27000000")</f>
        <v>27000000</v>
      </c>
      <c r="G1055" s="4" t="str">
        <f>HYPERLINK("http://141.218.60.56/~jnz1568/getInfo.php?workbook=26_25.xlsx&amp;sheet=A0&amp;row=1055&amp;col=7&amp;number=0&amp;sourceID=14","0")</f>
        <v>0</v>
      </c>
    </row>
    <row r="1056" spans="1:7">
      <c r="A1056" s="3">
        <v>26</v>
      </c>
      <c r="B1056" s="3">
        <v>25</v>
      </c>
      <c r="C1056" s="3">
        <v>126</v>
      </c>
      <c r="D1056" s="3">
        <v>64</v>
      </c>
      <c r="E1056" s="3">
        <v>2753.842</v>
      </c>
      <c r="F1056" s="4" t="str">
        <f>HYPERLINK("http://141.218.60.56/~jnz1568/getInfo.php?workbook=26_25.xlsx&amp;sheet=A0&amp;row=1056&amp;col=6&amp;number=111700000&amp;sourceID=14","111700000")</f>
        <v>111700000</v>
      </c>
      <c r="G1056" s="4" t="str">
        <f>HYPERLINK("http://141.218.60.56/~jnz1568/getInfo.php?workbook=26_25.xlsx&amp;sheet=A0&amp;row=1056&amp;col=7&amp;number=0&amp;sourceID=14","0")</f>
        <v>0</v>
      </c>
    </row>
    <row r="1057" spans="1:7">
      <c r="A1057" s="3">
        <v>26</v>
      </c>
      <c r="B1057" s="3">
        <v>25</v>
      </c>
      <c r="C1057" s="3">
        <v>127</v>
      </c>
      <c r="D1057" s="3">
        <v>6</v>
      </c>
      <c r="E1057" s="3">
        <v>1132.001</v>
      </c>
      <c r="F1057" s="4" t="str">
        <f>HYPERLINK("http://141.218.60.56/~jnz1568/getInfo.php?workbook=26_25.xlsx&amp;sheet=A0&amp;row=1057&amp;col=6&amp;number=217500&amp;sourceID=14","217500")</f>
        <v>217500</v>
      </c>
      <c r="G1057" s="4" t="str">
        <f>HYPERLINK("http://141.218.60.56/~jnz1568/getInfo.php?workbook=26_25.xlsx&amp;sheet=A0&amp;row=1057&amp;col=7&amp;number=0&amp;sourceID=14","0")</f>
        <v>0</v>
      </c>
    </row>
    <row r="1058" spans="1:7">
      <c r="A1058" s="3">
        <v>26</v>
      </c>
      <c r="B1058" s="3">
        <v>25</v>
      </c>
      <c r="C1058" s="3">
        <v>127</v>
      </c>
      <c r="D1058" s="3">
        <v>24</v>
      </c>
      <c r="E1058" s="3">
        <v>1479.848</v>
      </c>
      <c r="F1058" s="4" t="str">
        <f>HYPERLINK("http://141.218.60.56/~jnz1568/getInfo.php?workbook=26_25.xlsx&amp;sheet=A0&amp;row=1058&amp;col=6&amp;number=78970000&amp;sourceID=14","78970000")</f>
        <v>78970000</v>
      </c>
      <c r="G1058" s="4" t="str">
        <f>HYPERLINK("http://141.218.60.56/~jnz1568/getInfo.php?workbook=26_25.xlsx&amp;sheet=A0&amp;row=1058&amp;col=7&amp;number=0&amp;sourceID=14","0")</f>
        <v>0</v>
      </c>
    </row>
    <row r="1059" spans="1:7">
      <c r="A1059" s="3">
        <v>26</v>
      </c>
      <c r="B1059" s="3">
        <v>25</v>
      </c>
      <c r="C1059" s="3">
        <v>127</v>
      </c>
      <c r="D1059" s="3">
        <v>61</v>
      </c>
      <c r="E1059" s="3">
        <v>2496.614</v>
      </c>
      <c r="F1059" s="4" t="str">
        <f>HYPERLINK("http://141.218.60.56/~jnz1568/getInfo.php?workbook=26_25.xlsx&amp;sheet=A0&amp;row=1059&amp;col=6&amp;number=2208000&amp;sourceID=14","2208000")</f>
        <v>2208000</v>
      </c>
      <c r="G1059" s="4" t="str">
        <f>HYPERLINK("http://141.218.60.56/~jnz1568/getInfo.php?workbook=26_25.xlsx&amp;sheet=A0&amp;row=1059&amp;col=7&amp;number=0&amp;sourceID=14","0")</f>
        <v>0</v>
      </c>
    </row>
    <row r="1060" spans="1:7">
      <c r="A1060" s="3">
        <v>26</v>
      </c>
      <c r="B1060" s="3">
        <v>25</v>
      </c>
      <c r="C1060" s="3">
        <v>127</v>
      </c>
      <c r="D1060" s="3">
        <v>28</v>
      </c>
      <c r="E1060" s="3">
        <v>1543.617</v>
      </c>
      <c r="F1060" s="4" t="str">
        <f>HYPERLINK("http://141.218.60.56/~jnz1568/getInfo.php?workbook=26_25.xlsx&amp;sheet=A0&amp;row=1060&amp;col=6&amp;number=41620000&amp;sourceID=14","41620000")</f>
        <v>41620000</v>
      </c>
      <c r="G1060" s="4" t="str">
        <f>HYPERLINK("http://141.218.60.56/~jnz1568/getInfo.php?workbook=26_25.xlsx&amp;sheet=A0&amp;row=1060&amp;col=7&amp;number=0&amp;sourceID=14","0")</f>
        <v>0</v>
      </c>
    </row>
    <row r="1061" spans="1:7">
      <c r="A1061" s="3">
        <v>26</v>
      </c>
      <c r="B1061" s="3">
        <v>25</v>
      </c>
      <c r="C1061" s="3">
        <v>127</v>
      </c>
      <c r="D1061" s="3">
        <v>29</v>
      </c>
      <c r="E1061" s="3">
        <v>1552.641</v>
      </c>
      <c r="F1061" s="4" t="str">
        <f>HYPERLINK("http://141.218.60.56/~jnz1568/getInfo.php?workbook=26_25.xlsx&amp;sheet=A0&amp;row=1061&amp;col=6&amp;number=2363000&amp;sourceID=14","2363000")</f>
        <v>2363000</v>
      </c>
      <c r="G1061" s="4" t="str">
        <f>HYPERLINK("http://141.218.60.56/~jnz1568/getInfo.php?workbook=26_25.xlsx&amp;sheet=A0&amp;row=1061&amp;col=7&amp;number=0&amp;sourceID=14","0")</f>
        <v>0</v>
      </c>
    </row>
    <row r="1062" spans="1:7">
      <c r="A1062" s="3">
        <v>26</v>
      </c>
      <c r="B1062" s="3">
        <v>25</v>
      </c>
      <c r="C1062" s="3">
        <v>127</v>
      </c>
      <c r="D1062" s="3">
        <v>20</v>
      </c>
      <c r="E1062" s="3">
        <v>1450.114</v>
      </c>
      <c r="F1062" s="4" t="str">
        <f>HYPERLINK("http://141.218.60.56/~jnz1568/getInfo.php?workbook=26_25.xlsx&amp;sheet=A0&amp;row=1062&amp;col=6&amp;number=220600000&amp;sourceID=14","220600000")</f>
        <v>220600000</v>
      </c>
      <c r="G1062" s="4" t="str">
        <f>HYPERLINK("http://141.218.60.56/~jnz1568/getInfo.php?workbook=26_25.xlsx&amp;sheet=A0&amp;row=1062&amp;col=7&amp;number=0&amp;sourceID=14","0")</f>
        <v>0</v>
      </c>
    </row>
    <row r="1063" spans="1:7">
      <c r="A1063" s="3">
        <v>26</v>
      </c>
      <c r="B1063" s="3">
        <v>25</v>
      </c>
      <c r="C1063" s="3">
        <v>127</v>
      </c>
      <c r="D1063" s="3">
        <v>21</v>
      </c>
      <c r="E1063" s="3">
        <v>1453.883</v>
      </c>
      <c r="F1063" s="4" t="str">
        <f>HYPERLINK("http://141.218.60.56/~jnz1568/getInfo.php?workbook=26_25.xlsx&amp;sheet=A0&amp;row=1063&amp;col=6&amp;number=10250000&amp;sourceID=14","10250000")</f>
        <v>10250000</v>
      </c>
      <c r="G1063" s="4" t="str">
        <f>HYPERLINK("http://141.218.60.56/~jnz1568/getInfo.php?workbook=26_25.xlsx&amp;sheet=A0&amp;row=1063&amp;col=7&amp;number=0&amp;sourceID=14","0")</f>
        <v>0</v>
      </c>
    </row>
    <row r="1064" spans="1:7">
      <c r="A1064" s="3">
        <v>26</v>
      </c>
      <c r="B1064" s="3">
        <v>25</v>
      </c>
      <c r="C1064" s="3">
        <v>127</v>
      </c>
      <c r="D1064" s="3">
        <v>22</v>
      </c>
      <c r="E1064" s="3">
        <v>1457.087</v>
      </c>
      <c r="F1064" s="4" t="str">
        <f>HYPERLINK("http://141.218.60.56/~jnz1568/getInfo.php?workbook=26_25.xlsx&amp;sheet=A0&amp;row=1064&amp;col=6&amp;number=189900&amp;sourceID=14","189900")</f>
        <v>189900</v>
      </c>
      <c r="G1064" s="4" t="str">
        <f>HYPERLINK("http://141.218.60.56/~jnz1568/getInfo.php?workbook=26_25.xlsx&amp;sheet=A0&amp;row=1064&amp;col=7&amp;number=0&amp;sourceID=14","0")</f>
        <v>0</v>
      </c>
    </row>
    <row r="1065" spans="1:7">
      <c r="A1065" s="3">
        <v>26</v>
      </c>
      <c r="B1065" s="3">
        <v>25</v>
      </c>
      <c r="C1065" s="3">
        <v>128</v>
      </c>
      <c r="D1065" s="3">
        <v>6</v>
      </c>
      <c r="E1065" s="3">
        <v>1134.17</v>
      </c>
      <c r="F1065" s="4" t="str">
        <f>HYPERLINK("http://141.218.60.56/~jnz1568/getInfo.php?workbook=26_25.xlsx&amp;sheet=A0&amp;row=1065&amp;col=6&amp;number=17910&amp;sourceID=14","17910")</f>
        <v>17910</v>
      </c>
      <c r="G1065" s="4" t="str">
        <f>HYPERLINK("http://141.218.60.56/~jnz1568/getInfo.php?workbook=26_25.xlsx&amp;sheet=A0&amp;row=1065&amp;col=7&amp;number=0&amp;sourceID=14","0")</f>
        <v>0</v>
      </c>
    </row>
    <row r="1066" spans="1:7">
      <c r="A1066" s="3">
        <v>26</v>
      </c>
      <c r="B1066" s="3">
        <v>25</v>
      </c>
      <c r="C1066" s="3">
        <v>128</v>
      </c>
      <c r="D1066" s="3">
        <v>7</v>
      </c>
      <c r="E1066" s="3">
        <v>1141.387</v>
      </c>
      <c r="F1066" s="4" t="str">
        <f>HYPERLINK("http://141.218.60.56/~jnz1568/getInfo.php?workbook=26_25.xlsx&amp;sheet=A0&amp;row=1066&amp;col=6&amp;number=194300&amp;sourceID=14","194300")</f>
        <v>194300</v>
      </c>
      <c r="G1066" s="4" t="str">
        <f>HYPERLINK("http://141.218.60.56/~jnz1568/getInfo.php?workbook=26_25.xlsx&amp;sheet=A0&amp;row=1066&amp;col=7&amp;number=0&amp;sourceID=14","0")</f>
        <v>0</v>
      </c>
    </row>
    <row r="1067" spans="1:7">
      <c r="A1067" s="3">
        <v>26</v>
      </c>
      <c r="B1067" s="3">
        <v>25</v>
      </c>
      <c r="C1067" s="3">
        <v>128</v>
      </c>
      <c r="D1067" s="3">
        <v>24</v>
      </c>
      <c r="E1067" s="3">
        <v>1483.557</v>
      </c>
      <c r="F1067" s="4" t="str">
        <f>HYPERLINK("http://141.218.60.56/~jnz1568/getInfo.php?workbook=26_25.xlsx&amp;sheet=A0&amp;row=1067&amp;col=6&amp;number=6494000&amp;sourceID=14","6494000")</f>
        <v>6494000</v>
      </c>
      <c r="G1067" s="4" t="str">
        <f>HYPERLINK("http://141.218.60.56/~jnz1568/getInfo.php?workbook=26_25.xlsx&amp;sheet=A0&amp;row=1067&amp;col=7&amp;number=0&amp;sourceID=14","0")</f>
        <v>0</v>
      </c>
    </row>
    <row r="1068" spans="1:7">
      <c r="A1068" s="3">
        <v>26</v>
      </c>
      <c r="B1068" s="3">
        <v>25</v>
      </c>
      <c r="C1068" s="3">
        <v>128</v>
      </c>
      <c r="D1068" s="3">
        <v>25</v>
      </c>
      <c r="E1068" s="3">
        <v>1487.378</v>
      </c>
      <c r="F1068" s="4" t="str">
        <f>HYPERLINK("http://141.218.60.56/~jnz1568/getInfo.php?workbook=26_25.xlsx&amp;sheet=A0&amp;row=1068&amp;col=6&amp;number=71220000&amp;sourceID=14","71220000")</f>
        <v>71220000</v>
      </c>
      <c r="G1068" s="4" t="str">
        <f>HYPERLINK("http://141.218.60.56/~jnz1568/getInfo.php?workbook=26_25.xlsx&amp;sheet=A0&amp;row=1068&amp;col=7&amp;number=0&amp;sourceID=14","0")</f>
        <v>0</v>
      </c>
    </row>
    <row r="1069" spans="1:7">
      <c r="A1069" s="3">
        <v>26</v>
      </c>
      <c r="B1069" s="3">
        <v>25</v>
      </c>
      <c r="C1069" s="3">
        <v>128</v>
      </c>
      <c r="D1069" s="3">
        <v>61</v>
      </c>
      <c r="E1069" s="3">
        <v>2507.188</v>
      </c>
      <c r="F1069" s="4" t="str">
        <f>HYPERLINK("http://141.218.60.56/~jnz1568/getInfo.php?workbook=26_25.xlsx&amp;sheet=A0&amp;row=1069&amp;col=6&amp;number=180700&amp;sourceID=14","180700")</f>
        <v>180700</v>
      </c>
      <c r="G1069" s="4" t="str">
        <f>HYPERLINK("http://141.218.60.56/~jnz1568/getInfo.php?workbook=26_25.xlsx&amp;sheet=A0&amp;row=1069&amp;col=7&amp;number=0&amp;sourceID=14","0")</f>
        <v>0</v>
      </c>
    </row>
    <row r="1070" spans="1:7">
      <c r="A1070" s="3">
        <v>26</v>
      </c>
      <c r="B1070" s="3">
        <v>25</v>
      </c>
      <c r="C1070" s="3">
        <v>128</v>
      </c>
      <c r="D1070" s="3">
        <v>62</v>
      </c>
      <c r="E1070" s="3">
        <v>2509.097</v>
      </c>
      <c r="F1070" s="4" t="str">
        <f>HYPERLINK("http://141.218.60.56/~jnz1568/getInfo.php?workbook=26_25.xlsx&amp;sheet=A0&amp;row=1070&amp;col=6&amp;number=115300000&amp;sourceID=14","115300000")</f>
        <v>115300000</v>
      </c>
      <c r="G1070" s="4" t="str">
        <f>HYPERLINK("http://141.218.60.56/~jnz1568/getInfo.php?workbook=26_25.xlsx&amp;sheet=A0&amp;row=1070&amp;col=7&amp;number=0&amp;sourceID=14","0")</f>
        <v>0</v>
      </c>
    </row>
    <row r="1071" spans="1:7">
      <c r="A1071" s="3">
        <v>26</v>
      </c>
      <c r="B1071" s="3">
        <v>25</v>
      </c>
      <c r="C1071" s="3">
        <v>128</v>
      </c>
      <c r="D1071" s="3">
        <v>28</v>
      </c>
      <c r="E1071" s="3">
        <v>1547.652</v>
      </c>
      <c r="F1071" s="4" t="str">
        <f>HYPERLINK("http://141.218.60.56/~jnz1568/getInfo.php?workbook=26_25.xlsx&amp;sheet=A0&amp;row=1071&amp;col=6&amp;number=2864000&amp;sourceID=14","2864000")</f>
        <v>2864000</v>
      </c>
      <c r="G1071" s="4" t="str">
        <f>HYPERLINK("http://141.218.60.56/~jnz1568/getInfo.php?workbook=26_25.xlsx&amp;sheet=A0&amp;row=1071&amp;col=7&amp;number=0&amp;sourceID=14","0")</f>
        <v>0</v>
      </c>
    </row>
    <row r="1072" spans="1:7">
      <c r="A1072" s="3">
        <v>26</v>
      </c>
      <c r="B1072" s="3">
        <v>25</v>
      </c>
      <c r="C1072" s="3">
        <v>128</v>
      </c>
      <c r="D1072" s="3">
        <v>29</v>
      </c>
      <c r="E1072" s="3">
        <v>1556.724</v>
      </c>
      <c r="F1072" s="4" t="str">
        <f>HYPERLINK("http://141.218.60.56/~jnz1568/getInfo.php?workbook=26_25.xlsx&amp;sheet=A0&amp;row=1072&amp;col=6&amp;number=36290000&amp;sourceID=14","36290000")</f>
        <v>36290000</v>
      </c>
      <c r="G1072" s="4" t="str">
        <f>HYPERLINK("http://141.218.60.56/~jnz1568/getInfo.php?workbook=26_25.xlsx&amp;sheet=A0&amp;row=1072&amp;col=7&amp;number=0&amp;sourceID=14","0")</f>
        <v>0</v>
      </c>
    </row>
    <row r="1073" spans="1:7">
      <c r="A1073" s="3">
        <v>26</v>
      </c>
      <c r="B1073" s="3">
        <v>25</v>
      </c>
      <c r="C1073" s="3">
        <v>128</v>
      </c>
      <c r="D1073" s="3">
        <v>30</v>
      </c>
      <c r="E1073" s="3">
        <v>1561.008</v>
      </c>
      <c r="F1073" s="4" t="str">
        <f>HYPERLINK("http://141.218.60.56/~jnz1568/getInfo.php?workbook=26_25.xlsx&amp;sheet=A0&amp;row=1073&amp;col=6&amp;number=3642000&amp;sourceID=14","3642000")</f>
        <v>3642000</v>
      </c>
      <c r="G1073" s="4" t="str">
        <f>HYPERLINK("http://141.218.60.56/~jnz1568/getInfo.php?workbook=26_25.xlsx&amp;sheet=A0&amp;row=1073&amp;col=7&amp;number=0&amp;sourceID=14","0")</f>
        <v>0</v>
      </c>
    </row>
    <row r="1074" spans="1:7">
      <c r="A1074" s="3">
        <v>26</v>
      </c>
      <c r="B1074" s="3">
        <v>25</v>
      </c>
      <c r="C1074" s="3">
        <v>128</v>
      </c>
      <c r="D1074" s="3">
        <v>21</v>
      </c>
      <c r="E1074" s="3">
        <v>1457.462</v>
      </c>
      <c r="F1074" s="4" t="str">
        <f>HYPERLINK("http://141.218.60.56/~jnz1568/getInfo.php?workbook=26_25.xlsx&amp;sheet=A0&amp;row=1074&amp;col=6&amp;number=211300000&amp;sourceID=14","211300000")</f>
        <v>211300000</v>
      </c>
      <c r="G1074" s="4" t="str">
        <f>HYPERLINK("http://141.218.60.56/~jnz1568/getInfo.php?workbook=26_25.xlsx&amp;sheet=A0&amp;row=1074&amp;col=7&amp;number=0&amp;sourceID=14","0")</f>
        <v>0</v>
      </c>
    </row>
    <row r="1075" spans="1:7">
      <c r="A1075" s="3">
        <v>26</v>
      </c>
      <c r="B1075" s="3">
        <v>25</v>
      </c>
      <c r="C1075" s="3">
        <v>128</v>
      </c>
      <c r="D1075" s="3">
        <v>22</v>
      </c>
      <c r="E1075" s="3">
        <v>1460.683</v>
      </c>
      <c r="F1075" s="4" t="str">
        <f>HYPERLINK("http://141.218.60.56/~jnz1568/getInfo.php?workbook=26_25.xlsx&amp;sheet=A0&amp;row=1075&amp;col=6&amp;number=16040000&amp;sourceID=14","16040000")</f>
        <v>16040000</v>
      </c>
      <c r="G1075" s="4" t="str">
        <f>HYPERLINK("http://141.218.60.56/~jnz1568/getInfo.php?workbook=26_25.xlsx&amp;sheet=A0&amp;row=1075&amp;col=7&amp;number=0&amp;sourceID=14","0")</f>
        <v>0</v>
      </c>
    </row>
    <row r="1076" spans="1:7">
      <c r="A1076" s="3">
        <v>26</v>
      </c>
      <c r="B1076" s="3">
        <v>25</v>
      </c>
      <c r="C1076" s="3">
        <v>128</v>
      </c>
      <c r="D1076" s="3">
        <v>23</v>
      </c>
      <c r="E1076" s="3">
        <v>1463.468</v>
      </c>
      <c r="F1076" s="4" t="str">
        <f>HYPERLINK("http://141.218.60.56/~jnz1568/getInfo.php?workbook=26_25.xlsx&amp;sheet=A0&amp;row=1076&amp;col=6&amp;number=265800&amp;sourceID=14","265800")</f>
        <v>265800</v>
      </c>
      <c r="G1076" s="4" t="str">
        <f>HYPERLINK("http://141.218.60.56/~jnz1568/getInfo.php?workbook=26_25.xlsx&amp;sheet=A0&amp;row=1076&amp;col=7&amp;number=0&amp;sourceID=14","0")</f>
        <v>0</v>
      </c>
    </row>
    <row r="1077" spans="1:7">
      <c r="A1077" s="3">
        <v>26</v>
      </c>
      <c r="B1077" s="3">
        <v>25</v>
      </c>
      <c r="C1077" s="3">
        <v>129</v>
      </c>
      <c r="D1077" s="3">
        <v>7</v>
      </c>
      <c r="E1077" s="3">
        <v>1143.376</v>
      </c>
      <c r="F1077" s="4" t="str">
        <f>HYPERLINK("http://141.218.60.56/~jnz1568/getInfo.php?workbook=26_25.xlsx&amp;sheet=A0&amp;row=1077&amp;col=6&amp;number=28640&amp;sourceID=14","28640")</f>
        <v>28640</v>
      </c>
      <c r="G1077" s="4" t="str">
        <f>HYPERLINK("http://141.218.60.56/~jnz1568/getInfo.php?workbook=26_25.xlsx&amp;sheet=A0&amp;row=1077&amp;col=7&amp;number=0&amp;sourceID=14","0")</f>
        <v>0</v>
      </c>
    </row>
    <row r="1078" spans="1:7">
      <c r="A1078" s="3">
        <v>26</v>
      </c>
      <c r="B1078" s="3">
        <v>25</v>
      </c>
      <c r="C1078" s="3">
        <v>129</v>
      </c>
      <c r="D1078" s="3">
        <v>8</v>
      </c>
      <c r="E1078" s="3">
        <v>1148.733</v>
      </c>
      <c r="F1078" s="4" t="str">
        <f>HYPERLINK("http://141.218.60.56/~jnz1568/getInfo.php?workbook=26_25.xlsx&amp;sheet=A0&amp;row=1078&amp;col=6&amp;number=179100&amp;sourceID=14","179100")</f>
        <v>179100</v>
      </c>
      <c r="G1078" s="4" t="str">
        <f>HYPERLINK("http://141.218.60.56/~jnz1568/getInfo.php?workbook=26_25.xlsx&amp;sheet=A0&amp;row=1078&amp;col=7&amp;number=0&amp;sourceID=14","0")</f>
        <v>0</v>
      </c>
    </row>
    <row r="1079" spans="1:7">
      <c r="A1079" s="3">
        <v>26</v>
      </c>
      <c r="B1079" s="3">
        <v>25</v>
      </c>
      <c r="C1079" s="3">
        <v>129</v>
      </c>
      <c r="D1079" s="3">
        <v>24</v>
      </c>
      <c r="E1079" s="3">
        <v>1486.919</v>
      </c>
      <c r="F1079" s="4" t="str">
        <f>HYPERLINK("http://141.218.60.56/~jnz1568/getInfo.php?workbook=26_25.xlsx&amp;sheet=A0&amp;row=1079&amp;col=6&amp;number=236300&amp;sourceID=14","236300")</f>
        <v>236300</v>
      </c>
      <c r="G1079" s="4" t="str">
        <f>HYPERLINK("http://141.218.60.56/~jnz1568/getInfo.php?workbook=26_25.xlsx&amp;sheet=A0&amp;row=1079&amp;col=7&amp;number=0&amp;sourceID=14","0")</f>
        <v>0</v>
      </c>
    </row>
    <row r="1080" spans="1:7">
      <c r="A1080" s="3">
        <v>26</v>
      </c>
      <c r="B1080" s="3">
        <v>25</v>
      </c>
      <c r="C1080" s="3">
        <v>129</v>
      </c>
      <c r="D1080" s="3">
        <v>25</v>
      </c>
      <c r="E1080" s="3">
        <v>1490.757</v>
      </c>
      <c r="F1080" s="4" t="str">
        <f>HYPERLINK("http://141.218.60.56/~jnz1568/getInfo.php?workbook=26_25.xlsx&amp;sheet=A0&amp;row=1080&amp;col=6&amp;number=10480000&amp;sourceID=14","10480000")</f>
        <v>10480000</v>
      </c>
      <c r="G1080" s="4" t="str">
        <f>HYPERLINK("http://141.218.60.56/~jnz1568/getInfo.php?workbook=26_25.xlsx&amp;sheet=A0&amp;row=1080&amp;col=7&amp;number=0&amp;sourceID=14","0")</f>
        <v>0</v>
      </c>
    </row>
    <row r="1081" spans="1:7">
      <c r="A1081" s="3">
        <v>26</v>
      </c>
      <c r="B1081" s="3">
        <v>25</v>
      </c>
      <c r="C1081" s="3">
        <v>129</v>
      </c>
      <c r="D1081" s="3">
        <v>26</v>
      </c>
      <c r="E1081" s="3">
        <v>1493.629</v>
      </c>
      <c r="F1081" s="4" t="str">
        <f>HYPERLINK("http://141.218.60.56/~jnz1568/getInfo.php?workbook=26_25.xlsx&amp;sheet=A0&amp;row=1081&amp;col=6&amp;number=66100000&amp;sourceID=14","66100000")</f>
        <v>66100000</v>
      </c>
      <c r="G1081" s="4" t="str">
        <f>HYPERLINK("http://141.218.60.56/~jnz1568/getInfo.php?workbook=26_25.xlsx&amp;sheet=A0&amp;row=1081&amp;col=7&amp;number=0&amp;sourceID=14","0")</f>
        <v>0</v>
      </c>
    </row>
    <row r="1082" spans="1:7">
      <c r="A1082" s="3">
        <v>26</v>
      </c>
      <c r="B1082" s="3">
        <v>25</v>
      </c>
      <c r="C1082" s="3">
        <v>129</v>
      </c>
      <c r="D1082" s="3">
        <v>61</v>
      </c>
      <c r="E1082" s="3">
        <v>2516.805</v>
      </c>
      <c r="F1082" s="4" t="str">
        <f>HYPERLINK("http://141.218.60.56/~jnz1568/getInfo.php?workbook=26_25.xlsx&amp;sheet=A0&amp;row=1082&amp;col=6&amp;number=6544&amp;sourceID=14","6544")</f>
        <v>6544</v>
      </c>
      <c r="G1082" s="4" t="str">
        <f>HYPERLINK("http://141.218.60.56/~jnz1568/getInfo.php?workbook=26_25.xlsx&amp;sheet=A0&amp;row=1082&amp;col=7&amp;number=0&amp;sourceID=14","0")</f>
        <v>0</v>
      </c>
    </row>
    <row r="1083" spans="1:7">
      <c r="A1083" s="3">
        <v>26</v>
      </c>
      <c r="B1083" s="3">
        <v>25</v>
      </c>
      <c r="C1083" s="3">
        <v>129</v>
      </c>
      <c r="D1083" s="3">
        <v>62</v>
      </c>
      <c r="E1083" s="3">
        <v>2518.729</v>
      </c>
      <c r="F1083" s="4" t="str">
        <f>HYPERLINK("http://141.218.60.56/~jnz1568/getInfo.php?workbook=26_25.xlsx&amp;sheet=A0&amp;row=1083&amp;col=6&amp;number=291900&amp;sourceID=14","291900")</f>
        <v>291900</v>
      </c>
      <c r="G1083" s="4" t="str">
        <f>HYPERLINK("http://141.218.60.56/~jnz1568/getInfo.php?workbook=26_25.xlsx&amp;sheet=A0&amp;row=1083&amp;col=7&amp;number=0&amp;sourceID=14","0")</f>
        <v>0</v>
      </c>
    </row>
    <row r="1084" spans="1:7">
      <c r="A1084" s="3">
        <v>26</v>
      </c>
      <c r="B1084" s="3">
        <v>25</v>
      </c>
      <c r="C1084" s="3">
        <v>129</v>
      </c>
      <c r="D1084" s="3">
        <v>63</v>
      </c>
      <c r="E1084" s="3">
        <v>2515.876</v>
      </c>
      <c r="F1084" s="4" t="str">
        <f>HYPERLINK("http://141.218.60.56/~jnz1568/getInfo.php?workbook=26_25.xlsx&amp;sheet=A0&amp;row=1084&amp;col=6&amp;number=1858000&amp;sourceID=14","1858000")</f>
        <v>1858000</v>
      </c>
      <c r="G1084" s="4" t="str">
        <f>HYPERLINK("http://141.218.60.56/~jnz1568/getInfo.php?workbook=26_25.xlsx&amp;sheet=A0&amp;row=1084&amp;col=7&amp;number=0&amp;sourceID=14","0")</f>
        <v>0</v>
      </c>
    </row>
    <row r="1085" spans="1:7">
      <c r="A1085" s="3">
        <v>26</v>
      </c>
      <c r="B1085" s="3">
        <v>25</v>
      </c>
      <c r="C1085" s="3">
        <v>129</v>
      </c>
      <c r="D1085" s="3">
        <v>29</v>
      </c>
      <c r="E1085" s="3">
        <v>1560.426</v>
      </c>
      <c r="F1085" s="4" t="str">
        <f>HYPERLINK("http://141.218.60.56/~jnz1568/getInfo.php?workbook=26_25.xlsx&amp;sheet=A0&amp;row=1085&amp;col=6&amp;number=4558000&amp;sourceID=14","4558000")</f>
        <v>4558000</v>
      </c>
      <c r="G1085" s="4" t="str">
        <f>HYPERLINK("http://141.218.60.56/~jnz1568/getInfo.php?workbook=26_25.xlsx&amp;sheet=A0&amp;row=1085&amp;col=7&amp;number=0&amp;sourceID=14","0")</f>
        <v>0</v>
      </c>
    </row>
    <row r="1086" spans="1:7">
      <c r="A1086" s="3">
        <v>26</v>
      </c>
      <c r="B1086" s="3">
        <v>25</v>
      </c>
      <c r="C1086" s="3">
        <v>129</v>
      </c>
      <c r="D1086" s="3">
        <v>30</v>
      </c>
      <c r="E1086" s="3">
        <v>1564.731</v>
      </c>
      <c r="F1086" s="4" t="str">
        <f>HYPERLINK("http://141.218.60.56/~jnz1568/getInfo.php?workbook=26_25.xlsx&amp;sheet=A0&amp;row=1086&amp;col=6&amp;number=34280000&amp;sourceID=14","34280000")</f>
        <v>34280000</v>
      </c>
      <c r="G1086" s="4" t="str">
        <f>HYPERLINK("http://141.218.60.56/~jnz1568/getInfo.php?workbook=26_25.xlsx&amp;sheet=A0&amp;row=1086&amp;col=7&amp;number=0&amp;sourceID=14","0")</f>
        <v>0</v>
      </c>
    </row>
    <row r="1087" spans="1:7">
      <c r="A1087" s="3">
        <v>26</v>
      </c>
      <c r="B1087" s="3">
        <v>25</v>
      </c>
      <c r="C1087" s="3">
        <v>129</v>
      </c>
      <c r="D1087" s="3">
        <v>31</v>
      </c>
      <c r="E1087" s="3">
        <v>1566.54</v>
      </c>
      <c r="F1087" s="4" t="str">
        <f>HYPERLINK("http://141.218.60.56/~jnz1568/getInfo.php?workbook=26_25.xlsx&amp;sheet=A0&amp;row=1087&amp;col=6&amp;number=3393000&amp;sourceID=14","3393000")</f>
        <v>3393000</v>
      </c>
      <c r="G1087" s="4" t="str">
        <f>HYPERLINK("http://141.218.60.56/~jnz1568/getInfo.php?workbook=26_25.xlsx&amp;sheet=A0&amp;row=1087&amp;col=7&amp;number=0&amp;sourceID=14","0")</f>
        <v>0</v>
      </c>
    </row>
    <row r="1088" spans="1:7">
      <c r="A1088" s="3">
        <v>26</v>
      </c>
      <c r="B1088" s="3">
        <v>25</v>
      </c>
      <c r="C1088" s="3">
        <v>129</v>
      </c>
      <c r="D1088" s="3">
        <v>22</v>
      </c>
      <c r="E1088" s="3">
        <v>1463.942</v>
      </c>
      <c r="F1088" s="4" t="str">
        <f>HYPERLINK("http://141.218.60.56/~jnz1568/getInfo.php?workbook=26_25.xlsx&amp;sheet=A0&amp;row=1088&amp;col=6&amp;number=209300000&amp;sourceID=14","209300000")</f>
        <v>209300000</v>
      </c>
      <c r="G1088" s="4" t="str">
        <f>HYPERLINK("http://141.218.60.56/~jnz1568/getInfo.php?workbook=26_25.xlsx&amp;sheet=A0&amp;row=1088&amp;col=7&amp;number=0&amp;sourceID=14","0")</f>
        <v>0</v>
      </c>
    </row>
    <row r="1089" spans="1:7">
      <c r="A1089" s="3">
        <v>26</v>
      </c>
      <c r="B1089" s="3">
        <v>25</v>
      </c>
      <c r="C1089" s="3">
        <v>129</v>
      </c>
      <c r="D1089" s="3">
        <v>23</v>
      </c>
      <c r="E1089" s="3">
        <v>1466.739</v>
      </c>
      <c r="F1089" s="4" t="str">
        <f>HYPERLINK("http://141.218.60.56/~jnz1568/getInfo.php?workbook=26_25.xlsx&amp;sheet=A0&amp;row=1089&amp;col=6&amp;number=14980000&amp;sourceID=14","14980000")</f>
        <v>14980000</v>
      </c>
      <c r="G1089" s="4" t="str">
        <f>HYPERLINK("http://141.218.60.56/~jnz1568/getInfo.php?workbook=26_25.xlsx&amp;sheet=A0&amp;row=1089&amp;col=7&amp;number=0&amp;sourceID=14","0")</f>
        <v>0</v>
      </c>
    </row>
    <row r="1090" spans="1:7">
      <c r="A1090" s="3">
        <v>26</v>
      </c>
      <c r="B1090" s="3">
        <v>25</v>
      </c>
      <c r="C1090" s="3">
        <v>130</v>
      </c>
      <c r="D1090" s="3">
        <v>8</v>
      </c>
      <c r="E1090" s="3">
        <v>1150.888</v>
      </c>
      <c r="F1090" s="4" t="str">
        <f>HYPERLINK("http://141.218.60.56/~jnz1568/getInfo.php?workbook=26_25.xlsx&amp;sheet=A0&amp;row=1090&amp;col=6&amp;number=28580&amp;sourceID=14","28580")</f>
        <v>28580</v>
      </c>
      <c r="G1090" s="4" t="str">
        <f>HYPERLINK("http://141.218.60.56/~jnz1568/getInfo.php?workbook=26_25.xlsx&amp;sheet=A0&amp;row=1090&amp;col=7&amp;number=0&amp;sourceID=14","0")</f>
        <v>0</v>
      </c>
    </row>
    <row r="1091" spans="1:7">
      <c r="A1091" s="3">
        <v>26</v>
      </c>
      <c r="B1091" s="3">
        <v>25</v>
      </c>
      <c r="C1091" s="3">
        <v>130</v>
      </c>
      <c r="D1091" s="3">
        <v>9</v>
      </c>
      <c r="E1091" s="3">
        <v>1154.603</v>
      </c>
      <c r="F1091" s="4" t="str">
        <f>HYPERLINK("http://141.218.60.56/~jnz1568/getInfo.php?workbook=26_25.xlsx&amp;sheet=A0&amp;row=1091&amp;col=6&amp;number=175700&amp;sourceID=14","175700")</f>
        <v>175700</v>
      </c>
      <c r="G1091" s="4" t="str">
        <f>HYPERLINK("http://141.218.60.56/~jnz1568/getInfo.php?workbook=26_25.xlsx&amp;sheet=A0&amp;row=1091&amp;col=7&amp;number=0&amp;sourceID=14","0")</f>
        <v>0</v>
      </c>
    </row>
    <row r="1092" spans="1:7">
      <c r="A1092" s="3">
        <v>26</v>
      </c>
      <c r="B1092" s="3">
        <v>25</v>
      </c>
      <c r="C1092" s="3">
        <v>130</v>
      </c>
      <c r="D1092" s="3">
        <v>25</v>
      </c>
      <c r="E1092" s="3">
        <v>1494.389</v>
      </c>
      <c r="F1092" s="4" t="str">
        <f>HYPERLINK("http://141.218.60.56/~jnz1568/getInfo.php?workbook=26_25.xlsx&amp;sheet=A0&amp;row=1092&amp;col=6&amp;number=383400&amp;sourceID=14","383400")</f>
        <v>383400</v>
      </c>
      <c r="G1092" s="4" t="str">
        <f>HYPERLINK("http://141.218.60.56/~jnz1568/getInfo.php?workbook=26_25.xlsx&amp;sheet=A0&amp;row=1092&amp;col=7&amp;number=0&amp;sourceID=14","0")</f>
        <v>0</v>
      </c>
    </row>
    <row r="1093" spans="1:7">
      <c r="A1093" s="3">
        <v>26</v>
      </c>
      <c r="B1093" s="3">
        <v>25</v>
      </c>
      <c r="C1093" s="3">
        <v>130</v>
      </c>
      <c r="D1093" s="3">
        <v>26</v>
      </c>
      <c r="E1093" s="3">
        <v>1497.275</v>
      </c>
      <c r="F1093" s="4" t="str">
        <f>HYPERLINK("http://141.218.60.56/~jnz1568/getInfo.php?workbook=26_25.xlsx&amp;sheet=A0&amp;row=1093&amp;col=6&amp;number=10530000&amp;sourceID=14","10530000")</f>
        <v>10530000</v>
      </c>
      <c r="G1093" s="4" t="str">
        <f>HYPERLINK("http://141.218.60.56/~jnz1568/getInfo.php?workbook=26_25.xlsx&amp;sheet=A0&amp;row=1093&amp;col=7&amp;number=0&amp;sourceID=14","0")</f>
        <v>0</v>
      </c>
    </row>
    <row r="1094" spans="1:7">
      <c r="A1094" s="3">
        <v>26</v>
      </c>
      <c r="B1094" s="3">
        <v>25</v>
      </c>
      <c r="C1094" s="3">
        <v>130</v>
      </c>
      <c r="D1094" s="3">
        <v>27</v>
      </c>
      <c r="E1094" s="3">
        <v>1499.339</v>
      </c>
      <c r="F1094" s="4" t="str">
        <f>HYPERLINK("http://141.218.60.56/~jnz1568/getInfo.php?workbook=26_25.xlsx&amp;sheet=A0&amp;row=1094&amp;col=6&amp;number=65080000&amp;sourceID=14","65080000")</f>
        <v>65080000</v>
      </c>
      <c r="G1094" s="4" t="str">
        <f>HYPERLINK("http://141.218.60.56/~jnz1568/getInfo.php?workbook=26_25.xlsx&amp;sheet=A0&amp;row=1094&amp;col=7&amp;number=0&amp;sourceID=14","0")</f>
        <v>0</v>
      </c>
    </row>
    <row r="1095" spans="1:7">
      <c r="A1095" s="3">
        <v>26</v>
      </c>
      <c r="B1095" s="3">
        <v>25</v>
      </c>
      <c r="C1095" s="3">
        <v>130</v>
      </c>
      <c r="D1095" s="3">
        <v>62</v>
      </c>
      <c r="E1095" s="3">
        <v>2529.114</v>
      </c>
      <c r="F1095" s="4" t="str">
        <f>HYPERLINK("http://141.218.60.56/~jnz1568/getInfo.php?workbook=26_25.xlsx&amp;sheet=A0&amp;row=1095&amp;col=6&amp;number=10620&amp;sourceID=14","10620")</f>
        <v>10620</v>
      </c>
      <c r="G1095" s="4" t="str">
        <f>HYPERLINK("http://141.218.60.56/~jnz1568/getInfo.php?workbook=26_25.xlsx&amp;sheet=A0&amp;row=1095&amp;col=7&amp;number=0&amp;sourceID=14","0")</f>
        <v>0</v>
      </c>
    </row>
    <row r="1096" spans="1:7">
      <c r="A1096" s="3">
        <v>26</v>
      </c>
      <c r="B1096" s="3">
        <v>25</v>
      </c>
      <c r="C1096" s="3">
        <v>130</v>
      </c>
      <c r="D1096" s="3">
        <v>63</v>
      </c>
      <c r="E1096" s="3">
        <v>2526.238</v>
      </c>
      <c r="F1096" s="4" t="str">
        <f>HYPERLINK("http://141.218.60.56/~jnz1568/getInfo.php?workbook=26_25.xlsx&amp;sheet=A0&amp;row=1096&amp;col=6&amp;number=294400&amp;sourceID=14","294400")</f>
        <v>294400</v>
      </c>
      <c r="G1096" s="4" t="str">
        <f>HYPERLINK("http://141.218.60.56/~jnz1568/getInfo.php?workbook=26_25.xlsx&amp;sheet=A0&amp;row=1096&amp;col=7&amp;number=0&amp;sourceID=14","0")</f>
        <v>0</v>
      </c>
    </row>
    <row r="1097" spans="1:7">
      <c r="A1097" s="3">
        <v>26</v>
      </c>
      <c r="B1097" s="3">
        <v>25</v>
      </c>
      <c r="C1097" s="3">
        <v>130</v>
      </c>
      <c r="D1097" s="3">
        <v>64</v>
      </c>
      <c r="E1097" s="3">
        <v>2521.977</v>
      </c>
      <c r="F1097" s="4" t="str">
        <f>HYPERLINK("http://141.218.60.56/~jnz1568/getInfo.php?workbook=26_25.xlsx&amp;sheet=A0&amp;row=1097&amp;col=6&amp;number=1836000&amp;sourceID=14","1836000")</f>
        <v>1836000</v>
      </c>
      <c r="G1097" s="4" t="str">
        <f>HYPERLINK("http://141.218.60.56/~jnz1568/getInfo.php?workbook=26_25.xlsx&amp;sheet=A0&amp;row=1097&amp;col=7&amp;number=0&amp;sourceID=14","0")</f>
        <v>0</v>
      </c>
    </row>
    <row r="1098" spans="1:7">
      <c r="A1098" s="3">
        <v>26</v>
      </c>
      <c r="B1098" s="3">
        <v>25</v>
      </c>
      <c r="C1098" s="3">
        <v>130</v>
      </c>
      <c r="D1098" s="3">
        <v>30</v>
      </c>
      <c r="E1098" s="3">
        <v>1568.733</v>
      </c>
      <c r="F1098" s="4" t="str">
        <f>HYPERLINK("http://141.218.60.56/~jnz1568/getInfo.php?workbook=26_25.xlsx&amp;sheet=A0&amp;row=1098&amp;col=6&amp;number=4505000&amp;sourceID=14","4505000")</f>
        <v>4505000</v>
      </c>
      <c r="G1098" s="4" t="str">
        <f>HYPERLINK("http://141.218.60.56/~jnz1568/getInfo.php?workbook=26_25.xlsx&amp;sheet=A0&amp;row=1098&amp;col=7&amp;number=0&amp;sourceID=14","0")</f>
        <v>0</v>
      </c>
    </row>
    <row r="1099" spans="1:7">
      <c r="A1099" s="3">
        <v>26</v>
      </c>
      <c r="B1099" s="3">
        <v>25</v>
      </c>
      <c r="C1099" s="3">
        <v>130</v>
      </c>
      <c r="D1099" s="3">
        <v>31</v>
      </c>
      <c r="E1099" s="3">
        <v>1570.551</v>
      </c>
      <c r="F1099" s="4" t="str">
        <f>HYPERLINK("http://141.218.60.56/~jnz1568/getInfo.php?workbook=26_25.xlsx&amp;sheet=A0&amp;row=1099&amp;col=6&amp;number=37310000&amp;sourceID=14","37310000")</f>
        <v>37310000</v>
      </c>
      <c r="G1099" s="4" t="str">
        <f>HYPERLINK("http://141.218.60.56/~jnz1568/getInfo.php?workbook=26_25.xlsx&amp;sheet=A0&amp;row=1099&amp;col=7&amp;number=0&amp;sourceID=14","0")</f>
        <v>0</v>
      </c>
    </row>
    <row r="1100" spans="1:7">
      <c r="A1100" s="3">
        <v>26</v>
      </c>
      <c r="B1100" s="3">
        <v>25</v>
      </c>
      <c r="C1100" s="3">
        <v>130</v>
      </c>
      <c r="D1100" s="3">
        <v>23</v>
      </c>
      <c r="E1100" s="3">
        <v>1470.255</v>
      </c>
      <c r="F1100" s="4" t="str">
        <f>HYPERLINK("http://141.218.60.56/~jnz1568/getInfo.php?workbook=26_25.xlsx&amp;sheet=A0&amp;row=1100&amp;col=6&amp;number=221800000&amp;sourceID=14","221800000")</f>
        <v>221800000</v>
      </c>
      <c r="G1100" s="4" t="str">
        <f>HYPERLINK("http://141.218.60.56/~jnz1568/getInfo.php?workbook=26_25.xlsx&amp;sheet=A0&amp;row=1100&amp;col=7&amp;number=0&amp;sourceID=14","0")</f>
        <v>0</v>
      </c>
    </row>
    <row r="1101" spans="1:7">
      <c r="A1101" s="3">
        <v>26</v>
      </c>
      <c r="B1101" s="3">
        <v>25</v>
      </c>
      <c r="C1101" s="3">
        <v>131</v>
      </c>
      <c r="D1101" s="3">
        <v>14</v>
      </c>
      <c r="E1101" s="3">
        <v>1296.084</v>
      </c>
      <c r="F1101" s="4" t="str">
        <f>HYPERLINK("http://141.218.60.56/~jnz1568/getInfo.php?workbook=26_25.xlsx&amp;sheet=A0&amp;row=1101&amp;col=6&amp;number=231700000&amp;sourceID=14","231700000")</f>
        <v>231700000</v>
      </c>
      <c r="G1101" s="4" t="str">
        <f>HYPERLINK("http://141.218.60.56/~jnz1568/getInfo.php?workbook=26_25.xlsx&amp;sheet=A0&amp;row=1101&amp;col=7&amp;number=0&amp;sourceID=14","0")</f>
        <v>0</v>
      </c>
    </row>
    <row r="1102" spans="1:7">
      <c r="A1102" s="3">
        <v>26</v>
      </c>
      <c r="B1102" s="3">
        <v>25</v>
      </c>
      <c r="C1102" s="3">
        <v>131</v>
      </c>
      <c r="D1102" s="3">
        <v>15</v>
      </c>
      <c r="E1102" s="3">
        <v>1299.432</v>
      </c>
      <c r="F1102" s="4" t="str">
        <f>HYPERLINK("http://141.218.60.56/~jnz1568/getInfo.php?workbook=26_25.xlsx&amp;sheet=A0&amp;row=1102&amp;col=6&amp;number=153300000&amp;sourceID=14","153300000")</f>
        <v>153300000</v>
      </c>
      <c r="G1102" s="4" t="str">
        <f>HYPERLINK("http://141.218.60.56/~jnz1568/getInfo.php?workbook=26_25.xlsx&amp;sheet=A0&amp;row=1102&amp;col=7&amp;number=0&amp;sourceID=14","0")</f>
        <v>0</v>
      </c>
    </row>
    <row r="1103" spans="1:7">
      <c r="A1103" s="3">
        <v>26</v>
      </c>
      <c r="B1103" s="3">
        <v>25</v>
      </c>
      <c r="C1103" s="3">
        <v>131</v>
      </c>
      <c r="D1103" s="3">
        <v>16</v>
      </c>
      <c r="E1103" s="3">
        <v>1303.355</v>
      </c>
      <c r="F1103" s="4" t="str">
        <f>HYPERLINK("http://141.218.60.56/~jnz1568/getInfo.php?workbook=26_25.xlsx&amp;sheet=A0&amp;row=1103&amp;col=6&amp;number=75950000&amp;sourceID=14","75950000")</f>
        <v>75950000</v>
      </c>
      <c r="G1103" s="4" t="str">
        <f>HYPERLINK("http://141.218.60.56/~jnz1568/getInfo.php?workbook=26_25.xlsx&amp;sheet=A0&amp;row=1103&amp;col=7&amp;number=0&amp;sourceID=14","0")</f>
        <v>0</v>
      </c>
    </row>
    <row r="1104" spans="1:7">
      <c r="A1104" s="3">
        <v>26</v>
      </c>
      <c r="B1104" s="3">
        <v>25</v>
      </c>
      <c r="C1104" s="3">
        <v>131</v>
      </c>
      <c r="D1104" s="3">
        <v>17</v>
      </c>
      <c r="E1104" s="3">
        <v>1432.679</v>
      </c>
      <c r="F1104" s="4" t="str">
        <f>HYPERLINK("http://141.218.60.56/~jnz1568/getInfo.php?workbook=26_25.xlsx&amp;sheet=A0&amp;row=1104&amp;col=6&amp;number=9214000&amp;sourceID=14","9214000")</f>
        <v>9214000</v>
      </c>
      <c r="G1104" s="4" t="str">
        <f>HYPERLINK("http://141.218.60.56/~jnz1568/getInfo.php?workbook=26_25.xlsx&amp;sheet=A0&amp;row=1104&amp;col=7&amp;number=0&amp;sourceID=14","0")</f>
        <v>0</v>
      </c>
    </row>
    <row r="1105" spans="1:7">
      <c r="A1105" s="3">
        <v>26</v>
      </c>
      <c r="B1105" s="3">
        <v>25</v>
      </c>
      <c r="C1105" s="3">
        <v>131</v>
      </c>
      <c r="D1105" s="3">
        <v>18</v>
      </c>
      <c r="E1105" s="3">
        <v>1453.111</v>
      </c>
      <c r="F1105" s="4" t="str">
        <f>HYPERLINK("http://141.218.60.56/~jnz1568/getInfo.php?workbook=26_25.xlsx&amp;sheet=A0&amp;row=1105&amp;col=6&amp;number=5887000&amp;sourceID=14","5887000")</f>
        <v>5887000</v>
      </c>
      <c r="G1105" s="4" t="str">
        <f>HYPERLINK("http://141.218.60.56/~jnz1568/getInfo.php?workbook=26_25.xlsx&amp;sheet=A0&amp;row=1105&amp;col=7&amp;number=0&amp;sourceID=14","0")</f>
        <v>0</v>
      </c>
    </row>
    <row r="1106" spans="1:7">
      <c r="A1106" s="3">
        <v>26</v>
      </c>
      <c r="B1106" s="3">
        <v>25</v>
      </c>
      <c r="C1106" s="3">
        <v>131</v>
      </c>
      <c r="D1106" s="3">
        <v>19</v>
      </c>
      <c r="E1106" s="3">
        <v>1465.845</v>
      </c>
      <c r="F1106" s="4" t="str">
        <f>HYPERLINK("http://141.218.60.56/~jnz1568/getInfo.php?workbook=26_25.xlsx&amp;sheet=A0&amp;row=1106&amp;col=6&amp;number=2868000&amp;sourceID=14","2868000")</f>
        <v>2868000</v>
      </c>
      <c r="G1106" s="4" t="str">
        <f>HYPERLINK("http://141.218.60.56/~jnz1568/getInfo.php?workbook=26_25.xlsx&amp;sheet=A0&amp;row=1106&amp;col=7&amp;number=0&amp;sourceID=14","0")</f>
        <v>0</v>
      </c>
    </row>
    <row r="1107" spans="1:7">
      <c r="A1107" s="3">
        <v>26</v>
      </c>
      <c r="B1107" s="3">
        <v>25</v>
      </c>
      <c r="C1107" s="3">
        <v>131</v>
      </c>
      <c r="D1107" s="3">
        <v>65</v>
      </c>
      <c r="E1107" s="3">
        <v>2474.202</v>
      </c>
      <c r="F1107" s="4" t="str">
        <f>HYPERLINK("http://141.218.60.56/~jnz1568/getInfo.php?workbook=26_25.xlsx&amp;sheet=A0&amp;row=1107&amp;col=6&amp;number=14320000&amp;sourceID=14","14320000")</f>
        <v>14320000</v>
      </c>
      <c r="G1107" s="4" t="str">
        <f>HYPERLINK("http://141.218.60.56/~jnz1568/getInfo.php?workbook=26_25.xlsx&amp;sheet=A0&amp;row=1107&amp;col=7&amp;number=0&amp;sourceID=14","0")</f>
        <v>0</v>
      </c>
    </row>
    <row r="1108" spans="1:7">
      <c r="A1108" s="3">
        <v>26</v>
      </c>
      <c r="B1108" s="3">
        <v>25</v>
      </c>
      <c r="C1108" s="3">
        <v>131</v>
      </c>
      <c r="D1108" s="3">
        <v>66</v>
      </c>
      <c r="E1108" s="3">
        <v>2431.731</v>
      </c>
      <c r="F1108" s="4" t="str">
        <f>HYPERLINK("http://141.218.60.56/~jnz1568/getInfo.php?workbook=26_25.xlsx&amp;sheet=A0&amp;row=1108&amp;col=6&amp;number=10050000&amp;sourceID=14","10050000")</f>
        <v>10050000</v>
      </c>
      <c r="G1108" s="4" t="str">
        <f>HYPERLINK("http://141.218.60.56/~jnz1568/getInfo.php?workbook=26_25.xlsx&amp;sheet=A0&amp;row=1108&amp;col=7&amp;number=0&amp;sourceID=14","0")</f>
        <v>0</v>
      </c>
    </row>
    <row r="1109" spans="1:7">
      <c r="A1109" s="3">
        <v>26</v>
      </c>
      <c r="B1109" s="3">
        <v>25</v>
      </c>
      <c r="C1109" s="3">
        <v>131</v>
      </c>
      <c r="D1109" s="3">
        <v>67</v>
      </c>
      <c r="E1109" s="3">
        <v>2407.96</v>
      </c>
      <c r="F1109" s="4" t="str">
        <f>HYPERLINK("http://141.218.60.56/~jnz1568/getInfo.php?workbook=26_25.xlsx&amp;sheet=A0&amp;row=1109&amp;col=6&amp;number=5176000&amp;sourceID=14","5176000")</f>
        <v>5176000</v>
      </c>
      <c r="G1109" s="4" t="str">
        <f>HYPERLINK("http://141.218.60.56/~jnz1568/getInfo.php?workbook=26_25.xlsx&amp;sheet=A0&amp;row=1109&amp;col=7&amp;number=0&amp;sourceID=14","0")</f>
        <v>0</v>
      </c>
    </row>
    <row r="1110" spans="1:7">
      <c r="A1110" s="3">
        <v>26</v>
      </c>
      <c r="B1110" s="3">
        <v>25</v>
      </c>
      <c r="C1110" s="3">
        <v>132</v>
      </c>
      <c r="D1110" s="3">
        <v>14</v>
      </c>
      <c r="E1110" s="3">
        <v>1269.04</v>
      </c>
      <c r="F1110" s="4" t="str">
        <f>HYPERLINK("http://141.218.60.56/~jnz1568/getInfo.php?workbook=26_25.xlsx&amp;sheet=A0&amp;row=1110&amp;col=6&amp;number=54730000&amp;sourceID=14","54730000")</f>
        <v>54730000</v>
      </c>
      <c r="G1110" s="4" t="str">
        <f>HYPERLINK("http://141.218.60.56/~jnz1568/getInfo.php?workbook=26_25.xlsx&amp;sheet=A0&amp;row=1110&amp;col=7&amp;number=0&amp;sourceID=14","0")</f>
        <v>0</v>
      </c>
    </row>
    <row r="1111" spans="1:7">
      <c r="A1111" s="3">
        <v>26</v>
      </c>
      <c r="B1111" s="3">
        <v>25</v>
      </c>
      <c r="C1111" s="3">
        <v>132</v>
      </c>
      <c r="D1111" s="3">
        <v>15</v>
      </c>
      <c r="E1111" s="3">
        <v>1272.25</v>
      </c>
      <c r="F1111" s="4" t="str">
        <f>HYPERLINK("http://141.218.60.56/~jnz1568/getInfo.php?workbook=26_25.xlsx&amp;sheet=A0&amp;row=1111&amp;col=6&amp;number=23280000&amp;sourceID=14","23280000")</f>
        <v>23280000</v>
      </c>
      <c r="G1111" s="4" t="str">
        <f>HYPERLINK("http://141.218.60.56/~jnz1568/getInfo.php?workbook=26_25.xlsx&amp;sheet=A0&amp;row=1111&amp;col=7&amp;number=0&amp;sourceID=14","0")</f>
        <v>0</v>
      </c>
    </row>
    <row r="1112" spans="1:7">
      <c r="A1112" s="3">
        <v>26</v>
      </c>
      <c r="B1112" s="3">
        <v>25</v>
      </c>
      <c r="C1112" s="3">
        <v>132</v>
      </c>
      <c r="D1112" s="3">
        <v>17</v>
      </c>
      <c r="E1112" s="3">
        <v>1399.707</v>
      </c>
      <c r="F1112" s="4" t="str">
        <f>HYPERLINK("http://141.218.60.56/~jnz1568/getInfo.php?workbook=26_25.xlsx&amp;sheet=A0&amp;row=1112&amp;col=6&amp;number=136300000&amp;sourceID=14","136300000")</f>
        <v>136300000</v>
      </c>
      <c r="G1112" s="4" t="str">
        <f>HYPERLINK("http://141.218.60.56/~jnz1568/getInfo.php?workbook=26_25.xlsx&amp;sheet=A0&amp;row=1112&amp;col=7&amp;number=0&amp;sourceID=14","0")</f>
        <v>0</v>
      </c>
    </row>
    <row r="1113" spans="1:7">
      <c r="A1113" s="3">
        <v>26</v>
      </c>
      <c r="B1113" s="3">
        <v>25</v>
      </c>
      <c r="C1113" s="3">
        <v>132</v>
      </c>
      <c r="D1113" s="3">
        <v>18</v>
      </c>
      <c r="E1113" s="3">
        <v>1419.203</v>
      </c>
      <c r="F1113" s="4" t="str">
        <f>HYPERLINK("http://141.218.60.56/~jnz1568/getInfo.php?workbook=26_25.xlsx&amp;sheet=A0&amp;row=1113&amp;col=6&amp;number=56050000&amp;sourceID=14","56050000")</f>
        <v>56050000</v>
      </c>
      <c r="G1113" s="4" t="str">
        <f>HYPERLINK("http://141.218.60.56/~jnz1568/getInfo.php?workbook=26_25.xlsx&amp;sheet=A0&amp;row=1113&amp;col=7&amp;number=0&amp;sourceID=14","0")</f>
        <v>0</v>
      </c>
    </row>
    <row r="1114" spans="1:7">
      <c r="A1114" s="3">
        <v>26</v>
      </c>
      <c r="B1114" s="3">
        <v>25</v>
      </c>
      <c r="C1114" s="3">
        <v>132</v>
      </c>
      <c r="D1114" s="3">
        <v>65</v>
      </c>
      <c r="E1114" s="3">
        <v>2377.483</v>
      </c>
      <c r="F1114" s="4" t="str">
        <f>HYPERLINK("http://141.218.60.56/~jnz1568/getInfo.php?workbook=26_25.xlsx&amp;sheet=A0&amp;row=1114&amp;col=6&amp;number=7006&amp;sourceID=14","7006")</f>
        <v>7006</v>
      </c>
      <c r="G1114" s="4" t="str">
        <f>HYPERLINK("http://141.218.60.56/~jnz1568/getInfo.php?workbook=26_25.xlsx&amp;sheet=A0&amp;row=1114&amp;col=7&amp;number=0&amp;sourceID=14","0")</f>
        <v>0</v>
      </c>
    </row>
    <row r="1115" spans="1:7">
      <c r="A1115" s="3">
        <v>26</v>
      </c>
      <c r="B1115" s="3">
        <v>25</v>
      </c>
      <c r="C1115" s="3">
        <v>132</v>
      </c>
      <c r="D1115" s="3">
        <v>10</v>
      </c>
      <c r="E1115" s="3">
        <v>1185.975</v>
      </c>
      <c r="F1115" s="4" t="str">
        <f>HYPERLINK("http://141.218.60.56/~jnz1568/getInfo.php?workbook=26_25.xlsx&amp;sheet=A0&amp;row=1115&amp;col=6&amp;number=116500000&amp;sourceID=14","116500000")</f>
        <v>116500000</v>
      </c>
      <c r="G1115" s="4" t="str">
        <f>HYPERLINK("http://141.218.60.56/~jnz1568/getInfo.php?workbook=26_25.xlsx&amp;sheet=A0&amp;row=1115&amp;col=7&amp;number=0&amp;sourceID=14","0")</f>
        <v>0</v>
      </c>
    </row>
    <row r="1116" spans="1:7">
      <c r="A1116" s="3">
        <v>26</v>
      </c>
      <c r="B1116" s="3">
        <v>25</v>
      </c>
      <c r="C1116" s="3">
        <v>132</v>
      </c>
      <c r="D1116" s="3">
        <v>11</v>
      </c>
      <c r="E1116" s="3">
        <v>1192.148</v>
      </c>
      <c r="F1116" s="4" t="str">
        <f>HYPERLINK("http://141.218.60.56/~jnz1568/getInfo.php?workbook=26_25.xlsx&amp;sheet=A0&amp;row=1116&amp;col=6&amp;number=25820000&amp;sourceID=14","25820000")</f>
        <v>25820000</v>
      </c>
      <c r="G1116" s="4" t="str">
        <f>HYPERLINK("http://141.218.60.56/~jnz1568/getInfo.php?workbook=26_25.xlsx&amp;sheet=A0&amp;row=1116&amp;col=7&amp;number=0&amp;sourceID=14","0")</f>
        <v>0</v>
      </c>
    </row>
    <row r="1117" spans="1:7">
      <c r="A1117" s="3">
        <v>26</v>
      </c>
      <c r="B1117" s="3">
        <v>25</v>
      </c>
      <c r="C1117" s="3">
        <v>132</v>
      </c>
      <c r="D1117" s="3">
        <v>12</v>
      </c>
      <c r="E1117" s="3">
        <v>1196.263</v>
      </c>
      <c r="F1117" s="4" t="str">
        <f>HYPERLINK("http://141.218.60.56/~jnz1568/getInfo.php?workbook=26_25.xlsx&amp;sheet=A0&amp;row=1117&amp;col=6&amp;number=2839000&amp;sourceID=14","2839000")</f>
        <v>2839000</v>
      </c>
      <c r="G1117" s="4" t="str">
        <f>HYPERLINK("http://141.218.60.56/~jnz1568/getInfo.php?workbook=26_25.xlsx&amp;sheet=A0&amp;row=1117&amp;col=7&amp;number=0&amp;sourceID=14","0")</f>
        <v>0</v>
      </c>
    </row>
    <row r="1118" spans="1:7">
      <c r="A1118" s="3">
        <v>26</v>
      </c>
      <c r="B1118" s="3">
        <v>25</v>
      </c>
      <c r="C1118" s="3">
        <v>132</v>
      </c>
      <c r="D1118" s="3">
        <v>32</v>
      </c>
      <c r="E1118" s="3">
        <v>1644.982</v>
      </c>
      <c r="F1118" s="4" t="str">
        <f>HYPERLINK("http://141.218.60.56/~jnz1568/getInfo.php?workbook=26_25.xlsx&amp;sheet=A0&amp;row=1118&amp;col=6&amp;number=6185000&amp;sourceID=14","6185000")</f>
        <v>6185000</v>
      </c>
      <c r="G1118" s="4" t="str">
        <f>HYPERLINK("http://141.218.60.56/~jnz1568/getInfo.php?workbook=26_25.xlsx&amp;sheet=A0&amp;row=1118&amp;col=7&amp;number=0&amp;sourceID=14","0")</f>
        <v>0</v>
      </c>
    </row>
    <row r="1119" spans="1:7">
      <c r="A1119" s="3">
        <v>26</v>
      </c>
      <c r="B1119" s="3">
        <v>25</v>
      </c>
      <c r="C1119" s="3">
        <v>132</v>
      </c>
      <c r="D1119" s="3">
        <v>33</v>
      </c>
      <c r="E1119" s="3">
        <v>1642.409</v>
      </c>
      <c r="F1119" s="4" t="str">
        <f>HYPERLINK("http://141.218.60.56/~jnz1568/getInfo.php?workbook=26_25.xlsx&amp;sheet=A0&amp;row=1119&amp;col=6&amp;number=1398000&amp;sourceID=14","1398000")</f>
        <v>1398000</v>
      </c>
      <c r="G1119" s="4" t="str">
        <f>HYPERLINK("http://141.218.60.56/~jnz1568/getInfo.php?workbook=26_25.xlsx&amp;sheet=A0&amp;row=1119&amp;col=7&amp;number=0&amp;sourceID=14","0")</f>
        <v>0</v>
      </c>
    </row>
    <row r="1120" spans="1:7">
      <c r="A1120" s="3">
        <v>26</v>
      </c>
      <c r="B1120" s="3">
        <v>25</v>
      </c>
      <c r="C1120" s="3">
        <v>132</v>
      </c>
      <c r="D1120" s="3">
        <v>34</v>
      </c>
      <c r="E1120" s="3">
        <v>1641.775</v>
      </c>
      <c r="F1120" s="4" t="str">
        <f>HYPERLINK("http://141.218.60.56/~jnz1568/getInfo.php?workbook=26_25.xlsx&amp;sheet=A0&amp;row=1120&amp;col=6&amp;number=155500&amp;sourceID=14","155500")</f>
        <v>155500</v>
      </c>
      <c r="G1120" s="4" t="str">
        <f>HYPERLINK("http://141.218.60.56/~jnz1568/getInfo.php?workbook=26_25.xlsx&amp;sheet=A0&amp;row=1120&amp;col=7&amp;number=0&amp;sourceID=14","0")</f>
        <v>0</v>
      </c>
    </row>
    <row r="1121" spans="1:7">
      <c r="A1121" s="3">
        <v>26</v>
      </c>
      <c r="B1121" s="3">
        <v>25</v>
      </c>
      <c r="C1121" s="3">
        <v>133</v>
      </c>
      <c r="D1121" s="3">
        <v>14</v>
      </c>
      <c r="E1121" s="3">
        <v>1291.581</v>
      </c>
      <c r="F1121" s="4" t="str">
        <f>HYPERLINK("http://141.218.60.56/~jnz1568/getInfo.php?workbook=26_25.xlsx&amp;sheet=A0&amp;row=1121&amp;col=6&amp;number=33370000&amp;sourceID=14","33370000")</f>
        <v>33370000</v>
      </c>
      <c r="G1121" s="4" t="str">
        <f>HYPERLINK("http://141.218.60.56/~jnz1568/getInfo.php?workbook=26_25.xlsx&amp;sheet=A0&amp;row=1121&amp;col=7&amp;number=0&amp;sourceID=14","0")</f>
        <v>0</v>
      </c>
    </row>
    <row r="1122" spans="1:7">
      <c r="A1122" s="3">
        <v>26</v>
      </c>
      <c r="B1122" s="3">
        <v>25</v>
      </c>
      <c r="C1122" s="3">
        <v>133</v>
      </c>
      <c r="D1122" s="3">
        <v>15</v>
      </c>
      <c r="E1122" s="3">
        <v>1294.906</v>
      </c>
      <c r="F1122" s="4" t="str">
        <f>HYPERLINK("http://141.218.60.56/~jnz1568/getInfo.php?workbook=26_25.xlsx&amp;sheet=A0&amp;row=1122&amp;col=6&amp;number=9812000&amp;sourceID=14","9812000")</f>
        <v>9812000</v>
      </c>
      <c r="G1122" s="4" t="str">
        <f>HYPERLINK("http://141.218.60.56/~jnz1568/getInfo.php?workbook=26_25.xlsx&amp;sheet=A0&amp;row=1122&amp;col=7&amp;number=0&amp;sourceID=14","0")</f>
        <v>0</v>
      </c>
    </row>
    <row r="1123" spans="1:7">
      <c r="A1123" s="3">
        <v>26</v>
      </c>
      <c r="B1123" s="3">
        <v>25</v>
      </c>
      <c r="C1123" s="3">
        <v>133</v>
      </c>
      <c r="D1123" s="3">
        <v>16</v>
      </c>
      <c r="E1123" s="3">
        <v>1298.802</v>
      </c>
      <c r="F1123" s="4" t="str">
        <f>HYPERLINK("http://141.218.60.56/~jnz1568/getInfo.php?workbook=26_25.xlsx&amp;sheet=A0&amp;row=1123&amp;col=6&amp;number=30390000&amp;sourceID=14","30390000")</f>
        <v>30390000</v>
      </c>
      <c r="G1123" s="4" t="str">
        <f>HYPERLINK("http://141.218.60.56/~jnz1568/getInfo.php?workbook=26_25.xlsx&amp;sheet=A0&amp;row=1123&amp;col=7&amp;number=0&amp;sourceID=14","0")</f>
        <v>0</v>
      </c>
    </row>
    <row r="1124" spans="1:7">
      <c r="A1124" s="3">
        <v>26</v>
      </c>
      <c r="B1124" s="3">
        <v>25</v>
      </c>
      <c r="C1124" s="3">
        <v>133</v>
      </c>
      <c r="D1124" s="3">
        <v>17</v>
      </c>
      <c r="E1124" s="3">
        <v>1427.179</v>
      </c>
      <c r="F1124" s="4" t="str">
        <f>HYPERLINK("http://141.218.60.56/~jnz1568/getInfo.php?workbook=26_25.xlsx&amp;sheet=A0&amp;row=1124&amp;col=6&amp;number=82680000&amp;sourceID=14","82680000")</f>
        <v>82680000</v>
      </c>
      <c r="G1124" s="4" t="str">
        <f>HYPERLINK("http://141.218.60.56/~jnz1568/getInfo.php?workbook=26_25.xlsx&amp;sheet=A0&amp;row=1124&amp;col=7&amp;number=0&amp;sourceID=14","0")</f>
        <v>0</v>
      </c>
    </row>
    <row r="1125" spans="1:7">
      <c r="A1125" s="3">
        <v>26</v>
      </c>
      <c r="B1125" s="3">
        <v>25</v>
      </c>
      <c r="C1125" s="3">
        <v>133</v>
      </c>
      <c r="D1125" s="3">
        <v>18</v>
      </c>
      <c r="E1125" s="3">
        <v>1447.454</v>
      </c>
      <c r="F1125" s="4" t="str">
        <f>HYPERLINK("http://141.218.60.56/~jnz1568/getInfo.php?workbook=26_25.xlsx&amp;sheet=A0&amp;row=1125&amp;col=6&amp;number=23480000&amp;sourceID=14","23480000")</f>
        <v>23480000</v>
      </c>
      <c r="G1125" s="4" t="str">
        <f>HYPERLINK("http://141.218.60.56/~jnz1568/getInfo.php?workbook=26_25.xlsx&amp;sheet=A0&amp;row=1125&amp;col=7&amp;number=0&amp;sourceID=14","0")</f>
        <v>0</v>
      </c>
    </row>
    <row r="1126" spans="1:7">
      <c r="A1126" s="3">
        <v>26</v>
      </c>
      <c r="B1126" s="3">
        <v>25</v>
      </c>
      <c r="C1126" s="3">
        <v>133</v>
      </c>
      <c r="D1126" s="3">
        <v>19</v>
      </c>
      <c r="E1126" s="3">
        <v>1460.088</v>
      </c>
      <c r="F1126" s="4" t="str">
        <f>HYPERLINK("http://141.218.60.56/~jnz1568/getInfo.php?workbook=26_25.xlsx&amp;sheet=A0&amp;row=1126&amp;col=6&amp;number=71500000&amp;sourceID=14","71500000")</f>
        <v>71500000</v>
      </c>
      <c r="G1126" s="4" t="str">
        <f>HYPERLINK("http://141.218.60.56/~jnz1568/getInfo.php?workbook=26_25.xlsx&amp;sheet=A0&amp;row=1126&amp;col=7&amp;number=0&amp;sourceID=14","0")</f>
        <v>0</v>
      </c>
    </row>
    <row r="1127" spans="1:7">
      <c r="A1127" s="3">
        <v>26</v>
      </c>
      <c r="B1127" s="3">
        <v>25</v>
      </c>
      <c r="C1127" s="3">
        <v>133</v>
      </c>
      <c r="D1127" s="3">
        <v>65</v>
      </c>
      <c r="E1127" s="3">
        <v>2457.845</v>
      </c>
      <c r="F1127" s="4" t="str">
        <f>HYPERLINK("http://141.218.60.56/~jnz1568/getInfo.php?workbook=26_25.xlsx&amp;sheet=A0&amp;row=1127&amp;col=6&amp;number=4077&amp;sourceID=14","4077")</f>
        <v>4077</v>
      </c>
      <c r="G1127" s="4" t="str">
        <f>HYPERLINK("http://141.218.60.56/~jnz1568/getInfo.php?workbook=26_25.xlsx&amp;sheet=A0&amp;row=1127&amp;col=7&amp;number=0&amp;sourceID=14","0")</f>
        <v>0</v>
      </c>
    </row>
    <row r="1128" spans="1:7">
      <c r="A1128" s="3">
        <v>26</v>
      </c>
      <c r="B1128" s="3">
        <v>25</v>
      </c>
      <c r="C1128" s="3">
        <v>133</v>
      </c>
      <c r="D1128" s="3">
        <v>67</v>
      </c>
      <c r="E1128" s="3">
        <v>2392.465</v>
      </c>
      <c r="F1128" s="4" t="str">
        <f>HYPERLINK("http://141.218.60.56/~jnz1568/getInfo.php?workbook=26_25.xlsx&amp;sheet=A0&amp;row=1128&amp;col=6&amp;number=4093&amp;sourceID=14","4093")</f>
        <v>4093</v>
      </c>
      <c r="G1128" s="4" t="str">
        <f>HYPERLINK("http://141.218.60.56/~jnz1568/getInfo.php?workbook=26_25.xlsx&amp;sheet=A0&amp;row=1128&amp;col=7&amp;number=0&amp;sourceID=14","0")</f>
        <v>0</v>
      </c>
    </row>
    <row r="1129" spans="1:7">
      <c r="A1129" s="3">
        <v>26</v>
      </c>
      <c r="B1129" s="3">
        <v>25</v>
      </c>
      <c r="C1129" s="3">
        <v>133</v>
      </c>
      <c r="D1129" s="3">
        <v>11</v>
      </c>
      <c r="E1129" s="3">
        <v>1212.019</v>
      </c>
      <c r="F1129" s="4" t="str">
        <f>HYPERLINK("http://141.218.60.56/~jnz1568/getInfo.php?workbook=26_25.xlsx&amp;sheet=A0&amp;row=1129&amp;col=6&amp;number=85990000&amp;sourceID=14","85990000")</f>
        <v>85990000</v>
      </c>
      <c r="G1129" s="4" t="str">
        <f>HYPERLINK("http://141.218.60.56/~jnz1568/getInfo.php?workbook=26_25.xlsx&amp;sheet=A0&amp;row=1129&amp;col=7&amp;number=0&amp;sourceID=14","0")</f>
        <v>0</v>
      </c>
    </row>
    <row r="1130" spans="1:7">
      <c r="A1130" s="3">
        <v>26</v>
      </c>
      <c r="B1130" s="3">
        <v>25</v>
      </c>
      <c r="C1130" s="3">
        <v>133</v>
      </c>
      <c r="D1130" s="3">
        <v>12</v>
      </c>
      <c r="E1130" s="3">
        <v>1216.272</v>
      </c>
      <c r="F1130" s="4" t="str">
        <f>HYPERLINK("http://141.218.60.56/~jnz1568/getInfo.php?workbook=26_25.xlsx&amp;sheet=A0&amp;row=1130&amp;col=6&amp;number=43220000&amp;sourceID=14","43220000")</f>
        <v>43220000</v>
      </c>
      <c r="G1130" s="4" t="str">
        <f>HYPERLINK("http://141.218.60.56/~jnz1568/getInfo.php?workbook=26_25.xlsx&amp;sheet=A0&amp;row=1130&amp;col=7&amp;number=0&amp;sourceID=14","0")</f>
        <v>0</v>
      </c>
    </row>
    <row r="1131" spans="1:7">
      <c r="A1131" s="3">
        <v>26</v>
      </c>
      <c r="B1131" s="3">
        <v>25</v>
      </c>
      <c r="C1131" s="3">
        <v>133</v>
      </c>
      <c r="D1131" s="3">
        <v>13</v>
      </c>
      <c r="E1131" s="3">
        <v>1218.738</v>
      </c>
      <c r="F1131" s="4" t="str">
        <f>HYPERLINK("http://141.218.60.56/~jnz1568/getInfo.php?workbook=26_25.xlsx&amp;sheet=A0&amp;row=1131&amp;col=6&amp;number=6712000&amp;sourceID=14","6712000")</f>
        <v>6712000</v>
      </c>
      <c r="G1131" s="4" t="str">
        <f>HYPERLINK("http://141.218.60.56/~jnz1568/getInfo.php?workbook=26_25.xlsx&amp;sheet=A0&amp;row=1131&amp;col=7&amp;number=0&amp;sourceID=14","0")</f>
        <v>0</v>
      </c>
    </row>
    <row r="1132" spans="1:7">
      <c r="A1132" s="3">
        <v>26</v>
      </c>
      <c r="B1132" s="3">
        <v>25</v>
      </c>
      <c r="C1132" s="3">
        <v>133</v>
      </c>
      <c r="D1132" s="3">
        <v>33</v>
      </c>
      <c r="E1132" s="3">
        <v>1680.364</v>
      </c>
      <c r="F1132" s="4" t="str">
        <f>HYPERLINK("http://141.218.60.56/~jnz1568/getInfo.php?workbook=26_25.xlsx&amp;sheet=A0&amp;row=1132&amp;col=6&amp;number=4570000&amp;sourceID=14","4570000")</f>
        <v>4570000</v>
      </c>
      <c r="G1132" s="4" t="str">
        <f>HYPERLINK("http://141.218.60.56/~jnz1568/getInfo.php?workbook=26_25.xlsx&amp;sheet=A0&amp;row=1132&amp;col=7&amp;number=0&amp;sourceID=14","0")</f>
        <v>0</v>
      </c>
    </row>
    <row r="1133" spans="1:7">
      <c r="A1133" s="3">
        <v>26</v>
      </c>
      <c r="B1133" s="3">
        <v>25</v>
      </c>
      <c r="C1133" s="3">
        <v>133</v>
      </c>
      <c r="D1133" s="3">
        <v>34</v>
      </c>
      <c r="E1133" s="3">
        <v>1679.7</v>
      </c>
      <c r="F1133" s="4" t="str">
        <f>HYPERLINK("http://141.218.60.56/~jnz1568/getInfo.php?workbook=26_25.xlsx&amp;sheet=A0&amp;row=1133&amp;col=6&amp;number=2324000&amp;sourceID=14","2324000")</f>
        <v>2324000</v>
      </c>
      <c r="G1133" s="4" t="str">
        <f>HYPERLINK("http://141.218.60.56/~jnz1568/getInfo.php?workbook=26_25.xlsx&amp;sheet=A0&amp;row=1133&amp;col=7&amp;number=0&amp;sourceID=14","0")</f>
        <v>0</v>
      </c>
    </row>
    <row r="1134" spans="1:7">
      <c r="A1134" s="3">
        <v>26</v>
      </c>
      <c r="B1134" s="3">
        <v>25</v>
      </c>
      <c r="C1134" s="3">
        <v>133</v>
      </c>
      <c r="D1134" s="3">
        <v>35</v>
      </c>
      <c r="E1134" s="3">
        <v>1679.813</v>
      </c>
      <c r="F1134" s="4" t="str">
        <f>HYPERLINK("http://141.218.60.56/~jnz1568/getInfo.php?workbook=26_25.xlsx&amp;sheet=A0&amp;row=1134&amp;col=6&amp;number=363000&amp;sourceID=14","363000")</f>
        <v>363000</v>
      </c>
      <c r="G1134" s="4" t="str">
        <f>HYPERLINK("http://141.218.60.56/~jnz1568/getInfo.php?workbook=26_25.xlsx&amp;sheet=A0&amp;row=1134&amp;col=7&amp;number=0&amp;sourceID=14","0")</f>
        <v>0</v>
      </c>
    </row>
    <row r="1135" spans="1:7">
      <c r="A1135" s="3">
        <v>26</v>
      </c>
      <c r="B1135" s="3">
        <v>25</v>
      </c>
      <c r="C1135" s="3">
        <v>134</v>
      </c>
      <c r="D1135" s="3">
        <v>15</v>
      </c>
      <c r="E1135" s="3">
        <v>1295.903</v>
      </c>
      <c r="F1135" s="4" t="str">
        <f>HYPERLINK("http://141.218.60.56/~jnz1568/getInfo.php?workbook=26_25.xlsx&amp;sheet=A0&amp;row=1135&amp;col=6&amp;number=61190000&amp;sourceID=14","61190000")</f>
        <v>61190000</v>
      </c>
      <c r="G1135" s="4" t="str">
        <f>HYPERLINK("http://141.218.60.56/~jnz1568/getInfo.php?workbook=26_25.xlsx&amp;sheet=A0&amp;row=1135&amp;col=7&amp;number=0&amp;sourceID=14","0")</f>
        <v>0</v>
      </c>
    </row>
    <row r="1136" spans="1:7">
      <c r="A1136" s="3">
        <v>26</v>
      </c>
      <c r="B1136" s="3">
        <v>25</v>
      </c>
      <c r="C1136" s="3">
        <v>134</v>
      </c>
      <c r="D1136" s="3">
        <v>16</v>
      </c>
      <c r="E1136" s="3">
        <v>1299.804</v>
      </c>
      <c r="F1136" s="4" t="str">
        <f>HYPERLINK("http://141.218.60.56/~jnz1568/getInfo.php?workbook=26_25.xlsx&amp;sheet=A0&amp;row=1136&amp;col=6&amp;number=12130000&amp;sourceID=14","12130000")</f>
        <v>12130000</v>
      </c>
      <c r="G1136" s="4" t="str">
        <f>HYPERLINK("http://141.218.60.56/~jnz1568/getInfo.php?workbook=26_25.xlsx&amp;sheet=A0&amp;row=1136&amp;col=7&amp;number=0&amp;sourceID=14","0")</f>
        <v>0</v>
      </c>
    </row>
    <row r="1137" spans="1:7">
      <c r="A1137" s="3">
        <v>26</v>
      </c>
      <c r="B1137" s="3">
        <v>25</v>
      </c>
      <c r="C1137" s="3">
        <v>134</v>
      </c>
      <c r="D1137" s="3">
        <v>18</v>
      </c>
      <c r="E1137" s="3">
        <v>1448.699</v>
      </c>
      <c r="F1137" s="4" t="str">
        <f>HYPERLINK("http://141.218.60.56/~jnz1568/getInfo.php?workbook=26_25.xlsx&amp;sheet=A0&amp;row=1137&amp;col=6&amp;number=146400000&amp;sourceID=14","146400000")</f>
        <v>146400000</v>
      </c>
      <c r="G1137" s="4" t="str">
        <f>HYPERLINK("http://141.218.60.56/~jnz1568/getInfo.php?workbook=26_25.xlsx&amp;sheet=A0&amp;row=1137&amp;col=7&amp;number=0&amp;sourceID=14","0")</f>
        <v>0</v>
      </c>
    </row>
    <row r="1138" spans="1:7">
      <c r="A1138" s="3">
        <v>26</v>
      </c>
      <c r="B1138" s="3">
        <v>25</v>
      </c>
      <c r="C1138" s="3">
        <v>134</v>
      </c>
      <c r="D1138" s="3">
        <v>19</v>
      </c>
      <c r="E1138" s="3">
        <v>1461.355</v>
      </c>
      <c r="F1138" s="4" t="str">
        <f>HYPERLINK("http://141.218.60.56/~jnz1568/getInfo.php?workbook=26_25.xlsx&amp;sheet=A0&amp;row=1138&amp;col=6&amp;number=28520000&amp;sourceID=14","28520000")</f>
        <v>28520000</v>
      </c>
      <c r="G1138" s="4" t="str">
        <f>HYPERLINK("http://141.218.60.56/~jnz1568/getInfo.php?workbook=26_25.xlsx&amp;sheet=A0&amp;row=1138&amp;col=7&amp;number=0&amp;sourceID=14","0")</f>
        <v>0</v>
      </c>
    </row>
    <row r="1139" spans="1:7">
      <c r="A1139" s="3">
        <v>26</v>
      </c>
      <c r="B1139" s="3">
        <v>25</v>
      </c>
      <c r="C1139" s="3">
        <v>134</v>
      </c>
      <c r="D1139" s="3">
        <v>66</v>
      </c>
      <c r="E1139" s="3">
        <v>2419.401</v>
      </c>
      <c r="F1139" s="4" t="str">
        <f>HYPERLINK("http://141.218.60.56/~jnz1568/getInfo.php?workbook=26_25.xlsx&amp;sheet=A0&amp;row=1139&amp;col=6&amp;number=7915&amp;sourceID=14","7915")</f>
        <v>7915</v>
      </c>
      <c r="G1139" s="4" t="str">
        <f>HYPERLINK("http://141.218.60.56/~jnz1568/getInfo.php?workbook=26_25.xlsx&amp;sheet=A0&amp;row=1139&amp;col=7&amp;number=0&amp;sourceID=14","0")</f>
        <v>0</v>
      </c>
    </row>
    <row r="1140" spans="1:7">
      <c r="A1140" s="3">
        <v>26</v>
      </c>
      <c r="B1140" s="3">
        <v>25</v>
      </c>
      <c r="C1140" s="3">
        <v>134</v>
      </c>
      <c r="D1140" s="3">
        <v>12</v>
      </c>
      <c r="E1140" s="3">
        <v>1217.152</v>
      </c>
      <c r="F1140" s="4" t="str">
        <f>HYPERLINK("http://141.218.60.56/~jnz1568/getInfo.php?workbook=26_25.xlsx&amp;sheet=A0&amp;row=1140&amp;col=6&amp;number=67380000&amp;sourceID=14","67380000")</f>
        <v>67380000</v>
      </c>
      <c r="G1140" s="4" t="str">
        <f>HYPERLINK("http://141.218.60.56/~jnz1568/getInfo.php?workbook=26_25.xlsx&amp;sheet=A0&amp;row=1140&amp;col=7&amp;number=0&amp;sourceID=14","0")</f>
        <v>0</v>
      </c>
    </row>
    <row r="1141" spans="1:7">
      <c r="A1141" s="3">
        <v>26</v>
      </c>
      <c r="B1141" s="3">
        <v>25</v>
      </c>
      <c r="C1141" s="3">
        <v>134</v>
      </c>
      <c r="D1141" s="3">
        <v>13</v>
      </c>
      <c r="E1141" s="3">
        <v>1219.62</v>
      </c>
      <c r="F1141" s="4" t="str">
        <f>HYPERLINK("http://141.218.60.56/~jnz1568/getInfo.php?workbook=26_25.xlsx&amp;sheet=A0&amp;row=1141&amp;col=6&amp;number=66980000&amp;sourceID=14","66980000")</f>
        <v>66980000</v>
      </c>
      <c r="G1141" s="4" t="str">
        <f>HYPERLINK("http://141.218.60.56/~jnz1568/getInfo.php?workbook=26_25.xlsx&amp;sheet=A0&amp;row=1141&amp;col=7&amp;number=0&amp;sourceID=14","0")</f>
        <v>0</v>
      </c>
    </row>
    <row r="1142" spans="1:7">
      <c r="A1142" s="3">
        <v>26</v>
      </c>
      <c r="B1142" s="3">
        <v>25</v>
      </c>
      <c r="C1142" s="3">
        <v>134</v>
      </c>
      <c r="D1142" s="3">
        <v>34</v>
      </c>
      <c r="E1142" s="3">
        <v>1681.377</v>
      </c>
      <c r="F1142" s="4" t="str">
        <f>HYPERLINK("http://141.218.60.56/~jnz1568/getInfo.php?workbook=26_25.xlsx&amp;sheet=A0&amp;row=1142&amp;col=6&amp;number=3620000&amp;sourceID=14","3620000")</f>
        <v>3620000</v>
      </c>
      <c r="G1142" s="4" t="str">
        <f>HYPERLINK("http://141.218.60.56/~jnz1568/getInfo.php?workbook=26_25.xlsx&amp;sheet=A0&amp;row=1142&amp;col=7&amp;number=0&amp;sourceID=14","0")</f>
        <v>0</v>
      </c>
    </row>
    <row r="1143" spans="1:7">
      <c r="A1143" s="3">
        <v>26</v>
      </c>
      <c r="B1143" s="3">
        <v>25</v>
      </c>
      <c r="C1143" s="3">
        <v>134</v>
      </c>
      <c r="D1143" s="3">
        <v>35</v>
      </c>
      <c r="E1143" s="3">
        <v>1681.491</v>
      </c>
      <c r="F1143" s="4" t="str">
        <f>HYPERLINK("http://141.218.60.56/~jnz1568/getInfo.php?workbook=26_25.xlsx&amp;sheet=A0&amp;row=1143&amp;col=6&amp;number=3620000&amp;sourceID=14","3620000")</f>
        <v>3620000</v>
      </c>
      <c r="G1143" s="4" t="str">
        <f>HYPERLINK("http://141.218.60.56/~jnz1568/getInfo.php?workbook=26_25.xlsx&amp;sheet=A0&amp;row=1143&amp;col=7&amp;number=0&amp;sourceID=14","0")</f>
        <v>0</v>
      </c>
    </row>
    <row r="1144" spans="1:7">
      <c r="A1144" s="3">
        <v>26</v>
      </c>
      <c r="B1144" s="3">
        <v>25</v>
      </c>
      <c r="C1144" s="3">
        <v>135</v>
      </c>
      <c r="D1144" s="3">
        <v>14</v>
      </c>
      <c r="E1144" s="3">
        <v>1255.406</v>
      </c>
      <c r="F1144" s="4" t="str">
        <f>HYPERLINK("http://141.218.60.56/~jnz1568/getInfo.php?workbook=26_25.xlsx&amp;sheet=A0&amp;row=1144&amp;col=6&amp;number=65350000&amp;sourceID=14","65350000")</f>
        <v>65350000</v>
      </c>
      <c r="G1144" s="4" t="str">
        <f>HYPERLINK("http://141.218.60.56/~jnz1568/getInfo.php?workbook=26_25.xlsx&amp;sheet=A0&amp;row=1144&amp;col=7&amp;number=0&amp;sourceID=14","0")</f>
        <v>0</v>
      </c>
    </row>
    <row r="1145" spans="1:7">
      <c r="A1145" s="3">
        <v>26</v>
      </c>
      <c r="B1145" s="3">
        <v>25</v>
      </c>
      <c r="C1145" s="3">
        <v>135</v>
      </c>
      <c r="D1145" s="3">
        <v>17</v>
      </c>
      <c r="E1145" s="3">
        <v>1383.139</v>
      </c>
      <c r="F1145" s="4" t="str">
        <f>HYPERLINK("http://141.218.60.56/~jnz1568/getInfo.php?workbook=26_25.xlsx&amp;sheet=A0&amp;row=1145&amp;col=6&amp;number=1433000&amp;sourceID=14","1433000")</f>
        <v>1433000</v>
      </c>
      <c r="G1145" s="4" t="str">
        <f>HYPERLINK("http://141.218.60.56/~jnz1568/getInfo.php?workbook=26_25.xlsx&amp;sheet=A0&amp;row=1145&amp;col=7&amp;number=0&amp;sourceID=14","0")</f>
        <v>0</v>
      </c>
    </row>
    <row r="1146" spans="1:7">
      <c r="A1146" s="3">
        <v>26</v>
      </c>
      <c r="B1146" s="3">
        <v>25</v>
      </c>
      <c r="C1146" s="3">
        <v>135</v>
      </c>
      <c r="D1146" s="3">
        <v>65</v>
      </c>
      <c r="E1146" s="3">
        <v>2330.075</v>
      </c>
      <c r="F1146" s="4" t="str">
        <f>HYPERLINK("http://141.218.60.56/~jnz1568/getInfo.php?workbook=26_25.xlsx&amp;sheet=A0&amp;row=1146&amp;col=6&amp;number=4917000&amp;sourceID=14","4917000")</f>
        <v>4917000</v>
      </c>
      <c r="G1146" s="4" t="str">
        <f>HYPERLINK("http://141.218.60.56/~jnz1568/getInfo.php?workbook=26_25.xlsx&amp;sheet=A0&amp;row=1146&amp;col=7&amp;number=0&amp;sourceID=14","0")</f>
        <v>0</v>
      </c>
    </row>
    <row r="1147" spans="1:7">
      <c r="A1147" s="3">
        <v>26</v>
      </c>
      <c r="B1147" s="3">
        <v>25</v>
      </c>
      <c r="C1147" s="3">
        <v>135</v>
      </c>
      <c r="D1147" s="3">
        <v>10</v>
      </c>
      <c r="E1147" s="3">
        <v>1174.059</v>
      </c>
      <c r="F1147" s="4" t="str">
        <f>HYPERLINK("http://141.218.60.56/~jnz1568/getInfo.php?workbook=26_25.xlsx&amp;sheet=A0&amp;row=1147&amp;col=6&amp;number=724200&amp;sourceID=14","724200")</f>
        <v>724200</v>
      </c>
      <c r="G1147" s="4" t="str">
        <f>HYPERLINK("http://141.218.60.56/~jnz1568/getInfo.php?workbook=26_25.xlsx&amp;sheet=A0&amp;row=1147&amp;col=7&amp;number=0&amp;sourceID=14","0")</f>
        <v>0</v>
      </c>
    </row>
    <row r="1148" spans="1:7">
      <c r="A1148" s="3">
        <v>26</v>
      </c>
      <c r="B1148" s="3">
        <v>25</v>
      </c>
      <c r="C1148" s="3">
        <v>135</v>
      </c>
      <c r="D1148" s="3">
        <v>11</v>
      </c>
      <c r="E1148" s="3">
        <v>1180.109</v>
      </c>
      <c r="F1148" s="4" t="str">
        <f>HYPERLINK("http://141.218.60.56/~jnz1568/getInfo.php?workbook=26_25.xlsx&amp;sheet=A0&amp;row=1148&amp;col=6&amp;number=118500&amp;sourceID=14","118500")</f>
        <v>118500</v>
      </c>
      <c r="G1148" s="4" t="str">
        <f>HYPERLINK("http://141.218.60.56/~jnz1568/getInfo.php?workbook=26_25.xlsx&amp;sheet=A0&amp;row=1148&amp;col=7&amp;number=0&amp;sourceID=14","0")</f>
        <v>0</v>
      </c>
    </row>
    <row r="1149" spans="1:7">
      <c r="A1149" s="3">
        <v>26</v>
      </c>
      <c r="B1149" s="3">
        <v>25</v>
      </c>
      <c r="C1149" s="3">
        <v>135</v>
      </c>
      <c r="D1149" s="3">
        <v>32</v>
      </c>
      <c r="E1149" s="3">
        <v>1622.146</v>
      </c>
      <c r="F1149" s="4" t="str">
        <f>HYPERLINK("http://141.218.60.56/~jnz1568/getInfo.php?workbook=26_25.xlsx&amp;sheet=A0&amp;row=1149&amp;col=6&amp;number=36070000&amp;sourceID=14","36070000")</f>
        <v>36070000</v>
      </c>
      <c r="G1149" s="4" t="str">
        <f>HYPERLINK("http://141.218.60.56/~jnz1568/getInfo.php?workbook=26_25.xlsx&amp;sheet=A0&amp;row=1149&amp;col=7&amp;number=0&amp;sourceID=14","0")</f>
        <v>0</v>
      </c>
    </row>
    <row r="1150" spans="1:7">
      <c r="A1150" s="3">
        <v>26</v>
      </c>
      <c r="B1150" s="3">
        <v>25</v>
      </c>
      <c r="C1150" s="3">
        <v>135</v>
      </c>
      <c r="D1150" s="3">
        <v>33</v>
      </c>
      <c r="E1150" s="3">
        <v>1619.644</v>
      </c>
      <c r="F1150" s="4" t="str">
        <f>HYPERLINK("http://141.218.60.56/~jnz1568/getInfo.php?workbook=26_25.xlsx&amp;sheet=A0&amp;row=1150&amp;col=6&amp;number=6022000&amp;sourceID=14","6022000")</f>
        <v>6022000</v>
      </c>
      <c r="G1150" s="4" t="str">
        <f>HYPERLINK("http://141.218.60.56/~jnz1568/getInfo.php?workbook=26_25.xlsx&amp;sheet=A0&amp;row=1150&amp;col=7&amp;number=0&amp;sourceID=14","0")</f>
        <v>0</v>
      </c>
    </row>
    <row r="1151" spans="1:7">
      <c r="A1151" s="3">
        <v>26</v>
      </c>
      <c r="B1151" s="3">
        <v>25</v>
      </c>
      <c r="C1151" s="3">
        <v>135</v>
      </c>
      <c r="D1151" s="3">
        <v>6</v>
      </c>
      <c r="E1151" s="3">
        <v>1095.802</v>
      </c>
      <c r="F1151" s="4" t="str">
        <f>HYPERLINK("http://141.218.60.56/~jnz1568/getInfo.php?workbook=26_25.xlsx&amp;sheet=A0&amp;row=1151&amp;col=6&amp;number=4040000&amp;sourceID=14","4040000")</f>
        <v>4040000</v>
      </c>
      <c r="G1151" s="4" t="str">
        <f>HYPERLINK("http://141.218.60.56/~jnz1568/getInfo.php?workbook=26_25.xlsx&amp;sheet=A0&amp;row=1151&amp;col=7&amp;number=0&amp;sourceID=14","0")</f>
        <v>0</v>
      </c>
    </row>
    <row r="1152" spans="1:7">
      <c r="A1152" s="3">
        <v>26</v>
      </c>
      <c r="B1152" s="3">
        <v>25</v>
      </c>
      <c r="C1152" s="3">
        <v>135</v>
      </c>
      <c r="D1152" s="3">
        <v>7</v>
      </c>
      <c r="E1152" s="3">
        <v>1102.538</v>
      </c>
      <c r="F1152" s="4" t="str">
        <f>HYPERLINK("http://141.218.60.56/~jnz1568/getInfo.php?workbook=26_25.xlsx&amp;sheet=A0&amp;row=1152&amp;col=6&amp;number=452200&amp;sourceID=14","452200")</f>
        <v>452200</v>
      </c>
      <c r="G1152" s="4" t="str">
        <f>HYPERLINK("http://141.218.60.56/~jnz1568/getInfo.php?workbook=26_25.xlsx&amp;sheet=A0&amp;row=1152&amp;col=7&amp;number=0&amp;sourceID=14","0")</f>
        <v>0</v>
      </c>
    </row>
    <row r="1153" spans="1:7">
      <c r="A1153" s="3">
        <v>26</v>
      </c>
      <c r="B1153" s="3">
        <v>25</v>
      </c>
      <c r="C1153" s="3">
        <v>135</v>
      </c>
      <c r="D1153" s="3">
        <v>8</v>
      </c>
      <c r="E1153" s="3">
        <v>1107.519</v>
      </c>
      <c r="F1153" s="4" t="str">
        <f>HYPERLINK("http://141.218.60.56/~jnz1568/getInfo.php?workbook=26_25.xlsx&amp;sheet=A0&amp;row=1153&amp;col=6&amp;number=22700&amp;sourceID=14","22700")</f>
        <v>22700</v>
      </c>
      <c r="G1153" s="4" t="str">
        <f>HYPERLINK("http://141.218.60.56/~jnz1568/getInfo.php?workbook=26_25.xlsx&amp;sheet=A0&amp;row=1153&amp;col=7&amp;number=0&amp;sourceID=14","0")</f>
        <v>0</v>
      </c>
    </row>
    <row r="1154" spans="1:7">
      <c r="A1154" s="3">
        <v>26</v>
      </c>
      <c r="B1154" s="3">
        <v>25</v>
      </c>
      <c r="C1154" s="3">
        <v>135</v>
      </c>
      <c r="D1154" s="3">
        <v>24</v>
      </c>
      <c r="E1154" s="3">
        <v>1418.587</v>
      </c>
      <c r="F1154" s="4" t="str">
        <f>HYPERLINK("http://141.218.60.56/~jnz1568/getInfo.php?workbook=26_25.xlsx&amp;sheet=A0&amp;row=1154&amp;col=6&amp;number=143900000&amp;sourceID=14","143900000")</f>
        <v>143900000</v>
      </c>
      <c r="G1154" s="4" t="str">
        <f>HYPERLINK("http://141.218.60.56/~jnz1568/getInfo.php?workbook=26_25.xlsx&amp;sheet=A0&amp;row=1154&amp;col=7&amp;number=0&amp;sourceID=14","0")</f>
        <v>0</v>
      </c>
    </row>
    <row r="1155" spans="1:7">
      <c r="A1155" s="3">
        <v>26</v>
      </c>
      <c r="B1155" s="3">
        <v>25</v>
      </c>
      <c r="C1155" s="3">
        <v>135</v>
      </c>
      <c r="D1155" s="3">
        <v>25</v>
      </c>
      <c r="E1155" s="3">
        <v>1422.08</v>
      </c>
      <c r="F1155" s="4" t="str">
        <f>HYPERLINK("http://141.218.60.56/~jnz1568/getInfo.php?workbook=26_25.xlsx&amp;sheet=A0&amp;row=1155&amp;col=6&amp;number=16290000&amp;sourceID=14","16290000")</f>
        <v>16290000</v>
      </c>
      <c r="G1155" s="4" t="str">
        <f>HYPERLINK("http://141.218.60.56/~jnz1568/getInfo.php?workbook=26_25.xlsx&amp;sheet=A0&amp;row=1155&amp;col=7&amp;number=0&amp;sourceID=14","0")</f>
        <v>0</v>
      </c>
    </row>
    <row r="1156" spans="1:7">
      <c r="A1156" s="3">
        <v>26</v>
      </c>
      <c r="B1156" s="3">
        <v>25</v>
      </c>
      <c r="C1156" s="3">
        <v>135</v>
      </c>
      <c r="D1156" s="3">
        <v>26</v>
      </c>
      <c r="E1156" s="3">
        <v>1424.693</v>
      </c>
      <c r="F1156" s="4" t="str">
        <f>HYPERLINK("http://141.218.60.56/~jnz1568/getInfo.php?workbook=26_25.xlsx&amp;sheet=A0&amp;row=1156&amp;col=6&amp;number=824200&amp;sourceID=14","824200")</f>
        <v>824200</v>
      </c>
      <c r="G1156" s="4" t="str">
        <f>HYPERLINK("http://141.218.60.56/~jnz1568/getInfo.php?workbook=26_25.xlsx&amp;sheet=A0&amp;row=1156&amp;col=7&amp;number=0&amp;sourceID=14","0")</f>
        <v>0</v>
      </c>
    </row>
    <row r="1157" spans="1:7">
      <c r="A1157" s="3">
        <v>26</v>
      </c>
      <c r="B1157" s="3">
        <v>25</v>
      </c>
      <c r="C1157" s="3">
        <v>135</v>
      </c>
      <c r="D1157" s="3">
        <v>61</v>
      </c>
      <c r="E1157" s="3">
        <v>2327.073</v>
      </c>
      <c r="F1157" s="4" t="str">
        <f>HYPERLINK("http://141.218.60.56/~jnz1568/getInfo.php?workbook=26_25.xlsx&amp;sheet=A0&amp;row=1157&amp;col=6&amp;number=92230000&amp;sourceID=14","92230000")</f>
        <v>92230000</v>
      </c>
      <c r="G1157" s="4" t="str">
        <f>HYPERLINK("http://141.218.60.56/~jnz1568/getInfo.php?workbook=26_25.xlsx&amp;sheet=A0&amp;row=1157&amp;col=7&amp;number=0&amp;sourceID=14","0")</f>
        <v>0</v>
      </c>
    </row>
    <row r="1158" spans="1:7">
      <c r="A1158" s="3">
        <v>26</v>
      </c>
      <c r="B1158" s="3">
        <v>25</v>
      </c>
      <c r="C1158" s="3">
        <v>135</v>
      </c>
      <c r="D1158" s="3">
        <v>62</v>
      </c>
      <c r="E1158" s="3">
        <v>2328.718</v>
      </c>
      <c r="F1158" s="4" t="str">
        <f>HYPERLINK("http://141.218.60.56/~jnz1568/getInfo.php?workbook=26_25.xlsx&amp;sheet=A0&amp;row=1158&amp;col=6&amp;number=10490000&amp;sourceID=14","10490000")</f>
        <v>10490000</v>
      </c>
      <c r="G1158" s="4" t="str">
        <f>HYPERLINK("http://141.218.60.56/~jnz1568/getInfo.php?workbook=26_25.xlsx&amp;sheet=A0&amp;row=1158&amp;col=7&amp;number=0&amp;sourceID=14","0")</f>
        <v>0</v>
      </c>
    </row>
    <row r="1159" spans="1:7">
      <c r="A1159" s="3">
        <v>26</v>
      </c>
      <c r="B1159" s="3">
        <v>25</v>
      </c>
      <c r="C1159" s="3">
        <v>135</v>
      </c>
      <c r="D1159" s="3">
        <v>63</v>
      </c>
      <c r="E1159" s="3">
        <v>2326.279</v>
      </c>
      <c r="F1159" s="4" t="str">
        <f>HYPERLINK("http://141.218.60.56/~jnz1568/getInfo.php?workbook=26_25.xlsx&amp;sheet=A0&amp;row=1159&amp;col=6&amp;number=535500&amp;sourceID=14","535500")</f>
        <v>535500</v>
      </c>
      <c r="G1159" s="4" t="str">
        <f>HYPERLINK("http://141.218.60.56/~jnz1568/getInfo.php?workbook=26_25.xlsx&amp;sheet=A0&amp;row=1159&amp;col=7&amp;number=0&amp;sourceID=14","0")</f>
        <v>0</v>
      </c>
    </row>
    <row r="1160" spans="1:7">
      <c r="A1160" s="3">
        <v>26</v>
      </c>
      <c r="B1160" s="3">
        <v>25</v>
      </c>
      <c r="C1160" s="3">
        <v>136</v>
      </c>
      <c r="D1160" s="3">
        <v>14</v>
      </c>
      <c r="E1160" s="3">
        <v>1259.053</v>
      </c>
      <c r="F1160" s="4" t="str">
        <f>HYPERLINK("http://141.218.60.56/~jnz1568/getInfo.php?workbook=26_25.xlsx&amp;sheet=A0&amp;row=1160&amp;col=6&amp;number=19430000&amp;sourceID=14","19430000")</f>
        <v>19430000</v>
      </c>
      <c r="G1160" s="4" t="str">
        <f>HYPERLINK("http://141.218.60.56/~jnz1568/getInfo.php?workbook=26_25.xlsx&amp;sheet=A0&amp;row=1160&amp;col=7&amp;number=0&amp;sourceID=14","0")</f>
        <v>0</v>
      </c>
    </row>
    <row r="1161" spans="1:7">
      <c r="A1161" s="3">
        <v>26</v>
      </c>
      <c r="B1161" s="3">
        <v>25</v>
      </c>
      <c r="C1161" s="3">
        <v>136</v>
      </c>
      <c r="D1161" s="3">
        <v>15</v>
      </c>
      <c r="E1161" s="3">
        <v>1262.212</v>
      </c>
      <c r="F1161" s="4" t="str">
        <f>HYPERLINK("http://141.218.60.56/~jnz1568/getInfo.php?workbook=26_25.xlsx&amp;sheet=A0&amp;row=1161&amp;col=6&amp;number=45010000&amp;sourceID=14","45010000")</f>
        <v>45010000</v>
      </c>
      <c r="G1161" s="4" t="str">
        <f>HYPERLINK("http://141.218.60.56/~jnz1568/getInfo.php?workbook=26_25.xlsx&amp;sheet=A0&amp;row=1161&amp;col=7&amp;number=0&amp;sourceID=14","0")</f>
        <v>0</v>
      </c>
    </row>
    <row r="1162" spans="1:7">
      <c r="A1162" s="3">
        <v>26</v>
      </c>
      <c r="B1162" s="3">
        <v>25</v>
      </c>
      <c r="C1162" s="3">
        <v>136</v>
      </c>
      <c r="D1162" s="3">
        <v>17</v>
      </c>
      <c r="E1162" s="3">
        <v>1387.566</v>
      </c>
      <c r="F1162" s="4" t="str">
        <f>HYPERLINK("http://141.218.60.56/~jnz1568/getInfo.php?workbook=26_25.xlsx&amp;sheet=A0&amp;row=1162&amp;col=6&amp;number=425700&amp;sourceID=14","425700")</f>
        <v>425700</v>
      </c>
      <c r="G1162" s="4" t="str">
        <f>HYPERLINK("http://141.218.60.56/~jnz1568/getInfo.php?workbook=26_25.xlsx&amp;sheet=A0&amp;row=1162&amp;col=7&amp;number=0&amp;sourceID=14","0")</f>
        <v>0</v>
      </c>
    </row>
    <row r="1163" spans="1:7">
      <c r="A1163" s="3">
        <v>26</v>
      </c>
      <c r="B1163" s="3">
        <v>25</v>
      </c>
      <c r="C1163" s="3">
        <v>136</v>
      </c>
      <c r="D1163" s="3">
        <v>18</v>
      </c>
      <c r="E1163" s="3">
        <v>1406.724</v>
      </c>
      <c r="F1163" s="4" t="str">
        <f>HYPERLINK("http://141.218.60.56/~jnz1568/getInfo.php?workbook=26_25.xlsx&amp;sheet=A0&amp;row=1163&amp;col=6&amp;number=953200&amp;sourceID=14","953200")</f>
        <v>953200</v>
      </c>
      <c r="G1163" s="4" t="str">
        <f>HYPERLINK("http://141.218.60.56/~jnz1568/getInfo.php?workbook=26_25.xlsx&amp;sheet=A0&amp;row=1163&amp;col=7&amp;number=0&amp;sourceID=14","0")</f>
        <v>0</v>
      </c>
    </row>
    <row r="1164" spans="1:7">
      <c r="A1164" s="3">
        <v>26</v>
      </c>
      <c r="B1164" s="3">
        <v>25</v>
      </c>
      <c r="C1164" s="3">
        <v>136</v>
      </c>
      <c r="D1164" s="3">
        <v>65</v>
      </c>
      <c r="E1164" s="3">
        <v>2342.668</v>
      </c>
      <c r="F1164" s="4" t="str">
        <f>HYPERLINK("http://141.218.60.56/~jnz1568/getInfo.php?workbook=26_25.xlsx&amp;sheet=A0&amp;row=1164&amp;col=6&amp;number=1452000&amp;sourceID=14","1452000")</f>
        <v>1452000</v>
      </c>
      <c r="G1164" s="4" t="str">
        <f>HYPERLINK("http://141.218.60.56/~jnz1568/getInfo.php?workbook=26_25.xlsx&amp;sheet=A0&amp;row=1164&amp;col=7&amp;number=0&amp;sourceID=14","0")</f>
        <v>0</v>
      </c>
    </row>
    <row r="1165" spans="1:7">
      <c r="A1165" s="3">
        <v>26</v>
      </c>
      <c r="B1165" s="3">
        <v>25</v>
      </c>
      <c r="C1165" s="3">
        <v>136</v>
      </c>
      <c r="D1165" s="3">
        <v>66</v>
      </c>
      <c r="E1165" s="3">
        <v>2304.558</v>
      </c>
      <c r="F1165" s="4" t="str">
        <f>HYPERLINK("http://141.218.60.56/~jnz1568/getInfo.php?workbook=26_25.xlsx&amp;sheet=A0&amp;row=1165&amp;col=6&amp;number=3558000&amp;sourceID=14","3558000")</f>
        <v>3558000</v>
      </c>
      <c r="G1165" s="4" t="str">
        <f>HYPERLINK("http://141.218.60.56/~jnz1568/getInfo.php?workbook=26_25.xlsx&amp;sheet=A0&amp;row=1165&amp;col=7&amp;number=0&amp;sourceID=14","0")</f>
        <v>0</v>
      </c>
    </row>
    <row r="1166" spans="1:7">
      <c r="A1166" s="3">
        <v>26</v>
      </c>
      <c r="B1166" s="3">
        <v>25</v>
      </c>
      <c r="C1166" s="3">
        <v>136</v>
      </c>
      <c r="D1166" s="3">
        <v>10</v>
      </c>
      <c r="E1166" s="3">
        <v>1177.247</v>
      </c>
      <c r="F1166" s="4" t="str">
        <f>HYPERLINK("http://141.218.60.56/~jnz1568/getInfo.php?workbook=26_25.xlsx&amp;sheet=A0&amp;row=1166&amp;col=6&amp;number=159200&amp;sourceID=14","159200")</f>
        <v>159200</v>
      </c>
      <c r="G1166" s="4" t="str">
        <f>HYPERLINK("http://141.218.60.56/~jnz1568/getInfo.php?workbook=26_25.xlsx&amp;sheet=A0&amp;row=1166&amp;col=7&amp;number=0&amp;sourceID=14","0")</f>
        <v>0</v>
      </c>
    </row>
    <row r="1167" spans="1:7">
      <c r="A1167" s="3">
        <v>26</v>
      </c>
      <c r="B1167" s="3">
        <v>25</v>
      </c>
      <c r="C1167" s="3">
        <v>136</v>
      </c>
      <c r="D1167" s="3">
        <v>11</v>
      </c>
      <c r="E1167" s="3">
        <v>1183.33</v>
      </c>
      <c r="F1167" s="4" t="str">
        <f>HYPERLINK("http://141.218.60.56/~jnz1568/getInfo.php?workbook=26_25.xlsx&amp;sheet=A0&amp;row=1167&amp;col=6&amp;number=472900&amp;sourceID=14","472900")</f>
        <v>472900</v>
      </c>
      <c r="G1167" s="4" t="str">
        <f>HYPERLINK("http://141.218.60.56/~jnz1568/getInfo.php?workbook=26_25.xlsx&amp;sheet=A0&amp;row=1167&amp;col=7&amp;number=0&amp;sourceID=14","0")</f>
        <v>0</v>
      </c>
    </row>
    <row r="1168" spans="1:7">
      <c r="A1168" s="3">
        <v>26</v>
      </c>
      <c r="B1168" s="3">
        <v>25</v>
      </c>
      <c r="C1168" s="3">
        <v>136</v>
      </c>
      <c r="D1168" s="3">
        <v>12</v>
      </c>
      <c r="E1168" s="3">
        <v>1187.384</v>
      </c>
      <c r="F1168" s="4" t="str">
        <f>HYPERLINK("http://141.218.60.56/~jnz1568/getInfo.php?workbook=26_25.xlsx&amp;sheet=A0&amp;row=1168&amp;col=6&amp;number=190500&amp;sourceID=14","190500")</f>
        <v>190500</v>
      </c>
      <c r="G1168" s="4" t="str">
        <f>HYPERLINK("http://141.218.60.56/~jnz1568/getInfo.php?workbook=26_25.xlsx&amp;sheet=A0&amp;row=1168&amp;col=7&amp;number=0&amp;sourceID=14","0")</f>
        <v>0</v>
      </c>
    </row>
    <row r="1169" spans="1:7">
      <c r="A1169" s="3">
        <v>26</v>
      </c>
      <c r="B1169" s="3">
        <v>25</v>
      </c>
      <c r="C1169" s="3">
        <v>136</v>
      </c>
      <c r="D1169" s="3">
        <v>32</v>
      </c>
      <c r="E1169" s="3">
        <v>1628.239</v>
      </c>
      <c r="F1169" s="4" t="str">
        <f>HYPERLINK("http://141.218.60.56/~jnz1568/getInfo.php?workbook=26_25.xlsx&amp;sheet=A0&amp;row=1169&amp;col=6&amp;number=7903000&amp;sourceID=14","7903000")</f>
        <v>7903000</v>
      </c>
      <c r="G1169" s="4" t="str">
        <f>HYPERLINK("http://141.218.60.56/~jnz1568/getInfo.php?workbook=26_25.xlsx&amp;sheet=A0&amp;row=1169&amp;col=7&amp;number=0&amp;sourceID=14","0")</f>
        <v>0</v>
      </c>
    </row>
    <row r="1170" spans="1:7">
      <c r="A1170" s="3">
        <v>26</v>
      </c>
      <c r="B1170" s="3">
        <v>25</v>
      </c>
      <c r="C1170" s="3">
        <v>136</v>
      </c>
      <c r="D1170" s="3">
        <v>33</v>
      </c>
      <c r="E1170" s="3">
        <v>1625.719</v>
      </c>
      <c r="F1170" s="4" t="str">
        <f>HYPERLINK("http://141.218.60.56/~jnz1568/getInfo.php?workbook=26_25.xlsx&amp;sheet=A0&amp;row=1170&amp;col=6&amp;number=23960000&amp;sourceID=14","23960000")</f>
        <v>23960000</v>
      </c>
      <c r="G1170" s="4" t="str">
        <f>HYPERLINK("http://141.218.60.56/~jnz1568/getInfo.php?workbook=26_25.xlsx&amp;sheet=A0&amp;row=1170&amp;col=7&amp;number=0&amp;sourceID=14","0")</f>
        <v>0</v>
      </c>
    </row>
    <row r="1171" spans="1:7">
      <c r="A1171" s="3">
        <v>26</v>
      </c>
      <c r="B1171" s="3">
        <v>25</v>
      </c>
      <c r="C1171" s="3">
        <v>136</v>
      </c>
      <c r="D1171" s="3">
        <v>34</v>
      </c>
      <c r="E1171" s="3">
        <v>1625.098</v>
      </c>
      <c r="F1171" s="4" t="str">
        <f>HYPERLINK("http://141.218.60.56/~jnz1568/getInfo.php?workbook=26_25.xlsx&amp;sheet=A0&amp;row=1171&amp;col=6&amp;number=9763000&amp;sourceID=14","9763000")</f>
        <v>9763000</v>
      </c>
      <c r="G1171" s="4" t="str">
        <f>HYPERLINK("http://141.218.60.56/~jnz1568/getInfo.php?workbook=26_25.xlsx&amp;sheet=A0&amp;row=1171&amp;col=7&amp;number=0&amp;sourceID=14","0")</f>
        <v>0</v>
      </c>
    </row>
    <row r="1172" spans="1:7">
      <c r="A1172" s="3">
        <v>26</v>
      </c>
      <c r="B1172" s="3">
        <v>25</v>
      </c>
      <c r="C1172" s="3">
        <v>136</v>
      </c>
      <c r="D1172" s="3">
        <v>7</v>
      </c>
      <c r="E1172" s="3">
        <v>1105.35</v>
      </c>
      <c r="F1172" s="4" t="str">
        <f>HYPERLINK("http://141.218.60.56/~jnz1568/getInfo.php?workbook=26_25.xlsx&amp;sheet=A0&amp;row=1172&amp;col=6&amp;number=3600000&amp;sourceID=14","3600000")</f>
        <v>3600000</v>
      </c>
      <c r="G1172" s="4" t="str">
        <f>HYPERLINK("http://141.218.60.56/~jnz1568/getInfo.php?workbook=26_25.xlsx&amp;sheet=A0&amp;row=1172&amp;col=7&amp;number=0&amp;sourceID=14","0")</f>
        <v>0</v>
      </c>
    </row>
    <row r="1173" spans="1:7">
      <c r="A1173" s="3">
        <v>26</v>
      </c>
      <c r="B1173" s="3">
        <v>25</v>
      </c>
      <c r="C1173" s="3">
        <v>136</v>
      </c>
      <c r="D1173" s="3">
        <v>8</v>
      </c>
      <c r="E1173" s="3">
        <v>1110.355</v>
      </c>
      <c r="F1173" s="4" t="str">
        <f>HYPERLINK("http://141.218.60.56/~jnz1568/getInfo.php?workbook=26_25.xlsx&amp;sheet=A0&amp;row=1173&amp;col=6&amp;number=755900&amp;sourceID=14","755900")</f>
        <v>755900</v>
      </c>
      <c r="G1173" s="4" t="str">
        <f>HYPERLINK("http://141.218.60.56/~jnz1568/getInfo.php?workbook=26_25.xlsx&amp;sheet=A0&amp;row=1173&amp;col=7&amp;number=0&amp;sourceID=14","0")</f>
        <v>0</v>
      </c>
    </row>
    <row r="1174" spans="1:7">
      <c r="A1174" s="3">
        <v>26</v>
      </c>
      <c r="B1174" s="3">
        <v>25</v>
      </c>
      <c r="C1174" s="3">
        <v>136</v>
      </c>
      <c r="D1174" s="3">
        <v>9</v>
      </c>
      <c r="E1174" s="3">
        <v>1113.812</v>
      </c>
      <c r="F1174" s="4" t="str">
        <f>HYPERLINK("http://141.218.60.56/~jnz1568/getInfo.php?workbook=26_25.xlsx&amp;sheet=A0&amp;row=1174&amp;col=6&amp;number=41040&amp;sourceID=14","41040")</f>
        <v>41040</v>
      </c>
      <c r="G1174" s="4" t="str">
        <f>HYPERLINK("http://141.218.60.56/~jnz1568/getInfo.php?workbook=26_25.xlsx&amp;sheet=A0&amp;row=1174&amp;col=7&amp;number=0&amp;sourceID=14","0")</f>
        <v>0</v>
      </c>
    </row>
    <row r="1175" spans="1:7">
      <c r="A1175" s="3">
        <v>26</v>
      </c>
      <c r="B1175" s="3">
        <v>25</v>
      </c>
      <c r="C1175" s="3">
        <v>136</v>
      </c>
      <c r="D1175" s="3">
        <v>25</v>
      </c>
      <c r="E1175" s="3">
        <v>1426.761</v>
      </c>
      <c r="F1175" s="4" t="str">
        <f>HYPERLINK("http://141.218.60.56/~jnz1568/getInfo.php?workbook=26_25.xlsx&amp;sheet=A0&amp;row=1175&amp;col=6&amp;number=129400000&amp;sourceID=14","129400000")</f>
        <v>129400000</v>
      </c>
      <c r="G1175" s="4" t="str">
        <f>HYPERLINK("http://141.218.60.56/~jnz1568/getInfo.php?workbook=26_25.xlsx&amp;sheet=A0&amp;row=1175&amp;col=7&amp;number=0&amp;sourceID=14","0")</f>
        <v>0</v>
      </c>
    </row>
    <row r="1176" spans="1:7">
      <c r="A1176" s="3">
        <v>26</v>
      </c>
      <c r="B1176" s="3">
        <v>25</v>
      </c>
      <c r="C1176" s="3">
        <v>136</v>
      </c>
      <c r="D1176" s="3">
        <v>26</v>
      </c>
      <c r="E1176" s="3">
        <v>1429.391</v>
      </c>
      <c r="F1176" s="4" t="str">
        <f>HYPERLINK("http://141.218.60.56/~jnz1568/getInfo.php?workbook=26_25.xlsx&amp;sheet=A0&amp;row=1176&amp;col=6&amp;number=27390000&amp;sourceID=14","27390000")</f>
        <v>27390000</v>
      </c>
      <c r="G1176" s="4" t="str">
        <f>HYPERLINK("http://141.218.60.56/~jnz1568/getInfo.php?workbook=26_25.xlsx&amp;sheet=A0&amp;row=1176&amp;col=7&amp;number=0&amp;sourceID=14","0")</f>
        <v>0</v>
      </c>
    </row>
    <row r="1177" spans="1:7">
      <c r="A1177" s="3">
        <v>26</v>
      </c>
      <c r="B1177" s="3">
        <v>25</v>
      </c>
      <c r="C1177" s="3">
        <v>136</v>
      </c>
      <c r="D1177" s="3">
        <v>27</v>
      </c>
      <c r="E1177" s="3">
        <v>1431.272</v>
      </c>
      <c r="F1177" s="4" t="str">
        <f>HYPERLINK("http://141.218.60.56/~jnz1568/getInfo.php?workbook=26_25.xlsx&amp;sheet=A0&amp;row=1177&amp;col=6&amp;number=1495000&amp;sourceID=14","1495000")</f>
        <v>1495000</v>
      </c>
      <c r="G1177" s="4" t="str">
        <f>HYPERLINK("http://141.218.60.56/~jnz1568/getInfo.php?workbook=26_25.xlsx&amp;sheet=A0&amp;row=1177&amp;col=7&amp;number=0&amp;sourceID=14","0")</f>
        <v>0</v>
      </c>
    </row>
    <row r="1178" spans="1:7">
      <c r="A1178" s="3">
        <v>26</v>
      </c>
      <c r="B1178" s="3">
        <v>25</v>
      </c>
      <c r="C1178" s="3">
        <v>136</v>
      </c>
      <c r="D1178" s="3">
        <v>62</v>
      </c>
      <c r="E1178" s="3">
        <v>2341.296</v>
      </c>
      <c r="F1178" s="4" t="str">
        <f>HYPERLINK("http://141.218.60.56/~jnz1568/getInfo.php?workbook=26_25.xlsx&amp;sheet=A0&amp;row=1178&amp;col=6&amp;number=82830000&amp;sourceID=14","82830000")</f>
        <v>82830000</v>
      </c>
      <c r="G1178" s="4" t="str">
        <f>HYPERLINK("http://141.218.60.56/~jnz1568/getInfo.php?workbook=26_25.xlsx&amp;sheet=A0&amp;row=1178&amp;col=7&amp;number=0&amp;sourceID=14","0")</f>
        <v>0</v>
      </c>
    </row>
    <row r="1179" spans="1:7">
      <c r="A1179" s="3">
        <v>26</v>
      </c>
      <c r="B1179" s="3">
        <v>25</v>
      </c>
      <c r="C1179" s="3">
        <v>136</v>
      </c>
      <c r="D1179" s="3">
        <v>63</v>
      </c>
      <c r="E1179" s="3">
        <v>2338.83</v>
      </c>
      <c r="F1179" s="4" t="str">
        <f>HYPERLINK("http://141.218.60.56/~jnz1568/getInfo.php?workbook=26_25.xlsx&amp;sheet=A0&amp;row=1179&amp;col=6&amp;number=17690000&amp;sourceID=14","17690000")</f>
        <v>17690000</v>
      </c>
      <c r="G1179" s="4" t="str">
        <f>HYPERLINK("http://141.218.60.56/~jnz1568/getInfo.php?workbook=26_25.xlsx&amp;sheet=A0&amp;row=1179&amp;col=7&amp;number=0&amp;sourceID=14","0")</f>
        <v>0</v>
      </c>
    </row>
    <row r="1180" spans="1:7">
      <c r="A1180" s="3">
        <v>26</v>
      </c>
      <c r="B1180" s="3">
        <v>25</v>
      </c>
      <c r="C1180" s="3">
        <v>136</v>
      </c>
      <c r="D1180" s="3">
        <v>64</v>
      </c>
      <c r="E1180" s="3">
        <v>2335.178</v>
      </c>
      <c r="F1180" s="4" t="str">
        <f>HYPERLINK("http://141.218.60.56/~jnz1568/getInfo.php?workbook=26_25.xlsx&amp;sheet=A0&amp;row=1180&amp;col=6&amp;number=973500&amp;sourceID=14","973500")</f>
        <v>973500</v>
      </c>
      <c r="G1180" s="4" t="str">
        <f>HYPERLINK("http://141.218.60.56/~jnz1568/getInfo.php?workbook=26_25.xlsx&amp;sheet=A0&amp;row=1180&amp;col=7&amp;number=0&amp;sourceID=14","0")</f>
        <v>0</v>
      </c>
    </row>
    <row r="1181" spans="1:7">
      <c r="A1181" s="3">
        <v>26</v>
      </c>
      <c r="B1181" s="3">
        <v>25</v>
      </c>
      <c r="C1181" s="3">
        <v>137</v>
      </c>
      <c r="D1181" s="3">
        <v>14</v>
      </c>
      <c r="E1181" s="3">
        <v>1263.055</v>
      </c>
      <c r="F1181" s="4" t="str">
        <f>HYPERLINK("http://141.218.60.56/~jnz1568/getInfo.php?workbook=26_25.xlsx&amp;sheet=A0&amp;row=1181&amp;col=6&amp;number=3208000&amp;sourceID=14","3208000")</f>
        <v>3208000</v>
      </c>
      <c r="G1181" s="4" t="str">
        <f>HYPERLINK("http://141.218.60.56/~jnz1568/getInfo.php?workbook=26_25.xlsx&amp;sheet=A0&amp;row=1181&amp;col=7&amp;number=0&amp;sourceID=14","0")</f>
        <v>0</v>
      </c>
    </row>
    <row r="1182" spans="1:7">
      <c r="A1182" s="3">
        <v>26</v>
      </c>
      <c r="B1182" s="3">
        <v>25</v>
      </c>
      <c r="C1182" s="3">
        <v>137</v>
      </c>
      <c r="D1182" s="3">
        <v>15</v>
      </c>
      <c r="E1182" s="3">
        <v>1266.234</v>
      </c>
      <c r="F1182" s="4" t="str">
        <f>HYPERLINK("http://141.218.60.56/~jnz1568/getInfo.php?workbook=26_25.xlsx&amp;sheet=A0&amp;row=1182&amp;col=6&amp;number=33970000&amp;sourceID=14","33970000")</f>
        <v>33970000</v>
      </c>
      <c r="G1182" s="4" t="str">
        <f>HYPERLINK("http://141.218.60.56/~jnz1568/getInfo.php?workbook=26_25.xlsx&amp;sheet=A0&amp;row=1182&amp;col=7&amp;number=0&amp;sourceID=14","0")</f>
        <v>0</v>
      </c>
    </row>
    <row r="1183" spans="1:7">
      <c r="A1183" s="3">
        <v>26</v>
      </c>
      <c r="B1183" s="3">
        <v>25</v>
      </c>
      <c r="C1183" s="3">
        <v>137</v>
      </c>
      <c r="D1183" s="3">
        <v>16</v>
      </c>
      <c r="E1183" s="3">
        <v>1269.959</v>
      </c>
      <c r="F1183" s="4" t="str">
        <f>HYPERLINK("http://141.218.60.56/~jnz1568/getInfo.php?workbook=26_25.xlsx&amp;sheet=A0&amp;row=1183&amp;col=6&amp;number=26300000&amp;sourceID=14","26300000")</f>
        <v>26300000</v>
      </c>
      <c r="G1183" s="4" t="str">
        <f>HYPERLINK("http://141.218.60.56/~jnz1568/getInfo.php?workbook=26_25.xlsx&amp;sheet=A0&amp;row=1183&amp;col=7&amp;number=0&amp;sourceID=14","0")</f>
        <v>0</v>
      </c>
    </row>
    <row r="1184" spans="1:7">
      <c r="A1184" s="3">
        <v>26</v>
      </c>
      <c r="B1184" s="3">
        <v>25</v>
      </c>
      <c r="C1184" s="3">
        <v>137</v>
      </c>
      <c r="D1184" s="3">
        <v>17</v>
      </c>
      <c r="E1184" s="3">
        <v>1392.429</v>
      </c>
      <c r="F1184" s="4" t="str">
        <f>HYPERLINK("http://141.218.60.56/~jnz1568/getInfo.php?workbook=26_25.xlsx&amp;sheet=A0&amp;row=1184&amp;col=6&amp;number=70210&amp;sourceID=14","70210")</f>
        <v>70210</v>
      </c>
      <c r="G1184" s="4" t="str">
        <f>HYPERLINK("http://141.218.60.56/~jnz1568/getInfo.php?workbook=26_25.xlsx&amp;sheet=A0&amp;row=1184&amp;col=7&amp;number=0&amp;sourceID=14","0")</f>
        <v>0</v>
      </c>
    </row>
    <row r="1185" spans="1:7">
      <c r="A1185" s="3">
        <v>26</v>
      </c>
      <c r="B1185" s="3">
        <v>25</v>
      </c>
      <c r="C1185" s="3">
        <v>137</v>
      </c>
      <c r="D1185" s="3">
        <v>18</v>
      </c>
      <c r="E1185" s="3">
        <v>1411.722</v>
      </c>
      <c r="F1185" s="4" t="str">
        <f>HYPERLINK("http://141.218.60.56/~jnz1568/getInfo.php?workbook=26_25.xlsx&amp;sheet=A0&amp;row=1185&amp;col=6&amp;number=718600&amp;sourceID=14","718600")</f>
        <v>718600</v>
      </c>
      <c r="G1185" s="4" t="str">
        <f>HYPERLINK("http://141.218.60.56/~jnz1568/getInfo.php?workbook=26_25.xlsx&amp;sheet=A0&amp;row=1185&amp;col=7&amp;number=0&amp;sourceID=14","0")</f>
        <v>0</v>
      </c>
    </row>
    <row r="1186" spans="1:7">
      <c r="A1186" s="3">
        <v>26</v>
      </c>
      <c r="B1186" s="3">
        <v>25</v>
      </c>
      <c r="C1186" s="3">
        <v>137</v>
      </c>
      <c r="D1186" s="3">
        <v>19</v>
      </c>
      <c r="E1186" s="3">
        <v>1423.738</v>
      </c>
      <c r="F1186" s="4" t="str">
        <f>HYPERLINK("http://141.218.60.56/~jnz1568/getInfo.php?workbook=26_25.xlsx&amp;sheet=A0&amp;row=1186&amp;col=6&amp;number=547300&amp;sourceID=14","547300")</f>
        <v>547300</v>
      </c>
      <c r="G1186" s="4" t="str">
        <f>HYPERLINK("http://141.218.60.56/~jnz1568/getInfo.php?workbook=26_25.xlsx&amp;sheet=A0&amp;row=1186&amp;col=7&amp;number=0&amp;sourceID=14","0")</f>
        <v>0</v>
      </c>
    </row>
    <row r="1187" spans="1:7">
      <c r="A1187" s="3">
        <v>26</v>
      </c>
      <c r="B1187" s="3">
        <v>25</v>
      </c>
      <c r="C1187" s="3">
        <v>137</v>
      </c>
      <c r="D1187" s="3">
        <v>65</v>
      </c>
      <c r="E1187" s="3">
        <v>2356.563</v>
      </c>
      <c r="F1187" s="4" t="str">
        <f>HYPERLINK("http://141.218.60.56/~jnz1568/getInfo.php?workbook=26_25.xlsx&amp;sheet=A0&amp;row=1187&amp;col=6&amp;number=237700&amp;sourceID=14","237700")</f>
        <v>237700</v>
      </c>
      <c r="G1187" s="4" t="str">
        <f>HYPERLINK("http://141.218.60.56/~jnz1568/getInfo.php?workbook=26_25.xlsx&amp;sheet=A0&amp;row=1187&amp;col=7&amp;number=0&amp;sourceID=14","0")</f>
        <v>0</v>
      </c>
    </row>
    <row r="1188" spans="1:7">
      <c r="A1188" s="3">
        <v>26</v>
      </c>
      <c r="B1188" s="3">
        <v>25</v>
      </c>
      <c r="C1188" s="3">
        <v>137</v>
      </c>
      <c r="D1188" s="3">
        <v>66</v>
      </c>
      <c r="E1188" s="3">
        <v>2318.003</v>
      </c>
      <c r="F1188" s="4" t="str">
        <f>HYPERLINK("http://141.218.60.56/~jnz1568/getInfo.php?workbook=26_25.xlsx&amp;sheet=A0&amp;row=1188&amp;col=6&amp;number=2664000&amp;sourceID=14","2664000")</f>
        <v>2664000</v>
      </c>
      <c r="G1188" s="4" t="str">
        <f>HYPERLINK("http://141.218.60.56/~jnz1568/getInfo.php?workbook=26_25.xlsx&amp;sheet=A0&amp;row=1188&amp;col=7&amp;number=0&amp;sourceID=14","0")</f>
        <v>0</v>
      </c>
    </row>
    <row r="1189" spans="1:7">
      <c r="A1189" s="3">
        <v>26</v>
      </c>
      <c r="B1189" s="3">
        <v>25</v>
      </c>
      <c r="C1189" s="3">
        <v>137</v>
      </c>
      <c r="D1189" s="3">
        <v>67</v>
      </c>
      <c r="E1189" s="3">
        <v>2296.394</v>
      </c>
      <c r="F1189" s="4" t="str">
        <f>HYPERLINK("http://141.218.60.56/~jnz1568/getInfo.php?workbook=26_25.xlsx&amp;sheet=A0&amp;row=1189&amp;col=6&amp;number=2140000&amp;sourceID=14","2140000")</f>
        <v>2140000</v>
      </c>
      <c r="G1189" s="4" t="str">
        <f>HYPERLINK("http://141.218.60.56/~jnz1568/getInfo.php?workbook=26_25.xlsx&amp;sheet=A0&amp;row=1189&amp;col=7&amp;number=0&amp;sourceID=14","0")</f>
        <v>0</v>
      </c>
    </row>
    <row r="1190" spans="1:7">
      <c r="A1190" s="3">
        <v>26</v>
      </c>
      <c r="B1190" s="3">
        <v>25</v>
      </c>
      <c r="C1190" s="3">
        <v>137</v>
      </c>
      <c r="D1190" s="3">
        <v>11</v>
      </c>
      <c r="E1190" s="3">
        <v>1186.865</v>
      </c>
      <c r="F1190" s="4" t="str">
        <f>HYPERLINK("http://141.218.60.56/~jnz1568/getInfo.php?workbook=26_25.xlsx&amp;sheet=A0&amp;row=1190&amp;col=6&amp;number=286100&amp;sourceID=14","286100")</f>
        <v>286100</v>
      </c>
      <c r="G1190" s="4" t="str">
        <f>HYPERLINK("http://141.218.60.56/~jnz1568/getInfo.php?workbook=26_25.xlsx&amp;sheet=A0&amp;row=1190&amp;col=7&amp;number=0&amp;sourceID=14","0")</f>
        <v>0</v>
      </c>
    </row>
    <row r="1191" spans="1:7">
      <c r="A1191" s="3">
        <v>26</v>
      </c>
      <c r="B1191" s="3">
        <v>25</v>
      </c>
      <c r="C1191" s="3">
        <v>137</v>
      </c>
      <c r="D1191" s="3">
        <v>12</v>
      </c>
      <c r="E1191" s="3">
        <v>1190.943</v>
      </c>
      <c r="F1191" s="4" t="str">
        <f>HYPERLINK("http://141.218.60.56/~jnz1568/getInfo.php?workbook=26_25.xlsx&amp;sheet=A0&amp;row=1191&amp;col=6&amp;number=323700&amp;sourceID=14","323700")</f>
        <v>323700</v>
      </c>
      <c r="G1191" s="4" t="str">
        <f>HYPERLINK("http://141.218.60.56/~jnz1568/getInfo.php?workbook=26_25.xlsx&amp;sheet=A0&amp;row=1191&amp;col=7&amp;number=0&amp;sourceID=14","0")</f>
        <v>0</v>
      </c>
    </row>
    <row r="1192" spans="1:7">
      <c r="A1192" s="3">
        <v>26</v>
      </c>
      <c r="B1192" s="3">
        <v>25</v>
      </c>
      <c r="C1192" s="3">
        <v>137</v>
      </c>
      <c r="D1192" s="3">
        <v>13</v>
      </c>
      <c r="E1192" s="3">
        <v>1193.307</v>
      </c>
      <c r="F1192" s="4" t="str">
        <f>HYPERLINK("http://141.218.60.56/~jnz1568/getInfo.php?workbook=26_25.xlsx&amp;sheet=A0&amp;row=1192&amp;col=6&amp;number=201100&amp;sourceID=14","201100")</f>
        <v>201100</v>
      </c>
      <c r="G1192" s="4" t="str">
        <f>HYPERLINK("http://141.218.60.56/~jnz1568/getInfo.php?workbook=26_25.xlsx&amp;sheet=A0&amp;row=1192&amp;col=7&amp;number=0&amp;sourceID=14","0")</f>
        <v>0</v>
      </c>
    </row>
    <row r="1193" spans="1:7">
      <c r="A1193" s="3">
        <v>26</v>
      </c>
      <c r="B1193" s="3">
        <v>25</v>
      </c>
      <c r="C1193" s="3">
        <v>137</v>
      </c>
      <c r="D1193" s="3">
        <v>33</v>
      </c>
      <c r="E1193" s="3">
        <v>1632.398</v>
      </c>
      <c r="F1193" s="4" t="str">
        <f>HYPERLINK("http://141.218.60.56/~jnz1568/getInfo.php?workbook=26_25.xlsx&amp;sheet=A0&amp;row=1193&amp;col=6&amp;number=14450000&amp;sourceID=14","14450000")</f>
        <v>14450000</v>
      </c>
      <c r="G1193" s="4" t="str">
        <f>HYPERLINK("http://141.218.60.56/~jnz1568/getInfo.php?workbook=26_25.xlsx&amp;sheet=A0&amp;row=1193&amp;col=7&amp;number=0&amp;sourceID=14","0")</f>
        <v>0</v>
      </c>
    </row>
    <row r="1194" spans="1:7">
      <c r="A1194" s="3">
        <v>26</v>
      </c>
      <c r="B1194" s="3">
        <v>25</v>
      </c>
      <c r="C1194" s="3">
        <v>137</v>
      </c>
      <c r="D1194" s="3">
        <v>34</v>
      </c>
      <c r="E1194" s="3">
        <v>1631.772</v>
      </c>
      <c r="F1194" s="4" t="str">
        <f>HYPERLINK("http://141.218.60.56/~jnz1568/getInfo.php?workbook=26_25.xlsx&amp;sheet=A0&amp;row=1194&amp;col=6&amp;number=16530000&amp;sourceID=14","16530000")</f>
        <v>16530000</v>
      </c>
      <c r="G1194" s="4" t="str">
        <f>HYPERLINK("http://141.218.60.56/~jnz1568/getInfo.php?workbook=26_25.xlsx&amp;sheet=A0&amp;row=1194&amp;col=7&amp;number=0&amp;sourceID=14","0")</f>
        <v>0</v>
      </c>
    </row>
    <row r="1195" spans="1:7">
      <c r="A1195" s="3">
        <v>26</v>
      </c>
      <c r="B1195" s="3">
        <v>25</v>
      </c>
      <c r="C1195" s="3">
        <v>137</v>
      </c>
      <c r="D1195" s="3">
        <v>35</v>
      </c>
      <c r="E1195" s="3">
        <v>1631.879</v>
      </c>
      <c r="F1195" s="4" t="str">
        <f>HYPERLINK("http://141.218.60.56/~jnz1568/getInfo.php?workbook=26_25.xlsx&amp;sheet=A0&amp;row=1195&amp;col=6&amp;number=10330000&amp;sourceID=14","10330000")</f>
        <v>10330000</v>
      </c>
      <c r="G1195" s="4" t="str">
        <f>HYPERLINK("http://141.218.60.56/~jnz1568/getInfo.php?workbook=26_25.xlsx&amp;sheet=A0&amp;row=1195&amp;col=7&amp;number=0&amp;sourceID=14","0")</f>
        <v>0</v>
      </c>
    </row>
    <row r="1196" spans="1:7">
      <c r="A1196" s="3">
        <v>26</v>
      </c>
      <c r="B1196" s="3">
        <v>25</v>
      </c>
      <c r="C1196" s="3">
        <v>137</v>
      </c>
      <c r="D1196" s="3">
        <v>8</v>
      </c>
      <c r="E1196" s="3">
        <v>1113.467</v>
      </c>
      <c r="F1196" s="4" t="str">
        <f>HYPERLINK("http://141.218.60.56/~jnz1568/getInfo.php?workbook=26_25.xlsx&amp;sheet=A0&amp;row=1196&amp;col=6&amp;number=3466000&amp;sourceID=14","3466000")</f>
        <v>3466000</v>
      </c>
      <c r="G1196" s="4" t="str">
        <f>HYPERLINK("http://141.218.60.56/~jnz1568/getInfo.php?workbook=26_25.xlsx&amp;sheet=A0&amp;row=1196&amp;col=7&amp;number=0&amp;sourceID=14","0")</f>
        <v>0</v>
      </c>
    </row>
    <row r="1197" spans="1:7">
      <c r="A1197" s="3">
        <v>26</v>
      </c>
      <c r="B1197" s="3">
        <v>25</v>
      </c>
      <c r="C1197" s="3">
        <v>137</v>
      </c>
      <c r="D1197" s="3">
        <v>9</v>
      </c>
      <c r="E1197" s="3">
        <v>1116.943</v>
      </c>
      <c r="F1197" s="4" t="str">
        <f>HYPERLINK("http://141.218.60.56/~jnz1568/getInfo.php?workbook=26_25.xlsx&amp;sheet=A0&amp;row=1197&amp;col=6&amp;number=854500&amp;sourceID=14","854500")</f>
        <v>854500</v>
      </c>
      <c r="G1197" s="4" t="str">
        <f>HYPERLINK("http://141.218.60.56/~jnz1568/getInfo.php?workbook=26_25.xlsx&amp;sheet=A0&amp;row=1197&amp;col=7&amp;number=0&amp;sourceID=14","0")</f>
        <v>0</v>
      </c>
    </row>
    <row r="1198" spans="1:7">
      <c r="A1198" s="3">
        <v>26</v>
      </c>
      <c r="B1198" s="3">
        <v>25</v>
      </c>
      <c r="C1198" s="3">
        <v>137</v>
      </c>
      <c r="D1198" s="3">
        <v>26</v>
      </c>
      <c r="E1198" s="3">
        <v>1434.553</v>
      </c>
      <c r="F1198" s="4" t="str">
        <f>HYPERLINK("http://141.218.60.56/~jnz1568/getInfo.php?workbook=26_25.xlsx&amp;sheet=A0&amp;row=1198&amp;col=6&amp;number=125300000&amp;sourceID=14","125300000")</f>
        <v>125300000</v>
      </c>
      <c r="G1198" s="4" t="str">
        <f>HYPERLINK("http://141.218.60.56/~jnz1568/getInfo.php?workbook=26_25.xlsx&amp;sheet=A0&amp;row=1198&amp;col=7&amp;number=0&amp;sourceID=14","0")</f>
        <v>0</v>
      </c>
    </row>
    <row r="1199" spans="1:7">
      <c r="A1199" s="3">
        <v>26</v>
      </c>
      <c r="B1199" s="3">
        <v>25</v>
      </c>
      <c r="C1199" s="3">
        <v>137</v>
      </c>
      <c r="D1199" s="3">
        <v>27</v>
      </c>
      <c r="E1199" s="3">
        <v>1436.447</v>
      </c>
      <c r="F1199" s="4" t="str">
        <f>HYPERLINK("http://141.218.60.56/~jnz1568/getInfo.php?workbook=26_25.xlsx&amp;sheet=A0&amp;row=1199&amp;col=6&amp;number=31060000&amp;sourceID=14","31060000")</f>
        <v>31060000</v>
      </c>
      <c r="G1199" s="4" t="str">
        <f>HYPERLINK("http://141.218.60.56/~jnz1568/getInfo.php?workbook=26_25.xlsx&amp;sheet=A0&amp;row=1199&amp;col=7&amp;number=0&amp;sourceID=14","0")</f>
        <v>0</v>
      </c>
    </row>
    <row r="1200" spans="1:7">
      <c r="A1200" s="3">
        <v>26</v>
      </c>
      <c r="B1200" s="3">
        <v>25</v>
      </c>
      <c r="C1200" s="3">
        <v>137</v>
      </c>
      <c r="D1200" s="3">
        <v>63</v>
      </c>
      <c r="E1200" s="3">
        <v>2352.68</v>
      </c>
      <c r="F1200" s="4" t="str">
        <f>HYPERLINK("http://141.218.60.56/~jnz1568/getInfo.php?workbook=26_25.xlsx&amp;sheet=A0&amp;row=1200&amp;col=6&amp;number=80330000&amp;sourceID=14","80330000")</f>
        <v>80330000</v>
      </c>
      <c r="G1200" s="4" t="str">
        <f>HYPERLINK("http://141.218.60.56/~jnz1568/getInfo.php?workbook=26_25.xlsx&amp;sheet=A0&amp;row=1200&amp;col=7&amp;number=0&amp;sourceID=14","0")</f>
        <v>0</v>
      </c>
    </row>
    <row r="1201" spans="1:7">
      <c r="A1201" s="3">
        <v>26</v>
      </c>
      <c r="B1201" s="3">
        <v>25</v>
      </c>
      <c r="C1201" s="3">
        <v>137</v>
      </c>
      <c r="D1201" s="3">
        <v>64</v>
      </c>
      <c r="E1201" s="3">
        <v>2348.984</v>
      </c>
      <c r="F1201" s="4" t="str">
        <f>HYPERLINK("http://141.218.60.56/~jnz1568/getInfo.php?workbook=26_25.xlsx&amp;sheet=A0&amp;row=1201&amp;col=6&amp;number=20090000&amp;sourceID=14","20090000")</f>
        <v>20090000</v>
      </c>
      <c r="G1201" s="4" t="str">
        <f>HYPERLINK("http://141.218.60.56/~jnz1568/getInfo.php?workbook=26_25.xlsx&amp;sheet=A0&amp;row=1201&amp;col=7&amp;number=0&amp;sourceID=14","0")</f>
        <v>0</v>
      </c>
    </row>
    <row r="1202" spans="1:7">
      <c r="A1202" s="3">
        <v>26</v>
      </c>
      <c r="B1202" s="3">
        <v>25</v>
      </c>
      <c r="C1202" s="3">
        <v>138</v>
      </c>
      <c r="D1202" s="3">
        <v>15</v>
      </c>
      <c r="E1202" s="3">
        <v>1269.353</v>
      </c>
      <c r="F1202" s="4" t="str">
        <f>HYPERLINK("http://141.218.60.56/~jnz1568/getInfo.php?workbook=26_25.xlsx&amp;sheet=A0&amp;row=1202&amp;col=6&amp;number=10540000&amp;sourceID=14","10540000")</f>
        <v>10540000</v>
      </c>
      <c r="G1202" s="4" t="str">
        <f>HYPERLINK("http://141.218.60.56/~jnz1568/getInfo.php?workbook=26_25.xlsx&amp;sheet=A0&amp;row=1202&amp;col=7&amp;number=0&amp;sourceID=14","0")</f>
        <v>0</v>
      </c>
    </row>
    <row r="1203" spans="1:7">
      <c r="A1203" s="3">
        <v>26</v>
      </c>
      <c r="B1203" s="3">
        <v>25</v>
      </c>
      <c r="C1203" s="3">
        <v>138</v>
      </c>
      <c r="D1203" s="3">
        <v>16</v>
      </c>
      <c r="E1203" s="3">
        <v>1273.097</v>
      </c>
      <c r="F1203" s="4" t="str">
        <f>HYPERLINK("http://141.218.60.56/~jnz1568/getInfo.php?workbook=26_25.xlsx&amp;sheet=A0&amp;row=1203&amp;col=6&amp;number=52220000&amp;sourceID=14","52220000")</f>
        <v>52220000</v>
      </c>
      <c r="G1203" s="4" t="str">
        <f>HYPERLINK("http://141.218.60.56/~jnz1568/getInfo.php?workbook=26_25.xlsx&amp;sheet=A0&amp;row=1203&amp;col=7&amp;number=0&amp;sourceID=14","0")</f>
        <v>0</v>
      </c>
    </row>
    <row r="1204" spans="1:7">
      <c r="A1204" s="3">
        <v>26</v>
      </c>
      <c r="B1204" s="3">
        <v>25</v>
      </c>
      <c r="C1204" s="3">
        <v>138</v>
      </c>
      <c r="D1204" s="3">
        <v>18</v>
      </c>
      <c r="E1204" s="3">
        <v>1415.6</v>
      </c>
      <c r="F1204" s="4" t="str">
        <f>HYPERLINK("http://141.218.60.56/~jnz1568/getInfo.php?workbook=26_25.xlsx&amp;sheet=A0&amp;row=1204&amp;col=6&amp;number=222700&amp;sourceID=14","222700")</f>
        <v>222700</v>
      </c>
      <c r="G1204" s="4" t="str">
        <f>HYPERLINK("http://141.218.60.56/~jnz1568/getInfo.php?workbook=26_25.xlsx&amp;sheet=A0&amp;row=1204&amp;col=7&amp;number=0&amp;sourceID=14","0")</f>
        <v>0</v>
      </c>
    </row>
    <row r="1205" spans="1:7">
      <c r="A1205" s="3">
        <v>26</v>
      </c>
      <c r="B1205" s="3">
        <v>25</v>
      </c>
      <c r="C1205" s="3">
        <v>138</v>
      </c>
      <c r="D1205" s="3">
        <v>19</v>
      </c>
      <c r="E1205" s="3">
        <v>1427.682</v>
      </c>
      <c r="F1205" s="4" t="str">
        <f>HYPERLINK("http://141.218.60.56/~jnz1568/getInfo.php?workbook=26_25.xlsx&amp;sheet=A0&amp;row=1205&amp;col=6&amp;number=1086000&amp;sourceID=14","1086000")</f>
        <v>1086000</v>
      </c>
      <c r="G1205" s="4" t="str">
        <f>HYPERLINK("http://141.218.60.56/~jnz1568/getInfo.php?workbook=26_25.xlsx&amp;sheet=A0&amp;row=1205&amp;col=7&amp;number=0&amp;sourceID=14","0")</f>
        <v>0</v>
      </c>
    </row>
    <row r="1206" spans="1:7">
      <c r="A1206" s="3">
        <v>26</v>
      </c>
      <c r="B1206" s="3">
        <v>25</v>
      </c>
      <c r="C1206" s="3">
        <v>138</v>
      </c>
      <c r="D1206" s="3">
        <v>66</v>
      </c>
      <c r="E1206" s="3">
        <v>2328.477</v>
      </c>
      <c r="F1206" s="4" t="str">
        <f>HYPERLINK("http://141.218.60.56/~jnz1568/getInfo.php?workbook=26_25.xlsx&amp;sheet=A0&amp;row=1206&amp;col=6&amp;number=821200&amp;sourceID=14","821200")</f>
        <v>821200</v>
      </c>
      <c r="G1206" s="4" t="str">
        <f>HYPERLINK("http://141.218.60.56/~jnz1568/getInfo.php?workbook=26_25.xlsx&amp;sheet=A0&amp;row=1206&amp;col=7&amp;number=0&amp;sourceID=14","0")</f>
        <v>0</v>
      </c>
    </row>
    <row r="1207" spans="1:7">
      <c r="A1207" s="3">
        <v>26</v>
      </c>
      <c r="B1207" s="3">
        <v>25</v>
      </c>
      <c r="C1207" s="3">
        <v>138</v>
      </c>
      <c r="D1207" s="3">
        <v>67</v>
      </c>
      <c r="E1207" s="3">
        <v>2306.673</v>
      </c>
      <c r="F1207" s="4" t="str">
        <f>HYPERLINK("http://141.218.60.56/~jnz1568/getInfo.php?workbook=26_25.xlsx&amp;sheet=A0&amp;row=1207&amp;col=6&amp;number=4224000&amp;sourceID=14","4224000")</f>
        <v>4224000</v>
      </c>
      <c r="G1207" s="4" t="str">
        <f>HYPERLINK("http://141.218.60.56/~jnz1568/getInfo.php?workbook=26_25.xlsx&amp;sheet=A0&amp;row=1207&amp;col=7&amp;number=0&amp;sourceID=14","0")</f>
        <v>0</v>
      </c>
    </row>
    <row r="1208" spans="1:7">
      <c r="A1208" s="3">
        <v>26</v>
      </c>
      <c r="B1208" s="3">
        <v>25</v>
      </c>
      <c r="C1208" s="3">
        <v>138</v>
      </c>
      <c r="D1208" s="3">
        <v>12</v>
      </c>
      <c r="E1208" s="3">
        <v>1193.702</v>
      </c>
      <c r="F1208" s="4" t="str">
        <f>HYPERLINK("http://141.218.60.56/~jnz1568/getInfo.php?workbook=26_25.xlsx&amp;sheet=A0&amp;row=1208&amp;col=6&amp;number=401800&amp;sourceID=14","401800")</f>
        <v>401800</v>
      </c>
      <c r="G1208" s="4" t="str">
        <f>HYPERLINK("http://141.218.60.56/~jnz1568/getInfo.php?workbook=26_25.xlsx&amp;sheet=A0&amp;row=1208&amp;col=7&amp;number=0&amp;sourceID=14","0")</f>
        <v>0</v>
      </c>
    </row>
    <row r="1209" spans="1:7">
      <c r="A1209" s="3">
        <v>26</v>
      </c>
      <c r="B1209" s="3">
        <v>25</v>
      </c>
      <c r="C1209" s="3">
        <v>138</v>
      </c>
      <c r="D1209" s="3">
        <v>13</v>
      </c>
      <c r="E1209" s="3">
        <v>1196.076</v>
      </c>
      <c r="F1209" s="4" t="str">
        <f>HYPERLINK("http://141.218.60.56/~jnz1568/getInfo.php?workbook=26_25.xlsx&amp;sheet=A0&amp;row=1209&amp;col=6&amp;number=399400&amp;sourceID=14","399400")</f>
        <v>399400</v>
      </c>
      <c r="G1209" s="4" t="str">
        <f>HYPERLINK("http://141.218.60.56/~jnz1568/getInfo.php?workbook=26_25.xlsx&amp;sheet=A0&amp;row=1209&amp;col=7&amp;number=0&amp;sourceID=14","0")</f>
        <v>0</v>
      </c>
    </row>
    <row r="1210" spans="1:7">
      <c r="A1210" s="3">
        <v>26</v>
      </c>
      <c r="B1210" s="3">
        <v>25</v>
      </c>
      <c r="C1210" s="3">
        <v>138</v>
      </c>
      <c r="D1210" s="3">
        <v>34</v>
      </c>
      <c r="E1210" s="3">
        <v>1636.955</v>
      </c>
      <c r="F1210" s="4" t="str">
        <f>HYPERLINK("http://141.218.60.56/~jnz1568/getInfo.php?workbook=26_25.xlsx&amp;sheet=A0&amp;row=1210&amp;col=6&amp;number=20470000&amp;sourceID=14","20470000")</f>
        <v>20470000</v>
      </c>
      <c r="G1210" s="4" t="str">
        <f>HYPERLINK("http://141.218.60.56/~jnz1568/getInfo.php?workbook=26_25.xlsx&amp;sheet=A0&amp;row=1210&amp;col=7&amp;number=0&amp;sourceID=14","0")</f>
        <v>0</v>
      </c>
    </row>
    <row r="1211" spans="1:7">
      <c r="A1211" s="3">
        <v>26</v>
      </c>
      <c r="B1211" s="3">
        <v>25</v>
      </c>
      <c r="C1211" s="3">
        <v>138</v>
      </c>
      <c r="D1211" s="3">
        <v>35</v>
      </c>
      <c r="E1211" s="3">
        <v>1637.063</v>
      </c>
      <c r="F1211" s="4" t="str">
        <f>HYPERLINK("http://141.218.60.56/~jnz1568/getInfo.php?workbook=26_25.xlsx&amp;sheet=A0&amp;row=1211&amp;col=6&amp;number=20460000&amp;sourceID=14","20460000")</f>
        <v>20460000</v>
      </c>
      <c r="G1211" s="4" t="str">
        <f>HYPERLINK("http://141.218.60.56/~jnz1568/getInfo.php?workbook=26_25.xlsx&amp;sheet=A0&amp;row=1211&amp;col=7&amp;number=0&amp;sourceID=14","0")</f>
        <v>0</v>
      </c>
    </row>
    <row r="1212" spans="1:7">
      <c r="A1212" s="3">
        <v>26</v>
      </c>
      <c r="B1212" s="3">
        <v>25</v>
      </c>
      <c r="C1212" s="3">
        <v>138</v>
      </c>
      <c r="D1212" s="3">
        <v>9</v>
      </c>
      <c r="E1212" s="3">
        <v>1119.37</v>
      </c>
      <c r="F1212" s="4" t="str">
        <f>HYPERLINK("http://141.218.60.56/~jnz1568/getInfo.php?workbook=26_25.xlsx&amp;sheet=A0&amp;row=1212&amp;col=6&amp;number=4245000&amp;sourceID=14","4245000")</f>
        <v>4245000</v>
      </c>
      <c r="G1212" s="4" t="str">
        <f>HYPERLINK("http://141.218.60.56/~jnz1568/getInfo.php?workbook=26_25.xlsx&amp;sheet=A0&amp;row=1212&amp;col=7&amp;number=0&amp;sourceID=14","0")</f>
        <v>0</v>
      </c>
    </row>
    <row r="1213" spans="1:7">
      <c r="A1213" s="3">
        <v>26</v>
      </c>
      <c r="B1213" s="3">
        <v>25</v>
      </c>
      <c r="C1213" s="3">
        <v>138</v>
      </c>
      <c r="D1213" s="3">
        <v>27</v>
      </c>
      <c r="E1213" s="3">
        <v>1440.462</v>
      </c>
      <c r="F1213" s="4" t="str">
        <f>HYPERLINK("http://141.218.60.56/~jnz1568/getInfo.php?workbook=26_25.xlsx&amp;sheet=A0&amp;row=1213&amp;col=6&amp;number=154000000&amp;sourceID=14","154000000")</f>
        <v>154000000</v>
      </c>
      <c r="G1213" s="4" t="str">
        <f>HYPERLINK("http://141.218.60.56/~jnz1568/getInfo.php?workbook=26_25.xlsx&amp;sheet=A0&amp;row=1213&amp;col=7&amp;number=0&amp;sourceID=14","0")</f>
        <v>0</v>
      </c>
    </row>
    <row r="1214" spans="1:7">
      <c r="A1214" s="3">
        <v>26</v>
      </c>
      <c r="B1214" s="3">
        <v>25</v>
      </c>
      <c r="C1214" s="3">
        <v>138</v>
      </c>
      <c r="D1214" s="3">
        <v>64</v>
      </c>
      <c r="E1214" s="3">
        <v>2359.74</v>
      </c>
      <c r="F1214" s="4" t="str">
        <f>HYPERLINK("http://141.218.60.56/~jnz1568/getInfo.php?workbook=26_25.xlsx&amp;sheet=A0&amp;row=1214&amp;col=6&amp;number=99060000&amp;sourceID=14","99060000")</f>
        <v>99060000</v>
      </c>
      <c r="G1214" s="4" t="str">
        <f>HYPERLINK("http://141.218.60.56/~jnz1568/getInfo.php?workbook=26_25.xlsx&amp;sheet=A0&amp;row=1214&amp;col=7&amp;number=0&amp;sourceID=14","0")</f>
        <v>0</v>
      </c>
    </row>
    <row r="1215" spans="1:7">
      <c r="A1215" s="3">
        <v>26</v>
      </c>
      <c r="B1215" s="3">
        <v>25</v>
      </c>
      <c r="C1215" s="3">
        <v>139</v>
      </c>
      <c r="D1215" s="3">
        <v>10</v>
      </c>
      <c r="E1215" s="3">
        <v>1169.19</v>
      </c>
      <c r="F1215" s="4" t="str">
        <f>HYPERLINK("http://141.218.60.56/~jnz1568/getInfo.php?workbook=26_25.xlsx&amp;sheet=A0&amp;row=1215&amp;col=6&amp;number=223600&amp;sourceID=14","223600")</f>
        <v>223600</v>
      </c>
      <c r="G1215" s="4" t="str">
        <f>HYPERLINK("http://141.218.60.56/~jnz1568/getInfo.php?workbook=26_25.xlsx&amp;sheet=A0&amp;row=1215&amp;col=7&amp;number=0&amp;sourceID=14","0")</f>
        <v>0</v>
      </c>
    </row>
    <row r="1216" spans="1:7">
      <c r="A1216" s="3">
        <v>26</v>
      </c>
      <c r="B1216" s="3">
        <v>25</v>
      </c>
      <c r="C1216" s="3">
        <v>139</v>
      </c>
      <c r="D1216" s="3">
        <v>32</v>
      </c>
      <c r="E1216" s="3">
        <v>1612.867</v>
      </c>
      <c r="F1216" s="4" t="str">
        <f>HYPERLINK("http://141.218.60.56/~jnz1568/getInfo.php?workbook=26_25.xlsx&amp;sheet=A0&amp;row=1216&amp;col=6&amp;number=3394000&amp;sourceID=14","3394000")</f>
        <v>3394000</v>
      </c>
      <c r="G1216" s="4" t="str">
        <f>HYPERLINK("http://141.218.60.56/~jnz1568/getInfo.php?workbook=26_25.xlsx&amp;sheet=A0&amp;row=1216&amp;col=7&amp;number=0&amp;sourceID=14","0")</f>
        <v>0</v>
      </c>
    </row>
    <row r="1217" spans="1:7">
      <c r="A1217" s="3">
        <v>26</v>
      </c>
      <c r="B1217" s="3">
        <v>25</v>
      </c>
      <c r="C1217" s="3">
        <v>139</v>
      </c>
      <c r="D1217" s="3">
        <v>6</v>
      </c>
      <c r="E1217" s="3">
        <v>1091.56</v>
      </c>
      <c r="F1217" s="4" t="str">
        <f>HYPERLINK("http://141.218.60.56/~jnz1568/getInfo.php?workbook=26_25.xlsx&amp;sheet=A0&amp;row=1217&amp;col=6&amp;number=3612000&amp;sourceID=14","3612000")</f>
        <v>3612000</v>
      </c>
      <c r="G1217" s="4" t="str">
        <f>HYPERLINK("http://141.218.60.56/~jnz1568/getInfo.php?workbook=26_25.xlsx&amp;sheet=A0&amp;row=1217&amp;col=7&amp;number=0&amp;sourceID=14","0")</f>
        <v>0</v>
      </c>
    </row>
    <row r="1218" spans="1:7">
      <c r="A1218" s="3">
        <v>26</v>
      </c>
      <c r="B1218" s="3">
        <v>25</v>
      </c>
      <c r="C1218" s="3">
        <v>139</v>
      </c>
      <c r="D1218" s="3">
        <v>7</v>
      </c>
      <c r="E1218" s="3">
        <v>1098.244</v>
      </c>
      <c r="F1218" s="4" t="str">
        <f>HYPERLINK("http://141.218.60.56/~jnz1568/getInfo.php?workbook=26_25.xlsx&amp;sheet=A0&amp;row=1218&amp;col=6&amp;number=320900&amp;sourceID=14","320900")</f>
        <v>320900</v>
      </c>
      <c r="G1218" s="4" t="str">
        <f>HYPERLINK("http://141.218.60.56/~jnz1568/getInfo.php?workbook=26_25.xlsx&amp;sheet=A0&amp;row=1218&amp;col=7&amp;number=0&amp;sourceID=14","0")</f>
        <v>0</v>
      </c>
    </row>
    <row r="1219" spans="1:7">
      <c r="A1219" s="3">
        <v>26</v>
      </c>
      <c r="B1219" s="3">
        <v>25</v>
      </c>
      <c r="C1219" s="3">
        <v>139</v>
      </c>
      <c r="D1219" s="3">
        <v>24</v>
      </c>
      <c r="E1219" s="3">
        <v>1411.485</v>
      </c>
      <c r="F1219" s="4" t="str">
        <f>HYPERLINK("http://141.218.60.56/~jnz1568/getInfo.php?workbook=26_25.xlsx&amp;sheet=A0&amp;row=1219&amp;col=6&amp;number=10840000&amp;sourceID=14","10840000")</f>
        <v>10840000</v>
      </c>
      <c r="G1219" s="4" t="str">
        <f>HYPERLINK("http://141.218.60.56/~jnz1568/getInfo.php?workbook=26_25.xlsx&amp;sheet=A0&amp;row=1219&amp;col=7&amp;number=0&amp;sourceID=14","0")</f>
        <v>0</v>
      </c>
    </row>
    <row r="1220" spans="1:7">
      <c r="A1220" s="3">
        <v>26</v>
      </c>
      <c r="B1220" s="3">
        <v>25</v>
      </c>
      <c r="C1220" s="3">
        <v>139</v>
      </c>
      <c r="D1220" s="3">
        <v>25</v>
      </c>
      <c r="E1220" s="3">
        <v>1414.943</v>
      </c>
      <c r="F1220" s="4" t="str">
        <f>HYPERLINK("http://141.218.60.56/~jnz1568/getInfo.php?workbook=26_25.xlsx&amp;sheet=A0&amp;row=1220&amp;col=6&amp;number=973500&amp;sourceID=14","973500")</f>
        <v>973500</v>
      </c>
      <c r="G1220" s="4" t="str">
        <f>HYPERLINK("http://141.218.60.56/~jnz1568/getInfo.php?workbook=26_25.xlsx&amp;sheet=A0&amp;row=1220&amp;col=7&amp;number=0&amp;sourceID=14","0")</f>
        <v>0</v>
      </c>
    </row>
    <row r="1221" spans="1:7">
      <c r="A1221" s="3">
        <v>26</v>
      </c>
      <c r="B1221" s="3">
        <v>25</v>
      </c>
      <c r="C1221" s="3">
        <v>139</v>
      </c>
      <c r="D1221" s="3">
        <v>61</v>
      </c>
      <c r="E1221" s="3">
        <v>2308.023</v>
      </c>
      <c r="F1221" s="4" t="str">
        <f>HYPERLINK("http://141.218.60.56/~jnz1568/getInfo.php?workbook=26_25.xlsx&amp;sheet=A0&amp;row=1221&amp;col=6&amp;number=17090000&amp;sourceID=14","17090000")</f>
        <v>17090000</v>
      </c>
      <c r="G1221" s="4" t="str">
        <f>HYPERLINK("http://141.218.60.56/~jnz1568/getInfo.php?workbook=26_25.xlsx&amp;sheet=A0&amp;row=1221&amp;col=7&amp;number=0&amp;sourceID=14","0")</f>
        <v>0</v>
      </c>
    </row>
    <row r="1222" spans="1:7">
      <c r="A1222" s="3">
        <v>26</v>
      </c>
      <c r="B1222" s="3">
        <v>25</v>
      </c>
      <c r="C1222" s="3">
        <v>139</v>
      </c>
      <c r="D1222" s="3">
        <v>62</v>
      </c>
      <c r="E1222" s="3">
        <v>2309.641</v>
      </c>
      <c r="F1222" s="4" t="str">
        <f>HYPERLINK("http://141.218.60.56/~jnz1568/getInfo.php?workbook=26_25.xlsx&amp;sheet=A0&amp;row=1222&amp;col=6&amp;number=1543000&amp;sourceID=14","1543000")</f>
        <v>1543000</v>
      </c>
      <c r="G1222" s="4" t="str">
        <f>HYPERLINK("http://141.218.60.56/~jnz1568/getInfo.php?workbook=26_25.xlsx&amp;sheet=A0&amp;row=1222&amp;col=7&amp;number=0&amp;sourceID=14","0")</f>
        <v>0</v>
      </c>
    </row>
    <row r="1223" spans="1:7">
      <c r="A1223" s="3">
        <v>26</v>
      </c>
      <c r="B1223" s="3">
        <v>25</v>
      </c>
      <c r="C1223" s="3">
        <v>139</v>
      </c>
      <c r="D1223" s="3">
        <v>28</v>
      </c>
      <c r="E1223" s="3">
        <v>1469.383</v>
      </c>
      <c r="F1223" s="4" t="str">
        <f>HYPERLINK("http://141.218.60.56/~jnz1568/getInfo.php?workbook=26_25.xlsx&amp;sheet=A0&amp;row=1223&amp;col=6&amp;number=122800000&amp;sourceID=14","122800000")</f>
        <v>122800000</v>
      </c>
      <c r="G1223" s="4" t="str">
        <f>HYPERLINK("http://141.218.60.56/~jnz1568/getInfo.php?workbook=26_25.xlsx&amp;sheet=A0&amp;row=1223&amp;col=7&amp;number=0&amp;sourceID=14","0")</f>
        <v>0</v>
      </c>
    </row>
    <row r="1224" spans="1:7">
      <c r="A1224" s="3">
        <v>26</v>
      </c>
      <c r="B1224" s="3">
        <v>25</v>
      </c>
      <c r="C1224" s="3">
        <v>139</v>
      </c>
      <c r="D1224" s="3">
        <v>29</v>
      </c>
      <c r="E1224" s="3">
        <v>1477.558</v>
      </c>
      <c r="F1224" s="4" t="str">
        <f>HYPERLINK("http://141.218.60.56/~jnz1568/getInfo.php?workbook=26_25.xlsx&amp;sheet=A0&amp;row=1224&amp;col=6&amp;number=8341000&amp;sourceID=14","8341000")</f>
        <v>8341000</v>
      </c>
      <c r="G1224" s="4" t="str">
        <f>HYPERLINK("http://141.218.60.56/~jnz1568/getInfo.php?workbook=26_25.xlsx&amp;sheet=A0&amp;row=1224&amp;col=7&amp;number=0&amp;sourceID=14","0")</f>
        <v>0</v>
      </c>
    </row>
    <row r="1225" spans="1:7">
      <c r="A1225" s="3">
        <v>26</v>
      </c>
      <c r="B1225" s="3">
        <v>25</v>
      </c>
      <c r="C1225" s="3">
        <v>139</v>
      </c>
      <c r="D1225" s="3">
        <v>30</v>
      </c>
      <c r="E1225" s="3">
        <v>1481.417</v>
      </c>
      <c r="F1225" s="4" t="str">
        <f>HYPERLINK("http://141.218.60.56/~jnz1568/getInfo.php?workbook=26_25.xlsx&amp;sheet=A0&amp;row=1225&amp;col=6&amp;number=242600&amp;sourceID=14","242600")</f>
        <v>242600</v>
      </c>
      <c r="G1225" s="4" t="str">
        <f>HYPERLINK("http://141.218.60.56/~jnz1568/getInfo.php?workbook=26_25.xlsx&amp;sheet=A0&amp;row=1225&amp;col=7&amp;number=0&amp;sourceID=14","0")</f>
        <v>0</v>
      </c>
    </row>
    <row r="1226" spans="1:7">
      <c r="A1226" s="3">
        <v>26</v>
      </c>
      <c r="B1226" s="3">
        <v>25</v>
      </c>
      <c r="C1226" s="3">
        <v>140</v>
      </c>
      <c r="D1226" s="3">
        <v>10</v>
      </c>
      <c r="E1226" s="3">
        <v>1169.148</v>
      </c>
      <c r="F1226" s="4" t="str">
        <f>HYPERLINK("http://141.218.60.56/~jnz1568/getInfo.php?workbook=26_25.xlsx&amp;sheet=A0&amp;row=1226&amp;col=6&amp;number=31860&amp;sourceID=14","31860")</f>
        <v>31860</v>
      </c>
      <c r="G1226" s="4" t="str">
        <f>HYPERLINK("http://141.218.60.56/~jnz1568/getInfo.php?workbook=26_25.xlsx&amp;sheet=A0&amp;row=1226&amp;col=7&amp;number=0&amp;sourceID=14","0")</f>
        <v>0</v>
      </c>
    </row>
    <row r="1227" spans="1:7">
      <c r="A1227" s="3">
        <v>26</v>
      </c>
      <c r="B1227" s="3">
        <v>25</v>
      </c>
      <c r="C1227" s="3">
        <v>140</v>
      </c>
      <c r="D1227" s="3">
        <v>11</v>
      </c>
      <c r="E1227" s="3">
        <v>1175.147</v>
      </c>
      <c r="F1227" s="4" t="str">
        <f>HYPERLINK("http://141.218.60.56/~jnz1568/getInfo.php?workbook=26_25.xlsx&amp;sheet=A0&amp;row=1227&amp;col=6&amp;number=188800&amp;sourceID=14","188800")</f>
        <v>188800</v>
      </c>
      <c r="G1227" s="4" t="str">
        <f>HYPERLINK("http://141.218.60.56/~jnz1568/getInfo.php?workbook=26_25.xlsx&amp;sheet=A0&amp;row=1227&amp;col=7&amp;number=0&amp;sourceID=14","0")</f>
        <v>0</v>
      </c>
    </row>
    <row r="1228" spans="1:7">
      <c r="A1228" s="3">
        <v>26</v>
      </c>
      <c r="B1228" s="3">
        <v>25</v>
      </c>
      <c r="C1228" s="3">
        <v>140</v>
      </c>
      <c r="D1228" s="3">
        <v>32</v>
      </c>
      <c r="E1228" s="3">
        <v>1612.787</v>
      </c>
      <c r="F1228" s="4" t="str">
        <f>HYPERLINK("http://141.218.60.56/~jnz1568/getInfo.php?workbook=26_25.xlsx&amp;sheet=A0&amp;row=1228&amp;col=6&amp;number=483700&amp;sourceID=14","483700")</f>
        <v>483700</v>
      </c>
      <c r="G1228" s="4" t="str">
        <f>HYPERLINK("http://141.218.60.56/~jnz1568/getInfo.php?workbook=26_25.xlsx&amp;sheet=A0&amp;row=1228&amp;col=7&amp;number=0&amp;sourceID=14","0")</f>
        <v>0</v>
      </c>
    </row>
    <row r="1229" spans="1:7">
      <c r="A1229" s="3">
        <v>26</v>
      </c>
      <c r="B1229" s="3">
        <v>25</v>
      </c>
      <c r="C1229" s="3">
        <v>140</v>
      </c>
      <c r="D1229" s="3">
        <v>33</v>
      </c>
      <c r="E1229" s="3">
        <v>1610.314</v>
      </c>
      <c r="F1229" s="4" t="str">
        <f>HYPERLINK("http://141.218.60.56/~jnz1568/getInfo.php?workbook=26_25.xlsx&amp;sheet=A0&amp;row=1229&amp;col=6&amp;number=2924000&amp;sourceID=14","2924000")</f>
        <v>2924000</v>
      </c>
      <c r="G1229" s="4" t="str">
        <f>HYPERLINK("http://141.218.60.56/~jnz1568/getInfo.php?workbook=26_25.xlsx&amp;sheet=A0&amp;row=1229&amp;col=7&amp;number=0&amp;sourceID=14","0")</f>
        <v>0</v>
      </c>
    </row>
    <row r="1230" spans="1:7">
      <c r="A1230" s="3">
        <v>26</v>
      </c>
      <c r="B1230" s="3">
        <v>25</v>
      </c>
      <c r="C1230" s="3">
        <v>140</v>
      </c>
      <c r="D1230" s="3">
        <v>6</v>
      </c>
      <c r="E1230" s="3">
        <v>1091.523</v>
      </c>
      <c r="F1230" s="4" t="str">
        <f>HYPERLINK("http://141.218.60.56/~jnz1568/getInfo.php?workbook=26_25.xlsx&amp;sheet=A0&amp;row=1230&amp;col=6&amp;number=408600&amp;sourceID=14","408600")</f>
        <v>408600</v>
      </c>
      <c r="G1230" s="4" t="str">
        <f>HYPERLINK("http://141.218.60.56/~jnz1568/getInfo.php?workbook=26_25.xlsx&amp;sheet=A0&amp;row=1230&amp;col=7&amp;number=0&amp;sourceID=14","0")</f>
        <v>0</v>
      </c>
    </row>
    <row r="1231" spans="1:7">
      <c r="A1231" s="3">
        <v>26</v>
      </c>
      <c r="B1231" s="3">
        <v>25</v>
      </c>
      <c r="C1231" s="3">
        <v>140</v>
      </c>
      <c r="D1231" s="3">
        <v>7</v>
      </c>
      <c r="E1231" s="3">
        <v>1098.207</v>
      </c>
      <c r="F1231" s="4" t="str">
        <f>HYPERLINK("http://141.218.60.56/~jnz1568/getInfo.php?workbook=26_25.xlsx&amp;sheet=A0&amp;row=1231&amp;col=6&amp;number=2954000&amp;sourceID=14","2954000")</f>
        <v>2954000</v>
      </c>
      <c r="G1231" s="4" t="str">
        <f>HYPERLINK("http://141.218.60.56/~jnz1568/getInfo.php?workbook=26_25.xlsx&amp;sheet=A0&amp;row=1231&amp;col=7&amp;number=0&amp;sourceID=14","0")</f>
        <v>0</v>
      </c>
    </row>
    <row r="1232" spans="1:7">
      <c r="A1232" s="3">
        <v>26</v>
      </c>
      <c r="B1232" s="3">
        <v>25</v>
      </c>
      <c r="C1232" s="3">
        <v>140</v>
      </c>
      <c r="D1232" s="3">
        <v>8</v>
      </c>
      <c r="E1232" s="3">
        <v>1103.148</v>
      </c>
      <c r="F1232" s="4" t="str">
        <f>HYPERLINK("http://141.218.60.56/~jnz1568/getInfo.php?workbook=26_25.xlsx&amp;sheet=A0&amp;row=1232&amp;col=6&amp;number=511900&amp;sourceID=14","511900")</f>
        <v>511900</v>
      </c>
      <c r="G1232" s="4" t="str">
        <f>HYPERLINK("http://141.218.60.56/~jnz1568/getInfo.php?workbook=26_25.xlsx&amp;sheet=A0&amp;row=1232&amp;col=7&amp;number=0&amp;sourceID=14","0")</f>
        <v>0</v>
      </c>
    </row>
    <row r="1233" spans="1:7">
      <c r="A1233" s="3">
        <v>26</v>
      </c>
      <c r="B1233" s="3">
        <v>25</v>
      </c>
      <c r="C1233" s="3">
        <v>140</v>
      </c>
      <c r="D1233" s="3">
        <v>24</v>
      </c>
      <c r="E1233" s="3">
        <v>1411.424</v>
      </c>
      <c r="F1233" s="4" t="str">
        <f>HYPERLINK("http://141.218.60.56/~jnz1568/getInfo.php?workbook=26_25.xlsx&amp;sheet=A0&amp;row=1233&amp;col=6&amp;number=1226000&amp;sourceID=14","1226000")</f>
        <v>1226000</v>
      </c>
      <c r="G1233" s="4" t="str">
        <f>HYPERLINK("http://141.218.60.56/~jnz1568/getInfo.php?workbook=26_25.xlsx&amp;sheet=A0&amp;row=1233&amp;col=7&amp;number=0&amp;sourceID=14","0")</f>
        <v>0</v>
      </c>
    </row>
    <row r="1234" spans="1:7">
      <c r="A1234" s="3">
        <v>26</v>
      </c>
      <c r="B1234" s="3">
        <v>25</v>
      </c>
      <c r="C1234" s="3">
        <v>140</v>
      </c>
      <c r="D1234" s="3">
        <v>25</v>
      </c>
      <c r="E1234" s="3">
        <v>1414.882</v>
      </c>
      <c r="F1234" s="4" t="str">
        <f>HYPERLINK("http://141.218.60.56/~jnz1568/getInfo.php?workbook=26_25.xlsx&amp;sheet=A0&amp;row=1234&amp;col=6&amp;number=8960000&amp;sourceID=14","8960000")</f>
        <v>8960000</v>
      </c>
      <c r="G1234" s="4" t="str">
        <f>HYPERLINK("http://141.218.60.56/~jnz1568/getInfo.php?workbook=26_25.xlsx&amp;sheet=A0&amp;row=1234&amp;col=7&amp;number=0&amp;sourceID=14","0")</f>
        <v>0</v>
      </c>
    </row>
    <row r="1235" spans="1:7">
      <c r="A1235" s="3">
        <v>26</v>
      </c>
      <c r="B1235" s="3">
        <v>25</v>
      </c>
      <c r="C1235" s="3">
        <v>140</v>
      </c>
      <c r="D1235" s="3">
        <v>26</v>
      </c>
      <c r="E1235" s="3">
        <v>1417.469</v>
      </c>
      <c r="F1235" s="4" t="str">
        <f>HYPERLINK("http://141.218.60.56/~jnz1568/getInfo.php?workbook=26_25.xlsx&amp;sheet=A0&amp;row=1235&amp;col=6&amp;number=1565000&amp;sourceID=14","1565000")</f>
        <v>1565000</v>
      </c>
      <c r="G1235" s="4" t="str">
        <f>HYPERLINK("http://141.218.60.56/~jnz1568/getInfo.php?workbook=26_25.xlsx&amp;sheet=A0&amp;row=1235&amp;col=7&amp;number=0&amp;sourceID=14","0")</f>
        <v>0</v>
      </c>
    </row>
    <row r="1236" spans="1:7">
      <c r="A1236" s="3">
        <v>26</v>
      </c>
      <c r="B1236" s="3">
        <v>25</v>
      </c>
      <c r="C1236" s="3">
        <v>140</v>
      </c>
      <c r="D1236" s="3">
        <v>61</v>
      </c>
      <c r="E1236" s="3">
        <v>2307.859</v>
      </c>
      <c r="F1236" s="4" t="str">
        <f>HYPERLINK("http://141.218.60.56/~jnz1568/getInfo.php?workbook=26_25.xlsx&amp;sheet=A0&amp;row=1236&amp;col=6&amp;number=1934000&amp;sourceID=14","1934000")</f>
        <v>1934000</v>
      </c>
      <c r="G1236" s="4" t="str">
        <f>HYPERLINK("http://141.218.60.56/~jnz1568/getInfo.php?workbook=26_25.xlsx&amp;sheet=A0&amp;row=1236&amp;col=7&amp;number=0&amp;sourceID=14","0")</f>
        <v>0</v>
      </c>
    </row>
    <row r="1237" spans="1:7">
      <c r="A1237" s="3">
        <v>26</v>
      </c>
      <c r="B1237" s="3">
        <v>25</v>
      </c>
      <c r="C1237" s="3">
        <v>140</v>
      </c>
      <c r="D1237" s="3">
        <v>62</v>
      </c>
      <c r="E1237" s="3">
        <v>2309.478</v>
      </c>
      <c r="F1237" s="4" t="str">
        <f>HYPERLINK("http://141.218.60.56/~jnz1568/getInfo.php?workbook=26_25.xlsx&amp;sheet=A0&amp;row=1237&amp;col=6&amp;number=14200000&amp;sourceID=14","14200000")</f>
        <v>14200000</v>
      </c>
      <c r="G1237" s="4" t="str">
        <f>HYPERLINK("http://141.218.60.56/~jnz1568/getInfo.php?workbook=26_25.xlsx&amp;sheet=A0&amp;row=1237&amp;col=7&amp;number=0&amp;sourceID=14","0")</f>
        <v>0</v>
      </c>
    </row>
    <row r="1238" spans="1:7">
      <c r="A1238" s="3">
        <v>26</v>
      </c>
      <c r="B1238" s="3">
        <v>25</v>
      </c>
      <c r="C1238" s="3">
        <v>140</v>
      </c>
      <c r="D1238" s="3">
        <v>63</v>
      </c>
      <c r="E1238" s="3">
        <v>2307.078</v>
      </c>
      <c r="F1238" s="4" t="str">
        <f>HYPERLINK("http://141.218.60.56/~jnz1568/getInfo.php?workbook=26_25.xlsx&amp;sheet=A0&amp;row=1238&amp;col=6&amp;number=2503000&amp;sourceID=14","2503000")</f>
        <v>2503000</v>
      </c>
      <c r="G1238" s="4" t="str">
        <f>HYPERLINK("http://141.218.60.56/~jnz1568/getInfo.php?workbook=26_25.xlsx&amp;sheet=A0&amp;row=1238&amp;col=7&amp;number=0&amp;sourceID=14","0")</f>
        <v>0</v>
      </c>
    </row>
    <row r="1239" spans="1:7">
      <c r="A1239" s="3">
        <v>26</v>
      </c>
      <c r="B1239" s="3">
        <v>25</v>
      </c>
      <c r="C1239" s="3">
        <v>140</v>
      </c>
      <c r="D1239" s="3">
        <v>29</v>
      </c>
      <c r="E1239" s="3">
        <v>1477.491</v>
      </c>
      <c r="F1239" s="4" t="str">
        <f>HYPERLINK("http://141.218.60.56/~jnz1568/getInfo.php?workbook=26_25.xlsx&amp;sheet=A0&amp;row=1239&amp;col=6&amp;number=115200000&amp;sourceID=14","115200000")</f>
        <v>115200000</v>
      </c>
      <c r="G1239" s="4" t="str">
        <f>HYPERLINK("http://141.218.60.56/~jnz1568/getInfo.php?workbook=26_25.xlsx&amp;sheet=A0&amp;row=1239&amp;col=7&amp;number=0&amp;sourceID=14","0")</f>
        <v>0</v>
      </c>
    </row>
    <row r="1240" spans="1:7">
      <c r="A1240" s="3">
        <v>26</v>
      </c>
      <c r="B1240" s="3">
        <v>25</v>
      </c>
      <c r="C1240" s="3">
        <v>140</v>
      </c>
      <c r="D1240" s="3">
        <v>30</v>
      </c>
      <c r="E1240" s="3">
        <v>1481.349</v>
      </c>
      <c r="F1240" s="4" t="str">
        <f>HYPERLINK("http://141.218.60.56/~jnz1568/getInfo.php?workbook=26_25.xlsx&amp;sheet=A0&amp;row=1240&amp;col=6&amp;number=13560000&amp;sourceID=14","13560000")</f>
        <v>13560000</v>
      </c>
      <c r="G1240" s="4" t="str">
        <f>HYPERLINK("http://141.218.60.56/~jnz1568/getInfo.php?workbook=26_25.xlsx&amp;sheet=A0&amp;row=1240&amp;col=7&amp;number=0&amp;sourceID=14","0")</f>
        <v>0</v>
      </c>
    </row>
    <row r="1241" spans="1:7">
      <c r="A1241" s="3">
        <v>26</v>
      </c>
      <c r="B1241" s="3">
        <v>25</v>
      </c>
      <c r="C1241" s="3">
        <v>140</v>
      </c>
      <c r="D1241" s="3">
        <v>31</v>
      </c>
      <c r="E1241" s="3">
        <v>1482.97</v>
      </c>
      <c r="F1241" s="4" t="str">
        <f>HYPERLINK("http://141.218.60.56/~jnz1568/getInfo.php?workbook=26_25.xlsx&amp;sheet=A0&amp;row=1241&amp;col=6&amp;number=373400&amp;sourceID=14","373400")</f>
        <v>373400</v>
      </c>
      <c r="G1241" s="4" t="str">
        <f>HYPERLINK("http://141.218.60.56/~jnz1568/getInfo.php?workbook=26_25.xlsx&amp;sheet=A0&amp;row=1241&amp;col=7&amp;number=0&amp;sourceID=14","0")</f>
        <v>0</v>
      </c>
    </row>
    <row r="1242" spans="1:7">
      <c r="A1242" s="3">
        <v>26</v>
      </c>
      <c r="B1242" s="3">
        <v>25</v>
      </c>
      <c r="C1242" s="3">
        <v>141</v>
      </c>
      <c r="D1242" s="3">
        <v>10</v>
      </c>
      <c r="E1242" s="3">
        <v>1170.411</v>
      </c>
      <c r="F1242" s="4" t="str">
        <f>HYPERLINK("http://141.218.60.56/~jnz1568/getInfo.php?workbook=26_25.xlsx&amp;sheet=A0&amp;row=1242&amp;col=6&amp;number=2155&amp;sourceID=14","2155")</f>
        <v>2155</v>
      </c>
      <c r="G1242" s="4" t="str">
        <f>HYPERLINK("http://141.218.60.56/~jnz1568/getInfo.php?workbook=26_25.xlsx&amp;sheet=A0&amp;row=1242&amp;col=7&amp;number=0&amp;sourceID=14","0")</f>
        <v>0</v>
      </c>
    </row>
    <row r="1243" spans="1:7">
      <c r="A1243" s="3">
        <v>26</v>
      </c>
      <c r="B1243" s="3">
        <v>25</v>
      </c>
      <c r="C1243" s="3">
        <v>141</v>
      </c>
      <c r="D1243" s="3">
        <v>11</v>
      </c>
      <c r="E1243" s="3">
        <v>1176.423</v>
      </c>
      <c r="F1243" s="4" t="str">
        <f>HYPERLINK("http://141.218.60.56/~jnz1568/getInfo.php?workbook=26_25.xlsx&amp;sheet=A0&amp;row=1243&amp;col=6&amp;number=53410&amp;sourceID=14","53410")</f>
        <v>53410</v>
      </c>
      <c r="G1243" s="4" t="str">
        <f>HYPERLINK("http://141.218.60.56/~jnz1568/getInfo.php?workbook=26_25.xlsx&amp;sheet=A0&amp;row=1243&amp;col=7&amp;number=0&amp;sourceID=14","0")</f>
        <v>0</v>
      </c>
    </row>
    <row r="1244" spans="1:7">
      <c r="A1244" s="3">
        <v>26</v>
      </c>
      <c r="B1244" s="3">
        <v>25</v>
      </c>
      <c r="C1244" s="3">
        <v>141</v>
      </c>
      <c r="D1244" s="3">
        <v>12</v>
      </c>
      <c r="E1244" s="3">
        <v>1180.43</v>
      </c>
      <c r="F1244" s="4" t="str">
        <f>HYPERLINK("http://141.218.60.56/~jnz1568/getInfo.php?workbook=26_25.xlsx&amp;sheet=A0&amp;row=1244&amp;col=6&amp;number=162900&amp;sourceID=14","162900")</f>
        <v>162900</v>
      </c>
      <c r="G1244" s="4" t="str">
        <f>HYPERLINK("http://141.218.60.56/~jnz1568/getInfo.php?workbook=26_25.xlsx&amp;sheet=A0&amp;row=1244&amp;col=7&amp;number=0&amp;sourceID=14","0")</f>
        <v>0</v>
      </c>
    </row>
    <row r="1245" spans="1:7">
      <c r="A1245" s="3">
        <v>26</v>
      </c>
      <c r="B1245" s="3">
        <v>25</v>
      </c>
      <c r="C1245" s="3">
        <v>141</v>
      </c>
      <c r="D1245" s="3">
        <v>32</v>
      </c>
      <c r="E1245" s="3">
        <v>1615.191</v>
      </c>
      <c r="F1245" s="4" t="str">
        <f>HYPERLINK("http://141.218.60.56/~jnz1568/getInfo.php?workbook=26_25.xlsx&amp;sheet=A0&amp;row=1245&amp;col=6&amp;number=32670&amp;sourceID=14","32670")</f>
        <v>32670</v>
      </c>
      <c r="G1245" s="4" t="str">
        <f>HYPERLINK("http://141.218.60.56/~jnz1568/getInfo.php?workbook=26_25.xlsx&amp;sheet=A0&amp;row=1245&amp;col=7&amp;number=0&amp;sourceID=14","0")</f>
        <v>0</v>
      </c>
    </row>
    <row r="1246" spans="1:7">
      <c r="A1246" s="3">
        <v>26</v>
      </c>
      <c r="B1246" s="3">
        <v>25</v>
      </c>
      <c r="C1246" s="3">
        <v>141</v>
      </c>
      <c r="D1246" s="3">
        <v>33</v>
      </c>
      <c r="E1246" s="3">
        <v>1612.71</v>
      </c>
      <c r="F1246" s="4" t="str">
        <f>HYPERLINK("http://141.218.60.56/~jnz1568/getInfo.php?workbook=26_25.xlsx&amp;sheet=A0&amp;row=1246&amp;col=6&amp;number=826200&amp;sourceID=14","826200")</f>
        <v>826200</v>
      </c>
      <c r="G1246" s="4" t="str">
        <f>HYPERLINK("http://141.218.60.56/~jnz1568/getInfo.php?workbook=26_25.xlsx&amp;sheet=A0&amp;row=1246&amp;col=7&amp;number=0&amp;sourceID=14","0")</f>
        <v>0</v>
      </c>
    </row>
    <row r="1247" spans="1:7">
      <c r="A1247" s="3">
        <v>26</v>
      </c>
      <c r="B1247" s="3">
        <v>25</v>
      </c>
      <c r="C1247" s="3">
        <v>141</v>
      </c>
      <c r="D1247" s="3">
        <v>34</v>
      </c>
      <c r="E1247" s="3">
        <v>1612.099</v>
      </c>
      <c r="F1247" s="4" t="str">
        <f>HYPERLINK("http://141.218.60.56/~jnz1568/getInfo.php?workbook=26_25.xlsx&amp;sheet=A0&amp;row=1247&amp;col=6&amp;number=2549000&amp;sourceID=14","2549000")</f>
        <v>2549000</v>
      </c>
      <c r="G1247" s="4" t="str">
        <f>HYPERLINK("http://141.218.60.56/~jnz1568/getInfo.php?workbook=26_25.xlsx&amp;sheet=A0&amp;row=1247&amp;col=7&amp;number=0&amp;sourceID=14","0")</f>
        <v>0</v>
      </c>
    </row>
    <row r="1248" spans="1:7">
      <c r="A1248" s="3">
        <v>26</v>
      </c>
      <c r="B1248" s="3">
        <v>25</v>
      </c>
      <c r="C1248" s="3">
        <v>141</v>
      </c>
      <c r="D1248" s="3">
        <v>7</v>
      </c>
      <c r="E1248" s="3">
        <v>1099.321</v>
      </c>
      <c r="F1248" s="4" t="str">
        <f>HYPERLINK("http://141.218.60.56/~jnz1568/getInfo.php?workbook=26_25.xlsx&amp;sheet=A0&amp;row=1248&amp;col=6&amp;number=689600&amp;sourceID=14","689600")</f>
        <v>689600</v>
      </c>
      <c r="G1248" s="4" t="str">
        <f>HYPERLINK("http://141.218.60.56/~jnz1568/getInfo.php?workbook=26_25.xlsx&amp;sheet=A0&amp;row=1248&amp;col=7&amp;number=0&amp;sourceID=14","0")</f>
        <v>0</v>
      </c>
    </row>
    <row r="1249" spans="1:7">
      <c r="A1249" s="3">
        <v>26</v>
      </c>
      <c r="B1249" s="3">
        <v>25</v>
      </c>
      <c r="C1249" s="3">
        <v>141</v>
      </c>
      <c r="D1249" s="3">
        <v>8</v>
      </c>
      <c r="E1249" s="3">
        <v>1104.272</v>
      </c>
      <c r="F1249" s="4" t="str">
        <f>HYPERLINK("http://141.218.60.56/~jnz1568/getInfo.php?workbook=26_25.xlsx&amp;sheet=A0&amp;row=1249&amp;col=6&amp;number=2622000&amp;sourceID=14","2622000")</f>
        <v>2622000</v>
      </c>
      <c r="G1249" s="4" t="str">
        <f>HYPERLINK("http://141.218.60.56/~jnz1568/getInfo.php?workbook=26_25.xlsx&amp;sheet=A0&amp;row=1249&amp;col=7&amp;number=0&amp;sourceID=14","0")</f>
        <v>0</v>
      </c>
    </row>
    <row r="1250" spans="1:7">
      <c r="A1250" s="3">
        <v>26</v>
      </c>
      <c r="B1250" s="3">
        <v>25</v>
      </c>
      <c r="C1250" s="3">
        <v>141</v>
      </c>
      <c r="D1250" s="3">
        <v>9</v>
      </c>
      <c r="E1250" s="3">
        <v>1107.691</v>
      </c>
      <c r="F1250" s="4" t="str">
        <f>HYPERLINK("http://141.218.60.56/~jnz1568/getInfo.php?workbook=26_25.xlsx&amp;sheet=A0&amp;row=1250&amp;col=6&amp;number=503400&amp;sourceID=14","503400")</f>
        <v>503400</v>
      </c>
      <c r="G1250" s="4" t="str">
        <f>HYPERLINK("http://141.218.60.56/~jnz1568/getInfo.php?workbook=26_25.xlsx&amp;sheet=A0&amp;row=1250&amp;col=7&amp;number=0&amp;sourceID=14","0")</f>
        <v>0</v>
      </c>
    </row>
    <row r="1251" spans="1:7">
      <c r="A1251" s="3">
        <v>26</v>
      </c>
      <c r="B1251" s="3">
        <v>25</v>
      </c>
      <c r="C1251" s="3">
        <v>141</v>
      </c>
      <c r="D1251" s="3">
        <v>25</v>
      </c>
      <c r="E1251" s="3">
        <v>1416.732</v>
      </c>
      <c r="F1251" s="4" t="str">
        <f>HYPERLINK("http://141.218.60.56/~jnz1568/getInfo.php?workbook=26_25.xlsx&amp;sheet=A0&amp;row=1251&amp;col=6&amp;number=2090000&amp;sourceID=14","2090000")</f>
        <v>2090000</v>
      </c>
      <c r="G1251" s="4" t="str">
        <f>HYPERLINK("http://141.218.60.56/~jnz1568/getInfo.php?workbook=26_25.xlsx&amp;sheet=A0&amp;row=1251&amp;col=7&amp;number=0&amp;sourceID=14","0")</f>
        <v>0</v>
      </c>
    </row>
    <row r="1252" spans="1:7">
      <c r="A1252" s="3">
        <v>26</v>
      </c>
      <c r="B1252" s="3">
        <v>25</v>
      </c>
      <c r="C1252" s="3">
        <v>141</v>
      </c>
      <c r="D1252" s="3">
        <v>26</v>
      </c>
      <c r="E1252" s="3">
        <v>1419.326</v>
      </c>
      <c r="F1252" s="4" t="str">
        <f>HYPERLINK("http://141.218.60.56/~jnz1568/getInfo.php?workbook=26_25.xlsx&amp;sheet=A0&amp;row=1252&amp;col=6&amp;number=8010000&amp;sourceID=14","8010000")</f>
        <v>8010000</v>
      </c>
      <c r="G1252" s="4" t="str">
        <f>HYPERLINK("http://141.218.60.56/~jnz1568/getInfo.php?workbook=26_25.xlsx&amp;sheet=A0&amp;row=1252&amp;col=7&amp;number=0&amp;sourceID=14","0")</f>
        <v>0</v>
      </c>
    </row>
    <row r="1253" spans="1:7">
      <c r="A1253" s="3">
        <v>26</v>
      </c>
      <c r="B1253" s="3">
        <v>25</v>
      </c>
      <c r="C1253" s="3">
        <v>141</v>
      </c>
      <c r="D1253" s="3">
        <v>27</v>
      </c>
      <c r="E1253" s="3">
        <v>1421.18</v>
      </c>
      <c r="F1253" s="4" t="str">
        <f>HYPERLINK("http://141.218.60.56/~jnz1568/getInfo.php?workbook=26_25.xlsx&amp;sheet=A0&amp;row=1253&amp;col=6&amp;number=1546000&amp;sourceID=14","1546000")</f>
        <v>1546000</v>
      </c>
      <c r="G1253" s="4" t="str">
        <f>HYPERLINK("http://141.218.60.56/~jnz1568/getInfo.php?workbook=26_25.xlsx&amp;sheet=A0&amp;row=1253&amp;col=7&amp;number=0&amp;sourceID=14","0")</f>
        <v>0</v>
      </c>
    </row>
    <row r="1254" spans="1:7">
      <c r="A1254" s="3">
        <v>26</v>
      </c>
      <c r="B1254" s="3">
        <v>25</v>
      </c>
      <c r="C1254" s="3">
        <v>141</v>
      </c>
      <c r="D1254" s="3">
        <v>62</v>
      </c>
      <c r="E1254" s="3">
        <v>2314.41</v>
      </c>
      <c r="F1254" s="4" t="str">
        <f>HYPERLINK("http://141.218.60.56/~jnz1568/getInfo.php?workbook=26_25.xlsx&amp;sheet=A0&amp;row=1254&amp;col=6&amp;number=3305000&amp;sourceID=14","3305000")</f>
        <v>3305000</v>
      </c>
      <c r="G1254" s="4" t="str">
        <f>HYPERLINK("http://141.218.60.56/~jnz1568/getInfo.php?workbook=26_25.xlsx&amp;sheet=A0&amp;row=1254&amp;col=7&amp;number=0&amp;sourceID=14","0")</f>
        <v>0</v>
      </c>
    </row>
    <row r="1255" spans="1:7">
      <c r="A1255" s="3">
        <v>26</v>
      </c>
      <c r="B1255" s="3">
        <v>25</v>
      </c>
      <c r="C1255" s="3">
        <v>141</v>
      </c>
      <c r="D1255" s="3">
        <v>63</v>
      </c>
      <c r="E1255" s="3">
        <v>2312.001</v>
      </c>
      <c r="F1255" s="4" t="str">
        <f>HYPERLINK("http://141.218.60.56/~jnz1568/getInfo.php?workbook=26_25.xlsx&amp;sheet=A0&amp;row=1255&amp;col=6&amp;number=12780000&amp;sourceID=14","12780000")</f>
        <v>12780000</v>
      </c>
      <c r="G1255" s="4" t="str">
        <f>HYPERLINK("http://141.218.60.56/~jnz1568/getInfo.php?workbook=26_25.xlsx&amp;sheet=A0&amp;row=1255&amp;col=7&amp;number=0&amp;sourceID=14","0")</f>
        <v>0</v>
      </c>
    </row>
    <row r="1256" spans="1:7">
      <c r="A1256" s="3">
        <v>26</v>
      </c>
      <c r="B1256" s="3">
        <v>25</v>
      </c>
      <c r="C1256" s="3">
        <v>141</v>
      </c>
      <c r="D1256" s="3">
        <v>64</v>
      </c>
      <c r="E1256" s="3">
        <v>2308.432</v>
      </c>
      <c r="F1256" s="4" t="str">
        <f>HYPERLINK("http://141.218.60.56/~jnz1568/getInfo.php?workbook=26_25.xlsx&amp;sheet=A0&amp;row=1256&amp;col=6&amp;number=2487000&amp;sourceID=14","2487000")</f>
        <v>2487000</v>
      </c>
      <c r="G1256" s="4" t="str">
        <f>HYPERLINK("http://141.218.60.56/~jnz1568/getInfo.php?workbook=26_25.xlsx&amp;sheet=A0&amp;row=1256&amp;col=7&amp;number=0&amp;sourceID=14","0")</f>
        <v>0</v>
      </c>
    </row>
    <row r="1257" spans="1:7">
      <c r="A1257" s="3">
        <v>26</v>
      </c>
      <c r="B1257" s="3">
        <v>25</v>
      </c>
      <c r="C1257" s="3">
        <v>141</v>
      </c>
      <c r="D1257" s="3">
        <v>30</v>
      </c>
      <c r="E1257" s="3">
        <v>1483.377</v>
      </c>
      <c r="F1257" s="4" t="str">
        <f>HYPERLINK("http://141.218.60.56/~jnz1568/getInfo.php?workbook=26_25.xlsx&amp;sheet=A0&amp;row=1257&amp;col=6&amp;number=114200000&amp;sourceID=14","114200000")</f>
        <v>114200000</v>
      </c>
      <c r="G1257" s="4" t="str">
        <f>HYPERLINK("http://141.218.60.56/~jnz1568/getInfo.php?workbook=26_25.xlsx&amp;sheet=A0&amp;row=1257&amp;col=7&amp;number=0&amp;sourceID=14","0")</f>
        <v>0</v>
      </c>
    </row>
    <row r="1258" spans="1:7">
      <c r="A1258" s="3">
        <v>26</v>
      </c>
      <c r="B1258" s="3">
        <v>25</v>
      </c>
      <c r="C1258" s="3">
        <v>141</v>
      </c>
      <c r="D1258" s="3">
        <v>31</v>
      </c>
      <c r="E1258" s="3">
        <v>1485.003</v>
      </c>
      <c r="F1258" s="4" t="str">
        <f>HYPERLINK("http://141.218.60.56/~jnz1568/getInfo.php?workbook=26_25.xlsx&amp;sheet=A0&amp;row=1258&amp;col=6&amp;number=13690000&amp;sourceID=14","13690000")</f>
        <v>13690000</v>
      </c>
      <c r="G1258" s="4" t="str">
        <f>HYPERLINK("http://141.218.60.56/~jnz1568/getInfo.php?workbook=26_25.xlsx&amp;sheet=A0&amp;row=1258&amp;col=7&amp;number=0&amp;sourceID=14","0")</f>
        <v>0</v>
      </c>
    </row>
    <row r="1259" spans="1:7">
      <c r="A1259" s="3">
        <v>26</v>
      </c>
      <c r="B1259" s="3">
        <v>25</v>
      </c>
      <c r="C1259" s="3">
        <v>142</v>
      </c>
      <c r="D1259" s="3">
        <v>11</v>
      </c>
      <c r="E1259" s="3">
        <v>1177.35</v>
      </c>
      <c r="F1259" s="4" t="str">
        <f>HYPERLINK("http://141.218.60.56/~jnz1568/getInfo.php?workbook=26_25.xlsx&amp;sheet=A0&amp;row=1259&amp;col=6&amp;number=4379&amp;sourceID=14","4379")</f>
        <v>4379</v>
      </c>
      <c r="G1259" s="4" t="str">
        <f>HYPERLINK("http://141.218.60.56/~jnz1568/getInfo.php?workbook=26_25.xlsx&amp;sheet=A0&amp;row=1259&amp;col=7&amp;number=0&amp;sourceID=14","0")</f>
        <v>0</v>
      </c>
    </row>
    <row r="1260" spans="1:7">
      <c r="A1260" s="3">
        <v>26</v>
      </c>
      <c r="B1260" s="3">
        <v>25</v>
      </c>
      <c r="C1260" s="3">
        <v>142</v>
      </c>
      <c r="D1260" s="3">
        <v>12</v>
      </c>
      <c r="E1260" s="3">
        <v>1181.362</v>
      </c>
      <c r="F1260" s="4" t="str">
        <f>HYPERLINK("http://141.218.60.56/~jnz1568/getInfo.php?workbook=26_25.xlsx&amp;sheet=A0&amp;row=1260&amp;col=6&amp;number=60690&amp;sourceID=14","60690")</f>
        <v>60690</v>
      </c>
      <c r="G1260" s="4" t="str">
        <f>HYPERLINK("http://141.218.60.56/~jnz1568/getInfo.php?workbook=26_25.xlsx&amp;sheet=A0&amp;row=1260&amp;col=7&amp;number=0&amp;sourceID=14","0")</f>
        <v>0</v>
      </c>
    </row>
    <row r="1261" spans="1:7">
      <c r="A1261" s="3">
        <v>26</v>
      </c>
      <c r="B1261" s="3">
        <v>25</v>
      </c>
      <c r="C1261" s="3">
        <v>142</v>
      </c>
      <c r="D1261" s="3">
        <v>13</v>
      </c>
      <c r="E1261" s="3">
        <v>1183.688</v>
      </c>
      <c r="F1261" s="4" t="str">
        <f>HYPERLINK("http://141.218.60.56/~jnz1568/getInfo.php?workbook=26_25.xlsx&amp;sheet=A0&amp;row=1261&amp;col=6&amp;number=150800&amp;sourceID=14","150800")</f>
        <v>150800</v>
      </c>
      <c r="G1261" s="4" t="str">
        <f>HYPERLINK("http://141.218.60.56/~jnz1568/getInfo.php?workbook=26_25.xlsx&amp;sheet=A0&amp;row=1261&amp;col=7&amp;number=0&amp;sourceID=14","0")</f>
        <v>0</v>
      </c>
    </row>
    <row r="1262" spans="1:7">
      <c r="A1262" s="3">
        <v>26</v>
      </c>
      <c r="B1262" s="3">
        <v>25</v>
      </c>
      <c r="C1262" s="3">
        <v>142</v>
      </c>
      <c r="D1262" s="3">
        <v>33</v>
      </c>
      <c r="E1262" s="3">
        <v>1614.452</v>
      </c>
      <c r="F1262" s="4" t="str">
        <f>HYPERLINK("http://141.218.60.56/~jnz1568/getInfo.php?workbook=26_25.xlsx&amp;sheet=A0&amp;row=1262&amp;col=6&amp;number=67680&amp;sourceID=14","67680")</f>
        <v>67680</v>
      </c>
      <c r="G1262" s="4" t="str">
        <f>HYPERLINK("http://141.218.60.56/~jnz1568/getInfo.php?workbook=26_25.xlsx&amp;sheet=A0&amp;row=1262&amp;col=7&amp;number=0&amp;sourceID=14","0")</f>
        <v>0</v>
      </c>
    </row>
    <row r="1263" spans="1:7">
      <c r="A1263" s="3">
        <v>26</v>
      </c>
      <c r="B1263" s="3">
        <v>25</v>
      </c>
      <c r="C1263" s="3">
        <v>142</v>
      </c>
      <c r="D1263" s="3">
        <v>34</v>
      </c>
      <c r="E1263" s="3">
        <v>1613.839</v>
      </c>
      <c r="F1263" s="4" t="str">
        <f>HYPERLINK("http://141.218.60.56/~jnz1568/getInfo.php?workbook=26_25.xlsx&amp;sheet=A0&amp;row=1263&amp;col=6&amp;number=948700&amp;sourceID=14","948700")</f>
        <v>948700</v>
      </c>
      <c r="G1263" s="4" t="str">
        <f>HYPERLINK("http://141.218.60.56/~jnz1568/getInfo.php?workbook=26_25.xlsx&amp;sheet=A0&amp;row=1263&amp;col=7&amp;number=0&amp;sourceID=14","0")</f>
        <v>0</v>
      </c>
    </row>
    <row r="1264" spans="1:7">
      <c r="A1264" s="3">
        <v>26</v>
      </c>
      <c r="B1264" s="3">
        <v>25</v>
      </c>
      <c r="C1264" s="3">
        <v>142</v>
      </c>
      <c r="D1264" s="3">
        <v>35</v>
      </c>
      <c r="E1264" s="3">
        <v>1613.944</v>
      </c>
      <c r="F1264" s="4" t="str">
        <f>HYPERLINK("http://141.218.60.56/~jnz1568/getInfo.php?workbook=26_25.xlsx&amp;sheet=A0&amp;row=1264&amp;col=6&amp;number=2371000&amp;sourceID=14","2371000")</f>
        <v>2371000</v>
      </c>
      <c r="G1264" s="4" t="str">
        <f>HYPERLINK("http://141.218.60.56/~jnz1568/getInfo.php?workbook=26_25.xlsx&amp;sheet=A0&amp;row=1264&amp;col=7&amp;number=0&amp;sourceID=14","0")</f>
        <v>0</v>
      </c>
    </row>
    <row r="1265" spans="1:7">
      <c r="A1265" s="3">
        <v>26</v>
      </c>
      <c r="B1265" s="3">
        <v>25</v>
      </c>
      <c r="C1265" s="3">
        <v>142</v>
      </c>
      <c r="D1265" s="3">
        <v>8</v>
      </c>
      <c r="E1265" s="3">
        <v>1105.088</v>
      </c>
      <c r="F1265" s="4" t="str">
        <f>HYPERLINK("http://141.218.60.56/~jnz1568/getInfo.php?workbook=26_25.xlsx&amp;sheet=A0&amp;row=1265&amp;col=6&amp;number=760400&amp;sourceID=14","760400")</f>
        <v>760400</v>
      </c>
      <c r="G1265" s="4" t="str">
        <f>HYPERLINK("http://141.218.60.56/~jnz1568/getInfo.php?workbook=26_25.xlsx&amp;sheet=A0&amp;row=1265&amp;col=7&amp;number=0&amp;sourceID=14","0")</f>
        <v>0</v>
      </c>
    </row>
    <row r="1266" spans="1:7">
      <c r="A1266" s="3">
        <v>26</v>
      </c>
      <c r="B1266" s="3">
        <v>25</v>
      </c>
      <c r="C1266" s="3">
        <v>142</v>
      </c>
      <c r="D1266" s="3">
        <v>9</v>
      </c>
      <c r="E1266" s="3">
        <v>1108.512</v>
      </c>
      <c r="F1266" s="4" t="str">
        <f>HYPERLINK("http://141.218.60.56/~jnz1568/getInfo.php?workbook=26_25.xlsx&amp;sheet=A0&amp;row=1266&amp;col=6&amp;number=3013000&amp;sourceID=14","3013000")</f>
        <v>3013000</v>
      </c>
      <c r="G1266" s="4" t="str">
        <f>HYPERLINK("http://141.218.60.56/~jnz1568/getInfo.php?workbook=26_25.xlsx&amp;sheet=A0&amp;row=1266&amp;col=7&amp;number=0&amp;sourceID=14","0")</f>
        <v>0</v>
      </c>
    </row>
    <row r="1267" spans="1:7">
      <c r="A1267" s="3">
        <v>26</v>
      </c>
      <c r="B1267" s="3">
        <v>25</v>
      </c>
      <c r="C1267" s="3">
        <v>142</v>
      </c>
      <c r="D1267" s="3">
        <v>26</v>
      </c>
      <c r="E1267" s="3">
        <v>1420.674</v>
      </c>
      <c r="F1267" s="4" t="str">
        <f>HYPERLINK("http://141.218.60.56/~jnz1568/getInfo.php?workbook=26_25.xlsx&amp;sheet=A0&amp;row=1267&amp;col=6&amp;number=2322000&amp;sourceID=14","2322000")</f>
        <v>2322000</v>
      </c>
      <c r="G1267" s="4" t="str">
        <f>HYPERLINK("http://141.218.60.56/~jnz1568/getInfo.php?workbook=26_25.xlsx&amp;sheet=A0&amp;row=1267&amp;col=7&amp;number=0&amp;sourceID=14","0")</f>
        <v>0</v>
      </c>
    </row>
    <row r="1268" spans="1:7">
      <c r="A1268" s="3">
        <v>26</v>
      </c>
      <c r="B1268" s="3">
        <v>25</v>
      </c>
      <c r="C1268" s="3">
        <v>142</v>
      </c>
      <c r="D1268" s="3">
        <v>27</v>
      </c>
      <c r="E1268" s="3">
        <v>1422.532</v>
      </c>
      <c r="F1268" s="4" t="str">
        <f>HYPERLINK("http://141.218.60.56/~jnz1568/getInfo.php?workbook=26_25.xlsx&amp;sheet=A0&amp;row=1268&amp;col=6&amp;number=9250000&amp;sourceID=14","9250000")</f>
        <v>9250000</v>
      </c>
      <c r="G1268" s="4" t="str">
        <f>HYPERLINK("http://141.218.60.56/~jnz1568/getInfo.php?workbook=26_25.xlsx&amp;sheet=A0&amp;row=1268&amp;col=7&amp;number=0&amp;sourceID=14","0")</f>
        <v>0</v>
      </c>
    </row>
    <row r="1269" spans="1:7">
      <c r="A1269" s="3">
        <v>26</v>
      </c>
      <c r="B1269" s="3">
        <v>25</v>
      </c>
      <c r="C1269" s="3">
        <v>142</v>
      </c>
      <c r="D1269" s="3">
        <v>63</v>
      </c>
      <c r="E1269" s="3">
        <v>2315.582</v>
      </c>
      <c r="F1269" s="4" t="str">
        <f>HYPERLINK("http://141.218.60.56/~jnz1568/getInfo.php?workbook=26_25.xlsx&amp;sheet=A0&amp;row=1269&amp;col=6&amp;number=3697000&amp;sourceID=14","3697000")</f>
        <v>3697000</v>
      </c>
      <c r="G1269" s="4" t="str">
        <f>HYPERLINK("http://141.218.60.56/~jnz1568/getInfo.php?workbook=26_25.xlsx&amp;sheet=A0&amp;row=1269&amp;col=7&amp;number=0&amp;sourceID=14","0")</f>
        <v>0</v>
      </c>
    </row>
    <row r="1270" spans="1:7">
      <c r="A1270" s="3">
        <v>26</v>
      </c>
      <c r="B1270" s="3">
        <v>25</v>
      </c>
      <c r="C1270" s="3">
        <v>142</v>
      </c>
      <c r="D1270" s="3">
        <v>64</v>
      </c>
      <c r="E1270" s="3">
        <v>2312.002</v>
      </c>
      <c r="F1270" s="4" t="str">
        <f>HYPERLINK("http://141.218.60.56/~jnz1568/getInfo.php?workbook=26_25.xlsx&amp;sheet=A0&amp;row=1270&amp;col=6&amp;number=14850000&amp;sourceID=14","14850000")</f>
        <v>14850000</v>
      </c>
      <c r="G1270" s="4" t="str">
        <f>HYPERLINK("http://141.218.60.56/~jnz1568/getInfo.php?workbook=26_25.xlsx&amp;sheet=A0&amp;row=1270&amp;col=7&amp;number=0&amp;sourceID=14","0")</f>
        <v>0</v>
      </c>
    </row>
    <row r="1271" spans="1:7">
      <c r="A1271" s="3">
        <v>26</v>
      </c>
      <c r="B1271" s="3">
        <v>25</v>
      </c>
      <c r="C1271" s="3">
        <v>142</v>
      </c>
      <c r="D1271" s="3">
        <v>31</v>
      </c>
      <c r="E1271" s="3">
        <v>1486.479</v>
      </c>
      <c r="F1271" s="4" t="str">
        <f>HYPERLINK("http://141.218.60.56/~jnz1568/getInfo.php?workbook=26_25.xlsx&amp;sheet=A0&amp;row=1271&amp;col=6&amp;number=127100000&amp;sourceID=14","127100000")</f>
        <v>127100000</v>
      </c>
      <c r="G1271" s="4" t="str">
        <f>HYPERLINK("http://141.218.60.56/~jnz1568/getInfo.php?workbook=26_25.xlsx&amp;sheet=A0&amp;row=1271&amp;col=7&amp;number=0&amp;sourceID=14","0")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2015-05-07T01:00:35Z</dcterms:created>
  <dcterms:modified xsi:type="dcterms:W3CDTF">2015-05-07T01:00:35Z</dcterms:modified>
</cp:coreProperties>
</file>